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C895D0CF-3EC1-4671-9960-FAB21021A56C}"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Ki!$R$11</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CD113" i="22" l="1"/>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CF46" i="22" l="1"/>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J1824" i="11"/>
  <c r="J1823" i="11"/>
  <c r="J1836" i="11" a="1"/>
  <c r="J1836" i="11" s="1"/>
  <c r="J1835" i="11" a="1"/>
  <c r="J1835" i="11" s="1"/>
  <c r="J1834" i="11" a="1"/>
  <c r="J1834" i="11" s="1"/>
  <c r="J1833" i="11" a="1"/>
  <c r="J1833" i="11" s="1"/>
  <c r="J1832" i="11" a="1"/>
  <c r="J1832" i="11" s="1"/>
  <c r="J1831" i="11" a="1"/>
  <c r="J1831" i="11" s="1"/>
  <c r="J1830" i="11" a="1"/>
  <c r="J1830" i="11" s="1"/>
  <c r="J1829" i="11" a="1"/>
  <c r="J1829" i="11" s="1"/>
  <c r="J1870" i="11" a="1"/>
  <c r="J1870" i="11" s="1"/>
  <c r="S2022" i="11" a="1"/>
  <c r="S1998" i="11" a="1"/>
  <c r="S1988" i="11" a="1"/>
  <c r="AR24" i="22" l="1"/>
  <c r="AR23" i="22"/>
  <c r="AR22" i="22"/>
  <c r="AR21" i="22"/>
  <c r="AU20" i="22"/>
  <c r="AO25" i="22"/>
  <c r="AQ24" i="22"/>
  <c r="AQ23" i="22"/>
  <c r="AQ22" i="22"/>
  <c r="AQ21" i="22"/>
  <c r="AY19" i="22"/>
  <c r="AT24" i="22"/>
  <c r="AT23" i="22"/>
  <c r="AT22" i="22"/>
  <c r="AT21" i="22"/>
  <c r="BC20" i="22"/>
  <c r="AU19" i="22"/>
  <c r="AS21" i="22"/>
  <c r="AS24" i="22"/>
  <c r="AY20" i="22"/>
  <c r="AS23" i="22"/>
  <c r="AS22" i="22"/>
  <c r="AN1830" i="11"/>
  <c r="AM1830" i="11"/>
  <c r="AL1830" i="11"/>
  <c r="AK1830" i="11"/>
  <c r="AJ1830" i="11"/>
  <c r="AI1830" i="11"/>
  <c r="AH1830" i="11"/>
  <c r="AG1830" i="11"/>
  <c r="AF1830" i="11"/>
  <c r="AE1830" i="11"/>
  <c r="AD1830" i="11"/>
  <c r="AC1830" i="11"/>
  <c r="AB1830" i="11"/>
  <c r="AA1830" i="11"/>
  <c r="Z1830" i="11"/>
  <c r="Y1830" i="11"/>
  <c r="S1963" i="11" a="1"/>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G13" i="23"/>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R2487" i="11" s="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R2438" i="11" s="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R2384" i="11" s="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356" i="11" l="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46" i="23" l="1"/>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1" i="23"/>
  <c r="G31"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Z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7" i="3"/>
  <c r="AA179" i="3"/>
  <c r="AA178"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X2637" i="11"/>
  <c r="Y2637" i="11" s="1"/>
  <c r="X2621" i="11"/>
  <c r="X2636" i="11"/>
  <c r="X2620" i="11"/>
  <c r="X2631" i="11"/>
  <c r="Y2631" i="11" s="1"/>
  <c r="X2615" i="11"/>
  <c r="X2634" i="11"/>
  <c r="AB2619" i="11"/>
  <c r="AB2633" i="11"/>
  <c r="AC2633" i="11" s="1"/>
  <c r="X2641" i="11"/>
  <c r="X2624" i="11"/>
  <c r="X2626" i="11"/>
  <c r="AB2627" i="11"/>
  <c r="AC2627" i="11" s="1"/>
  <c r="AB2638" i="11"/>
  <c r="AB2622" i="11"/>
  <c r="AB2641" i="11"/>
  <c r="AB2625" i="11"/>
  <c r="AC2625" i="11" s="1"/>
  <c r="AB2640" i="11"/>
  <c r="AB2624" i="11"/>
  <c r="X2633" i="11"/>
  <c r="X2617" i="11"/>
  <c r="Y2617" i="11" s="1"/>
  <c r="X2632" i="11"/>
  <c r="X2616" i="11"/>
  <c r="X2627" i="11"/>
  <c r="X2638" i="11"/>
  <c r="Y2638" i="11" s="1"/>
  <c r="X2618" i="11"/>
  <c r="AB2630" i="11"/>
  <c r="AB2617" i="11"/>
  <c r="X2625" i="11"/>
  <c r="Y2625" i="11" s="1"/>
  <c r="X2635" i="11"/>
  <c r="X2614" i="11"/>
  <c r="AB2639" i="11"/>
  <c r="AB2623" i="11"/>
  <c r="AC2623" i="11" s="1"/>
  <c r="AB2634" i="11"/>
  <c r="AB2618" i="11"/>
  <c r="AB2637" i="11"/>
  <c r="AB2621" i="11"/>
  <c r="AC2621" i="11" s="1"/>
  <c r="AB2632" i="11"/>
  <c r="AB2620" i="11"/>
  <c r="X2629" i="11"/>
  <c r="X2613" i="11"/>
  <c r="Y2613" i="11" s="1"/>
  <c r="X2628" i="11"/>
  <c r="X2639" i="11"/>
  <c r="X2623" i="11"/>
  <c r="X2622" i="11"/>
  <c r="Y2622" i="11" s="1"/>
  <c r="X2630" i="11"/>
  <c r="AB2635" i="11"/>
  <c r="AB2614" i="11"/>
  <c r="AB2628" i="11"/>
  <c r="AC2628" i="11" s="1"/>
  <c r="X2640" i="11"/>
  <c r="X2619" i="11"/>
  <c r="P2641" i="11"/>
  <c r="P2625" i="11"/>
  <c r="Q2625" i="11" s="1"/>
  <c r="P2640" i="11"/>
  <c r="P2624" i="11"/>
  <c r="P2635" i="11"/>
  <c r="P2619" i="11"/>
  <c r="Q2619" i="11" s="1"/>
  <c r="P2630" i="11"/>
  <c r="P2614" i="11"/>
  <c r="T2627" i="11"/>
  <c r="T2638" i="11"/>
  <c r="U2638" i="11" s="1"/>
  <c r="T2622" i="11"/>
  <c r="T2637" i="11"/>
  <c r="T2621" i="11"/>
  <c r="T2616" i="11"/>
  <c r="U2616" i="11" s="1"/>
  <c r="T2636" i="11"/>
  <c r="J2632" i="11"/>
  <c r="J2616" i="11"/>
  <c r="J2627" i="11"/>
  <c r="K2627" i="11" s="1"/>
  <c r="J2638" i="11"/>
  <c r="J2622" i="11"/>
  <c r="J2641" i="11"/>
  <c r="J2637" i="11"/>
  <c r="K2637" i="11" s="1"/>
  <c r="L2635" i="11"/>
  <c r="L2619" i="11"/>
  <c r="L2630" i="11"/>
  <c r="L2614" i="11"/>
  <c r="M2614" i="11" s="1"/>
  <c r="L2629" i="11"/>
  <c r="L2613" i="11"/>
  <c r="L2632" i="11"/>
  <c r="N2638" i="11"/>
  <c r="O2638" i="11" s="1"/>
  <c r="N2622" i="11"/>
  <c r="N2637" i="11"/>
  <c r="N2621" i="11"/>
  <c r="N2636" i="11"/>
  <c r="O2636" i="11" s="1"/>
  <c r="N2620" i="11"/>
  <c r="N2615" i="11"/>
  <c r="O2615" i="11" s="1"/>
  <c r="N2631" i="11"/>
  <c r="R2628" i="11"/>
  <c r="S2628" i="11" s="1"/>
  <c r="R2639" i="11"/>
  <c r="R2623" i="11"/>
  <c r="S2623" i="11" s="1"/>
  <c r="R2634" i="11"/>
  <c r="R2618" i="11"/>
  <c r="S2618" i="11" s="1"/>
  <c r="R2621" i="11"/>
  <c r="R2637" i="11"/>
  <c r="S2637" i="11" s="1"/>
  <c r="Z2632" i="11"/>
  <c r="Z2616" i="11"/>
  <c r="AA2616" i="11" s="1"/>
  <c r="Z2627" i="11"/>
  <c r="Z2638" i="11"/>
  <c r="AA2638" i="11" s="1"/>
  <c r="Z2622" i="11"/>
  <c r="AA2622" i="11" s="1"/>
  <c r="Z2625" i="11"/>
  <c r="AA2625" i="11" s="1"/>
  <c r="Z2617" i="11"/>
  <c r="V2634" i="11"/>
  <c r="V2618" i="11"/>
  <c r="V2633" i="11"/>
  <c r="W2633" i="11" s="1"/>
  <c r="V2617" i="11"/>
  <c r="V2632" i="11"/>
  <c r="W2632" i="11" s="1"/>
  <c r="V2616" i="11"/>
  <c r="V2623" i="11"/>
  <c r="W2623" i="11" s="1"/>
  <c r="P2618" i="11"/>
  <c r="T2632" i="11"/>
  <c r="U2632" i="11" s="1"/>
  <c r="J2631" i="11"/>
  <c r="K2631" i="11" s="1"/>
  <c r="J2617" i="11"/>
  <c r="K2617" i="11" s="1"/>
  <c r="L2634" i="11"/>
  <c r="L2617" i="11"/>
  <c r="M2617" i="11" s="1"/>
  <c r="N2626" i="11"/>
  <c r="N2640" i="11"/>
  <c r="O2640" i="11" s="1"/>
  <c r="N2619" i="11"/>
  <c r="R2627" i="11"/>
  <c r="R2613" i="11"/>
  <c r="Z2620" i="11"/>
  <c r="AA2620" i="11" s="1"/>
  <c r="Z2626" i="11"/>
  <c r="V2638" i="11"/>
  <c r="V2621" i="11"/>
  <c r="V2627" i="11"/>
  <c r="W2627" i="11" s="1"/>
  <c r="V2639" i="11"/>
  <c r="P2637" i="11"/>
  <c r="Q2637" i="11" s="1"/>
  <c r="P2621" i="11"/>
  <c r="Q2621" i="11" s="1"/>
  <c r="P2636" i="11"/>
  <c r="Q2636" i="11" s="1"/>
  <c r="P2620" i="1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J2639" i="11"/>
  <c r="K2639" i="11" s="1"/>
  <c r="J2623" i="11"/>
  <c r="K2623" i="11" s="1"/>
  <c r="J2634" i="11"/>
  <c r="K2634" i="11" s="1"/>
  <c r="J2618" i="11"/>
  <c r="J2625" i="11"/>
  <c r="K2625" i="11" s="1"/>
  <c r="J2613" i="11"/>
  <c r="L2631" i="11"/>
  <c r="M2631" i="11" s="1"/>
  <c r="L2615" i="11"/>
  <c r="L2626" i="11"/>
  <c r="M2626" i="11" s="1"/>
  <c r="L2641" i="11"/>
  <c r="L2625" i="11"/>
  <c r="M2625" i="11" s="1"/>
  <c r="L2636" i="11"/>
  <c r="L2616" i="11"/>
  <c r="M2616" i="11" s="1"/>
  <c r="N2634" i="11"/>
  <c r="O2634" i="11" s="1"/>
  <c r="N2618" i="11"/>
  <c r="O2618" i="11" s="1"/>
  <c r="N2633" i="11"/>
  <c r="N2617" i="11"/>
  <c r="O2617" i="11" s="1"/>
  <c r="N2632" i="11"/>
  <c r="O2632" i="11" s="1"/>
  <c r="N2616" i="11"/>
  <c r="O2616" i="11" s="1"/>
  <c r="N2627" i="11"/>
  <c r="R2640" i="11"/>
  <c r="S2640" i="11" s="1"/>
  <c r="R2624" i="11"/>
  <c r="R2635" i="11"/>
  <c r="S2635" i="11" s="1"/>
  <c r="R2619" i="11"/>
  <c r="R2630" i="11"/>
  <c r="S2630" i="11" s="1"/>
  <c r="R2614" i="11"/>
  <c r="S2614" i="11" s="1"/>
  <c r="R2633" i="11"/>
  <c r="S2633" i="11" s="1"/>
  <c r="R2617" i="11"/>
  <c r="Z2628" i="11"/>
  <c r="Z2639" i="11"/>
  <c r="Z2623" i="11"/>
  <c r="AA2623" i="11" s="1"/>
  <c r="Z2634" i="11"/>
  <c r="Z2618" i="11"/>
  <c r="Z2633" i="11"/>
  <c r="AA2633" i="11" s="1"/>
  <c r="Z2629" i="11"/>
  <c r="AA2629" i="11" s="1"/>
  <c r="V2630" i="11"/>
  <c r="V2614" i="11"/>
  <c r="W2614" i="11" s="1"/>
  <c r="V2629" i="11"/>
  <c r="W2629" i="11" s="1"/>
  <c r="V2613" i="11"/>
  <c r="W2613" i="11" s="1"/>
  <c r="V2628" i="11"/>
  <c r="W2628" i="11" s="1"/>
  <c r="V2635" i="11"/>
  <c r="V2631" i="11"/>
  <c r="W2631" i="11" s="1"/>
  <c r="P2613" i="11"/>
  <c r="Q2613" i="11" s="1"/>
  <c r="P2639" i="11"/>
  <c r="Q2639" i="11" s="1"/>
  <c r="P2634" i="11"/>
  <c r="Q2634" i="11" s="1"/>
  <c r="T2615" i="11"/>
  <c r="U2615" i="11" s="1"/>
  <c r="T2641" i="11"/>
  <c r="U2641" i="11" s="1"/>
  <c r="T2640" i="11"/>
  <c r="J2620" i="11"/>
  <c r="K2620" i="11" s="1"/>
  <c r="J2626" i="11"/>
  <c r="K2626" i="11" s="1"/>
  <c r="L2639" i="11"/>
  <c r="M2639" i="11" s="1"/>
  <c r="L2618" i="1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J2630" i="11"/>
  <c r="K2630" i="11" s="1"/>
  <c r="J2633" i="11"/>
  <c r="K2633" i="11" s="1"/>
  <c r="J2621" i="11"/>
  <c r="K2621" i="11" s="1"/>
  <c r="J2614" i="11"/>
  <c r="L2627" i="11"/>
  <c r="M2627" i="11" s="1"/>
  <c r="L2638" i="11"/>
  <c r="M2638" i="11" s="1"/>
  <c r="L2622" i="11"/>
  <c r="M2622" i="11" s="1"/>
  <c r="L2637" i="11"/>
  <c r="M2637" i="11" s="1"/>
  <c r="L2621" i="11"/>
  <c r="M2621" i="11" s="1"/>
  <c r="L2620" i="11"/>
  <c r="M2620" i="11" s="1"/>
  <c r="L2628" i="11"/>
  <c r="M2628" i="11" s="1"/>
  <c r="N2630" i="11"/>
  <c r="N2614" i="11"/>
  <c r="O2614" i="11" s="1"/>
  <c r="N2629" i="11"/>
  <c r="O2629" i="11" s="1"/>
  <c r="N2613" i="11"/>
  <c r="O2613" i="11" s="1"/>
  <c r="N2628" i="11"/>
  <c r="N2639" i="11"/>
  <c r="O2639" i="11" s="1"/>
  <c r="N2635" i="11"/>
  <c r="O2635" i="11" s="1"/>
  <c r="R2636" i="11"/>
  <c r="S2636" i="11" s="1"/>
  <c r="R2620" i="11"/>
  <c r="R2631" i="11"/>
  <c r="R2615" i="11"/>
  <c r="S2615" i="11" s="1"/>
  <c r="R2626" i="11"/>
  <c r="S2626" i="11" s="1"/>
  <c r="R2629" i="11"/>
  <c r="R2641" i="11"/>
  <c r="S2641" i="11" s="1"/>
  <c r="Z2640" i="11"/>
  <c r="AA2640" i="11" s="1"/>
  <c r="Z2624" i="11"/>
  <c r="AA2624" i="11" s="1"/>
  <c r="Z2635" i="11"/>
  <c r="AA2635" i="11" s="1"/>
  <c r="Z2619" i="1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7" i="11"/>
  <c r="AC2632" i="11"/>
  <c r="AC2613" i="11"/>
  <c r="Y2639" i="11"/>
  <c r="Y2623" i="11"/>
  <c r="Y2634" i="11"/>
  <c r="Y2633" i="11"/>
  <c r="Y2632" i="11"/>
  <c r="AC2618" i="11"/>
  <c r="AC2639" i="11"/>
  <c r="Y2624" i="11"/>
  <c r="AC2641" i="11"/>
  <c r="Y2635" i="11"/>
  <c r="Y2619" i="11"/>
  <c r="Y2630" i="11"/>
  <c r="Y2629" i="11"/>
  <c r="Y2628" i="11"/>
  <c r="AC2614" i="11"/>
  <c r="AC2629" i="11"/>
  <c r="AC2640" i="11"/>
  <c r="AC2635" i="11"/>
  <c r="AC2619" i="11"/>
  <c r="Y2640" i="11"/>
  <c r="AC2626" i="11"/>
  <c r="AA2626" i="11"/>
  <c r="O2633" i="11"/>
  <c r="Q2635" i="11"/>
  <c r="Q2630" i="11"/>
  <c r="Q2614" i="11"/>
  <c r="S2624" i="11"/>
  <c r="U2640" i="11"/>
  <c r="M2629" i="11"/>
  <c r="M2613" i="11"/>
  <c r="O2622" i="11"/>
  <c r="Q2618" i="11"/>
  <c r="K2619" i="11"/>
  <c r="U2639" i="11"/>
  <c r="W2616" i="11"/>
  <c r="W2638" i="11"/>
  <c r="W2621" i="11"/>
  <c r="O2619" i="11"/>
  <c r="O2630" i="11"/>
  <c r="Q2641" i="11"/>
  <c r="Q2640" i="11"/>
  <c r="Q2624" i="11"/>
  <c r="S2622" i="11"/>
  <c r="S2621" i="11"/>
  <c r="S2620" i="11"/>
  <c r="S2631" i="11"/>
  <c r="K2641" i="11"/>
  <c r="K2632" i="11"/>
  <c r="K2616" i="11"/>
  <c r="U2637" i="11"/>
  <c r="U2621" i="11"/>
  <c r="U2636" i="11"/>
  <c r="M2641" i="11"/>
  <c r="M2636" i="11"/>
  <c r="M2635" i="11"/>
  <c r="M2619" i="11"/>
  <c r="M2634" i="11"/>
  <c r="W2635" i="11"/>
  <c r="O2621" i="11"/>
  <c r="S2613" i="11"/>
  <c r="K2640" i="11"/>
  <c r="AA2634" i="11"/>
  <c r="AA2618" i="11"/>
  <c r="AA2617" i="11"/>
  <c r="AA2632" i="11"/>
  <c r="AA2627" i="11"/>
  <c r="W2639" i="11"/>
  <c r="W2634" i="11"/>
  <c r="W2618" i="11"/>
  <c r="W2617" i="11"/>
  <c r="O2620" i="11"/>
  <c r="O2631" i="11"/>
  <c r="O2626" i="11"/>
  <c r="Q2620" i="11"/>
  <c r="S2634" i="11"/>
  <c r="S2617" i="11"/>
  <c r="S2627" i="11"/>
  <c r="K2638" i="11"/>
  <c r="K2622" i="11"/>
  <c r="K2628" i="11"/>
  <c r="K2613" i="11"/>
  <c r="U2633" i="11"/>
  <c r="U2627" i="11"/>
  <c r="U2622" i="11"/>
  <c r="M2632" i="11"/>
  <c r="M2615" i="11"/>
  <c r="M2630" i="11"/>
  <c r="AA2628" i="11"/>
  <c r="AA2639" i="11"/>
  <c r="W2630" i="11"/>
  <c r="O2627" i="11"/>
  <c r="O2637" i="11"/>
  <c r="S2629" i="11"/>
  <c r="S2639" i="11"/>
  <c r="K2618" i="11"/>
  <c r="M2618" i="11"/>
  <c r="K2614" i="11"/>
  <c r="AC2617" i="11"/>
  <c r="Y2627" i="11"/>
  <c r="Y2615" i="11"/>
  <c r="O2628" i="11"/>
  <c r="AC2631" i="11"/>
  <c r="Y2621" i="11"/>
  <c r="AC2624" i="11"/>
  <c r="AC2620" i="11"/>
  <c r="AC2616" i="11"/>
  <c r="Y2626" i="11"/>
  <c r="Y2618" i="11"/>
  <c r="Y2614" i="11"/>
  <c r="AC2615" i="11"/>
  <c r="Y2641" i="11"/>
  <c r="Y2636" i="11"/>
  <c r="AC2622" i="11"/>
  <c r="AA2619" i="11"/>
  <c r="Y2616" i="11"/>
  <c r="AC2634" i="11"/>
  <c r="S2619"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S1835" i="11" s="1"/>
  <c r="R1830" i="11"/>
  <c r="R1822" i="11"/>
  <c r="R2073" i="11"/>
  <c r="R1995" i="11"/>
  <c r="R1960" i="11"/>
  <c r="R1946" i="11"/>
  <c r="R1933" i="11"/>
  <c r="R1921" i="11"/>
  <c r="R1901" i="11"/>
  <c r="R1889" i="11"/>
  <c r="R1877" i="11"/>
  <c r="R1865" i="11"/>
  <c r="R1853" i="11"/>
  <c r="R1841" i="11"/>
  <c r="R1825" i="11"/>
  <c r="C51" i="2"/>
  <c r="G51" i="2"/>
  <c r="Q58" i="6"/>
  <c r="P58" i="6"/>
  <c r="Q57" i="6"/>
  <c r="P57" i="6"/>
  <c r="S2070" i="11" l="1" a="1"/>
  <c r="S2070" i="11" s="1"/>
  <c r="S2074" i="11" a="1"/>
  <c r="S2074" i="11" s="1"/>
  <c r="S1982" i="11" a="1"/>
  <c r="S1982" i="11" s="1"/>
  <c r="S1980" i="11" a="1"/>
  <c r="S1980" i="11" s="1"/>
  <c r="S2073" i="11" a="1"/>
  <c r="S2073" i="11" s="1"/>
  <c r="S1981" i="11" a="1"/>
  <c r="S1981" i="11" s="1"/>
  <c r="S2071" i="11" a="1"/>
  <c r="S2071" i="11" s="1"/>
  <c r="S2022" i="11"/>
  <c r="S1988" i="11"/>
  <c r="S2075" i="11" a="1"/>
  <c r="S2075" i="11" s="1"/>
  <c r="S2072" i="11" a="1"/>
  <c r="S2072" i="11" s="1"/>
  <c r="S1998" i="11"/>
  <c r="S2076" i="11" a="1"/>
  <c r="S2076" i="11" s="1"/>
  <c r="AZ21" i="4" s="1"/>
  <c r="S1963" i="11"/>
  <c r="D26" i="2"/>
  <c r="AT21" i="4"/>
  <c r="AX21" i="4"/>
  <c r="S2008" i="11"/>
  <c r="AW21" i="4"/>
  <c r="AU21" i="4"/>
  <c r="AY21" i="4"/>
  <c r="AV21" i="4"/>
  <c r="S2300" i="11"/>
  <c r="AC19" i="14"/>
  <c r="O2598" i="11" l="1"/>
  <c r="O2597" i="11"/>
  <c r="O2596" i="11"/>
  <c r="O2595" i="11"/>
  <c r="P2598" i="11"/>
  <c r="P2597" i="11"/>
  <c r="P2596" i="11"/>
  <c r="P2595" i="11"/>
  <c r="P2594"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G117" i="18"/>
  <c r="AG37" i="18"/>
  <c r="AG20" i="18"/>
  <c r="AG39" i="18"/>
  <c r="AG83" i="18"/>
  <c r="AG121" i="18"/>
  <c r="AH73" i="18" l="1"/>
  <c r="AH66" i="18"/>
  <c r="AH68" i="18"/>
  <c r="AH65" i="18"/>
  <c r="AR19" i="2"/>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Q2545" i="11" l="1"/>
  <c r="Q2543" i="11"/>
  <c r="Q2544" i="11"/>
  <c r="Q2546" i="11"/>
  <c r="Q2547" i="11"/>
  <c r="Q2548" i="11"/>
  <c r="Q2549" i="11"/>
  <c r="Q2550" i="11"/>
  <c r="Q2551" i="11"/>
  <c r="Q2552" i="11"/>
  <c r="Q2553" i="11"/>
  <c r="Q2554" i="11"/>
  <c r="Q2555" i="11"/>
  <c r="Q2556" i="11"/>
  <c r="Q2557" i="11"/>
  <c r="Q2558" i="11"/>
  <c r="Q2559" i="11"/>
  <c r="Q2560" i="11"/>
  <c r="Q2561" i="11"/>
  <c r="Q2562" i="11"/>
  <c r="Q2563" i="11"/>
  <c r="Q2564" i="11"/>
  <c r="Q2565" i="11"/>
  <c r="Q2566" i="11"/>
  <c r="Q2567" i="11"/>
  <c r="Q2568" i="11"/>
  <c r="Q2569" i="11"/>
  <c r="Q2570" i="11"/>
  <c r="Q2571" i="11"/>
  <c r="Q2572" i="11"/>
  <c r="Q2573" i="11"/>
  <c r="Q2574" i="11"/>
  <c r="Q2575" i="11"/>
  <c r="Q2576" i="11"/>
  <c r="Q2577" i="11"/>
  <c r="Q2578" i="11"/>
  <c r="Q2579" i="11"/>
  <c r="Q2580" i="11"/>
  <c r="Q2581" i="11"/>
  <c r="Q2582" i="11"/>
  <c r="Q2583" i="11"/>
  <c r="Q2584" i="11"/>
  <c r="Q2585" i="11"/>
  <c r="Q2586" i="11"/>
  <c r="Q2587" i="11"/>
  <c r="Q2588" i="11"/>
  <c r="Q2589" i="11"/>
  <c r="Q2590" i="11"/>
  <c r="Q2591" i="11"/>
  <c r="Q2592" i="11"/>
  <c r="Q2593" i="11"/>
  <c r="Q2594" i="11"/>
  <c r="Q2595" i="11"/>
  <c r="Q2596" i="11"/>
  <c r="Q2597" i="11"/>
  <c r="Q2598" i="11"/>
  <c r="R2598" i="11" l="1"/>
  <c r="G2598" i="11" s="1"/>
  <c r="R2597" i="11"/>
  <c r="G2597" i="11" s="1"/>
  <c r="R2595" i="11"/>
  <c r="G2595" i="11" s="1"/>
  <c r="R2596" i="11"/>
  <c r="G2596" i="11" s="1"/>
  <c r="C26" i="9" l="1"/>
  <c r="S2596" i="11"/>
  <c r="S2597" i="11"/>
  <c r="S2598" i="1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P50"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7"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F36" i="5"/>
  <c r="R50"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V2546" i="11" l="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K2596" i="11"/>
  <c r="M2596" i="11" s="1"/>
  <c r="K2597" i="11"/>
  <c r="M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Z630" i="11" l="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Z629" i="11" l="1"/>
  <c r="T3" i="2"/>
  <c r="T2" i="2"/>
  <c r="R63" i="5"/>
  <c r="R64" i="5"/>
  <c r="AQ14" i="2"/>
  <c r="AQ11" i="2"/>
  <c r="AQ12" i="2"/>
  <c r="AQ13" i="2"/>
  <c r="F1052" i="11"/>
  <c r="L189" i="3"/>
  <c r="F1055" i="11"/>
  <c r="R189" i="3"/>
  <c r="N189" i="3"/>
  <c r="AA15" i="3"/>
  <c r="P189" i="3"/>
  <c r="F1058" i="11"/>
  <c r="F1057" i="11"/>
  <c r="F1054" i="11"/>
  <c r="F1061" i="11"/>
  <c r="F1060" i="11"/>
  <c r="F1059" i="11"/>
  <c r="F1053" i="11"/>
  <c r="O22" i="8"/>
  <c r="Q18" i="8"/>
  <c r="Q20" i="8"/>
  <c r="Q19" i="8"/>
  <c r="Q17" i="8"/>
  <c r="Q21" i="8"/>
  <c r="H15" i="6"/>
  <c r="I15" i="6" s="1"/>
  <c r="AQ16" i="2"/>
  <c r="AS16" i="2" s="1"/>
  <c r="AQ21" i="2"/>
  <c r="AS21" i="2" s="1"/>
  <c r="L6" i="2" s="1"/>
  <c r="E631" i="11" s="1"/>
  <c r="J12" i="8"/>
  <c r="H24" i="6"/>
  <c r="H25" i="6"/>
  <c r="I25" i="6" s="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K18" i="6" s="1"/>
  <c r="D32" i="10" s="1"/>
  <c r="L13" i="10"/>
  <c r="H17" i="2"/>
  <c r="U154" i="3" s="1"/>
  <c r="W31" i="3"/>
  <c r="AA31" i="3" s="1"/>
  <c r="W37" i="3"/>
  <c r="AA37" i="3" s="1"/>
  <c r="D20" i="5" s="1"/>
  <c r="P24" i="10" s="1"/>
  <c r="N779" i="11"/>
  <c r="W91" i="3"/>
  <c r="V92" i="3" s="1"/>
  <c r="I32" i="4"/>
  <c r="E57" i="10"/>
  <c r="I16" i="6"/>
  <c r="I17" i="6"/>
  <c r="G2530" i="11"/>
  <c r="G2531" i="11"/>
  <c r="I18" i="6"/>
  <c r="U155" i="3"/>
  <c r="I27" i="4"/>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F25" i="10" s="1"/>
  <c r="P5" i="20"/>
  <c r="AJ5" i="6"/>
  <c r="Q5" i="4"/>
  <c r="P5" i="6"/>
  <c r="F7" i="16"/>
  <c r="P5" i="21"/>
  <c r="P5" i="8"/>
  <c r="P5" i="5"/>
  <c r="AI5" i="1"/>
  <c r="AL5" i="4"/>
  <c r="AI5" i="8"/>
  <c r="Q7" i="3"/>
  <c r="AI5" i="2"/>
  <c r="AG5" i="7"/>
  <c r="AI5" i="5"/>
  <c r="Q43" i="2"/>
  <c r="Z46" i="14" s="1"/>
  <c r="K2564" i="11"/>
  <c r="M2564" i="11" s="1"/>
  <c r="Q65" i="2"/>
  <c r="K2586" i="11"/>
  <c r="Q66" i="2"/>
  <c r="Z69" i="14" s="1"/>
  <c r="K2587" i="11"/>
  <c r="M2587" i="11" s="1"/>
  <c r="Q67" i="2"/>
  <c r="Z70" i="14" s="1"/>
  <c r="K2588" i="11"/>
  <c r="Q49" i="2"/>
  <c r="Z52" i="14" s="1"/>
  <c r="K2570" i="11"/>
  <c r="M2570" i="11" s="1"/>
  <c r="Q72" i="2"/>
  <c r="K2593" i="11"/>
  <c r="M2593" i="11" s="1"/>
  <c r="Q40" i="2"/>
  <c r="Z43" i="14" s="1"/>
  <c r="K2561" i="11"/>
  <c r="M2561" i="11" s="1"/>
  <c r="Q50" i="2"/>
  <c r="Z53" i="14" s="1"/>
  <c r="K2571" i="11"/>
  <c r="M2571" i="11" s="1"/>
  <c r="D30" i="4"/>
  <c r="E30" i="4"/>
  <c r="F30" i="4"/>
  <c r="G30" i="4"/>
  <c r="C31" i="4"/>
  <c r="R2572" i="11" l="1"/>
  <c r="M2588" i="11"/>
  <c r="M2586" i="11"/>
  <c r="R2545" i="11" s="1"/>
  <c r="S2546" i="11" s="1"/>
  <c r="W92" i="3"/>
  <c r="AA92" i="3" s="1"/>
  <c r="J13" i="6" s="1"/>
  <c r="F14" i="10"/>
  <c r="H14" i="10"/>
  <c r="R22" i="14"/>
  <c r="AT24" i="4"/>
  <c r="AT11" i="4" s="1"/>
  <c r="AU24" i="4"/>
  <c r="AY24" i="4"/>
  <c r="AV24" i="4"/>
  <c r="AW24" i="4"/>
  <c r="AX24" i="4"/>
  <c r="AT11" i="2"/>
  <c r="AR20" i="2"/>
  <c r="AR14" i="2"/>
  <c r="AS14" i="2" s="1"/>
  <c r="G14" i="2" s="1"/>
  <c r="AR13" i="2"/>
  <c r="AS13" i="2" s="1"/>
  <c r="AR12" i="2"/>
  <c r="AS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G13" i="2" l="1"/>
  <c r="I972" i="11" s="1"/>
  <c r="L40" i="4"/>
  <c r="Q60" i="4"/>
  <c r="L45" i="4"/>
  <c r="L60" i="4"/>
  <c r="L51" i="4"/>
  <c r="W185" i="3"/>
  <c r="K22" i="4"/>
  <c r="L22" i="4"/>
  <c r="AP19" i="2"/>
  <c r="AY11" i="4"/>
  <c r="AY13" i="4"/>
  <c r="AY12" i="4"/>
  <c r="AX13" i="4"/>
  <c r="AX12" i="4"/>
  <c r="AX11" i="4"/>
  <c r="AU11" i="4"/>
  <c r="AU12" i="4"/>
  <c r="AU13" i="4"/>
  <c r="AW12" i="4"/>
  <c r="AW11" i="4"/>
  <c r="AW13" i="4"/>
  <c r="AV11" i="4"/>
  <c r="AV13" i="4"/>
  <c r="AV12" i="4"/>
  <c r="AT12" i="4"/>
  <c r="AT13" i="4"/>
  <c r="AS11" i="2"/>
  <c r="D23"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U158" i="3" s="1"/>
  <c r="W35" i="3"/>
  <c r="F13" i="10"/>
  <c r="G11" i="2"/>
  <c r="W33" i="3" s="1"/>
  <c r="AA33" i="3" s="1"/>
  <c r="AQ19" i="2"/>
  <c r="AS19" i="2" s="1"/>
  <c r="J11" i="2" s="1"/>
  <c r="AT9" i="4"/>
  <c r="I16" i="4" s="1"/>
  <c r="U175" i="3"/>
  <c r="AA35" i="3"/>
  <c r="D16" i="5" s="1"/>
  <c r="J24" i="10"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72" i="3" l="1"/>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AA93" i="3"/>
  <c r="Q13" i="6" s="1"/>
  <c r="AA34" i="3"/>
  <c r="D14" i="5" s="1"/>
  <c r="N24" i="10" s="1"/>
  <c r="K2584" i="11"/>
  <c r="M2584" i="11" s="1"/>
  <c r="AB167" i="3"/>
  <c r="K2585" i="11"/>
  <c r="M2585" i="11" s="1"/>
  <c r="AB168" i="3"/>
  <c r="Q71" i="2"/>
  <c r="AB175" i="3"/>
  <c r="K2592" i="11"/>
  <c r="Q64" i="2"/>
  <c r="Z67" i="14" s="1"/>
  <c r="J29" i="2"/>
  <c r="D22" i="2"/>
  <c r="W27" i="3"/>
  <c r="Q69" i="2"/>
  <c r="Z72" i="14" s="1"/>
  <c r="K2590" i="11"/>
  <c r="M2590"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R2558" i="11" s="1"/>
  <c r="S2559" i="11" s="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O27" i="2" l="1"/>
  <c r="O26" i="2"/>
  <c r="D25" i="2"/>
  <c r="D28" i="2" s="1"/>
  <c r="N27" i="4" s="1"/>
  <c r="AQ20" i="2"/>
  <c r="AS20" i="2" s="1"/>
  <c r="N55" i="4"/>
  <c r="N49" i="4"/>
  <c r="O23" i="2"/>
  <c r="V2544" i="11" s="1"/>
  <c r="O56" i="2"/>
  <c r="V2577" i="11" s="1"/>
  <c r="O52" i="2"/>
  <c r="V2573" i="11" s="1"/>
  <c r="O62" i="2"/>
  <c r="V2583" i="11" s="1"/>
  <c r="O22" i="2"/>
  <c r="V2543" i="11" s="1"/>
  <c r="V2548" i="11"/>
  <c r="V2547" i="11"/>
  <c r="E36" i="4"/>
  <c r="G36" i="4"/>
  <c r="D36" i="4"/>
  <c r="F36" i="4"/>
  <c r="C37" i="4"/>
  <c r="O13" i="6" l="1"/>
  <c r="N38" i="4"/>
  <c r="O12" i="8"/>
  <c r="J16" i="2"/>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N20"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U166" i="3" l="1"/>
  <c r="U162" i="3"/>
  <c r="U130" i="3"/>
  <c r="U126" i="3"/>
  <c r="U129" i="3"/>
  <c r="U127" i="3"/>
  <c r="U128" i="3"/>
  <c r="B177" i="3"/>
  <c r="W24" i="3"/>
  <c r="L23" i="10"/>
  <c r="F23" i="10"/>
  <c r="L24" i="10"/>
  <c r="D24" i="5"/>
  <c r="AA24" i="3" l="1"/>
  <c r="AB177" i="3"/>
  <c r="Q73" i="2"/>
  <c r="Z76" i="14" s="1"/>
  <c r="K2594" i="11"/>
  <c r="M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32" i="4"/>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B160" i="3" s="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45" i="2" l="1"/>
  <c r="K2566" i="11"/>
  <c r="M2566" i="11" s="1"/>
  <c r="AB149" i="3"/>
  <c r="I981" i="11"/>
  <c r="X882" i="11"/>
  <c r="V65" i="3" s="1"/>
  <c r="AD40" i="4" s="1"/>
  <c r="X883" i="11"/>
  <c r="Q56" i="2"/>
  <c r="AA151" i="3"/>
  <c r="AB151" i="3" s="1"/>
  <c r="AA146" i="3"/>
  <c r="Q42" i="2" s="1"/>
  <c r="AA138" i="3"/>
  <c r="AB138" i="3" s="1"/>
  <c r="AA156" i="3"/>
  <c r="AA150" i="3"/>
  <c r="AB150" i="3" s="1"/>
  <c r="AA158" i="3"/>
  <c r="K2575" i="11" s="1"/>
  <c r="M2575" i="11" s="1"/>
  <c r="AA148" i="3"/>
  <c r="AB148" i="3" s="1"/>
  <c r="AA139" i="3"/>
  <c r="Q35" i="2" s="1"/>
  <c r="AA136" i="3"/>
  <c r="AB136" i="3" s="1"/>
  <c r="AA172" i="3"/>
  <c r="AA164" i="3"/>
  <c r="AB164" i="3" s="1"/>
  <c r="AA143" i="3"/>
  <c r="K2560" i="11" s="1"/>
  <c r="M2560" i="11" s="1"/>
  <c r="AA142" i="3"/>
  <c r="AB142" i="3" s="1"/>
  <c r="AA145" i="3"/>
  <c r="K2562" i="11" s="1"/>
  <c r="M2562" i="11" s="1"/>
  <c r="AA135" i="3"/>
  <c r="AB135" i="3" s="1"/>
  <c r="AA157" i="3"/>
  <c r="K2574" i="11" s="1"/>
  <c r="M2574"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AA137" i="3"/>
  <c r="AB137" i="3" s="1"/>
  <c r="AA166" i="3"/>
  <c r="AA133" i="3"/>
  <c r="AA129" i="3"/>
  <c r="K2546" i="11" s="1"/>
  <c r="AA141" i="3"/>
  <c r="AB141" i="3" s="1"/>
  <c r="AA174" i="3"/>
  <c r="Q70" i="2" s="1"/>
  <c r="Z73" i="14" s="1"/>
  <c r="AA140" i="3"/>
  <c r="AA128" i="3"/>
  <c r="AB128" i="3" s="1"/>
  <c r="AA134" i="3"/>
  <c r="AB134" i="3" s="1"/>
  <c r="AA131" i="3"/>
  <c r="AB131" i="3" s="1"/>
  <c r="K2577" i="11"/>
  <c r="M2577" i="11" s="1"/>
  <c r="AB126" i="3"/>
  <c r="Q22" i="2"/>
  <c r="M2582" i="11" l="1"/>
  <c r="R2548" i="11" s="1"/>
  <c r="S2549" i="11" s="1"/>
  <c r="M2546" i="11"/>
  <c r="R2573" i="11" s="1"/>
  <c r="S2574" i="11" s="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X840" i="11"/>
  <c r="V59" i="3"/>
  <c r="I973" i="11"/>
  <c r="H1100" i="11"/>
  <c r="I979" i="11"/>
  <c r="H1100" i="4"/>
  <c r="K2559" i="11"/>
  <c r="K2568" i="11"/>
  <c r="K2549" i="11"/>
  <c r="M2549" i="11" s="1"/>
  <c r="Q47" i="2"/>
  <c r="Q32" i="2"/>
  <c r="K2580" i="11"/>
  <c r="Q46" i="2"/>
  <c r="Q51" i="2"/>
  <c r="Q59" i="2"/>
  <c r="K2567" i="11"/>
  <c r="Q38" i="2"/>
  <c r="Q29" i="2"/>
  <c r="I945" i="11"/>
  <c r="K2572" i="11"/>
  <c r="K2553" i="11"/>
  <c r="M2553"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K2589" i="11"/>
  <c r="Q30" i="2"/>
  <c r="K2543" i="11"/>
  <c r="M2543" i="11" s="1"/>
  <c r="R2582" i="11"/>
  <c r="S2583" i="11" s="1"/>
  <c r="R2567" i="11"/>
  <c r="S2568" i="11" s="1"/>
  <c r="R2557" i="11"/>
  <c r="S2558" i="11" s="1"/>
  <c r="R2594" i="11"/>
  <c r="S2595" i="11" s="1"/>
  <c r="R2562" i="11"/>
  <c r="S2563" i="11" s="1"/>
  <c r="R2554" i="11"/>
  <c r="S2555" i="11" s="1"/>
  <c r="R2555" i="11"/>
  <c r="S2556" i="11" s="1"/>
  <c r="R2592" i="11"/>
  <c r="S2593" i="11" s="1"/>
  <c r="R2552" i="11"/>
  <c r="S2553" i="11" s="1"/>
  <c r="R2569" i="11"/>
  <c r="S2570" i="11" s="1"/>
  <c r="R2546" i="11"/>
  <c r="S2547" i="11" s="1"/>
  <c r="R2547" i="11"/>
  <c r="S2548" i="11" s="1"/>
  <c r="R2589" i="11"/>
  <c r="S2590" i="11" s="1"/>
  <c r="R2583" i="11"/>
  <c r="S2584" i="11" s="1"/>
  <c r="R2584" i="11"/>
  <c r="S2585" i="11" s="1"/>
  <c r="R2550" i="11"/>
  <c r="S2551" i="11" s="1"/>
  <c r="S2573" i="11"/>
  <c r="R2565" i="11"/>
  <c r="S2566" i="11" s="1"/>
  <c r="R2575" i="11"/>
  <c r="S2576" i="11" s="1"/>
  <c r="M2563" i="11" l="1"/>
  <c r="R2564" i="11" s="1"/>
  <c r="S2565" i="11" s="1"/>
  <c r="M2545" i="11"/>
  <c r="R2571" i="11" s="1"/>
  <c r="S2572" i="11" s="1"/>
  <c r="M2551" i="11"/>
  <c r="R2566" i="11" s="1"/>
  <c r="S2567" i="11" s="1"/>
  <c r="M2552" i="11"/>
  <c r="R2568" i="11" s="1"/>
  <c r="S2569" i="11" s="1"/>
  <c r="M2579" i="11"/>
  <c r="R2586" i="11" s="1"/>
  <c r="S2587" i="11" s="1"/>
  <c r="M2576" i="11"/>
  <c r="R2559" i="11" s="1"/>
  <c r="S2560" i="11" s="1"/>
  <c r="M2572" i="11"/>
  <c r="R2563" i="11" s="1"/>
  <c r="S2564" i="11" s="1"/>
  <c r="M2567" i="11"/>
  <c r="R2570" i="11" s="1"/>
  <c r="S2571" i="11" s="1"/>
  <c r="M2580" i="11"/>
  <c r="R2590" i="11" s="1"/>
  <c r="S2591" i="11" s="1"/>
  <c r="M2568" i="11"/>
  <c r="R2574" i="11" s="1"/>
  <c r="S2575" i="11" s="1"/>
  <c r="M2573" i="11"/>
  <c r="R2578" i="11" s="1"/>
  <c r="S2579" i="11" s="1"/>
  <c r="M2547" i="11"/>
  <c r="R2591" i="11" s="1"/>
  <c r="S2592" i="11" s="1"/>
  <c r="M2554" i="11"/>
  <c r="R2556" i="11" s="1"/>
  <c r="S2557" i="11" s="1"/>
  <c r="M2581" i="11"/>
  <c r="R2593" i="11" s="1"/>
  <c r="S2594" i="11" s="1"/>
  <c r="M2569" i="11"/>
  <c r="R2576" i="11" s="1"/>
  <c r="S2577" i="11" s="1"/>
  <c r="M2548" i="11"/>
  <c r="R2585" i="11" s="1"/>
  <c r="S2586" i="11" s="1"/>
  <c r="M2550" i="11"/>
  <c r="R2560" i="11" s="1"/>
  <c r="S2561" i="11" s="1"/>
  <c r="M2559" i="11"/>
  <c r="R2581" i="11" s="1"/>
  <c r="S2582" i="11" s="1"/>
  <c r="M2589" i="11"/>
  <c r="R2587" i="11" s="1"/>
  <c r="S2588" i="11" s="1"/>
  <c r="M2591" i="11"/>
  <c r="R2577" i="11" s="1"/>
  <c r="S2578" i="11" s="1"/>
  <c r="M2556" i="11"/>
  <c r="R2561" i="11" s="1"/>
  <c r="S2562" i="11" s="1"/>
  <c r="M2558" i="11"/>
  <c r="R2551" i="11" s="1"/>
  <c r="S2552" i="11" s="1"/>
  <c r="M2565" i="11"/>
  <c r="R2588" i="11" s="1"/>
  <c r="S2589" i="11" s="1"/>
  <c r="M2557" i="11"/>
  <c r="R2544" i="11" s="1"/>
  <c r="S2545" i="11" s="1"/>
  <c r="R2549" i="11"/>
  <c r="S2550" i="11" s="1"/>
  <c r="R2543" i="11"/>
  <c r="V61" i="3"/>
  <c r="V57" i="3"/>
  <c r="AD35" i="4"/>
  <c r="R2579" i="11"/>
  <c r="S2580" i="11" s="1"/>
  <c r="R2553" i="11"/>
  <c r="S2554" i="11" s="1"/>
  <c r="Z65" i="14"/>
  <c r="AD34" i="4"/>
  <c r="R2580" i="11"/>
  <c r="S2581" i="11" s="1"/>
  <c r="S2544" i="11" l="1"/>
  <c r="T2577" i="11" s="1"/>
  <c r="G2577" i="11" s="1"/>
  <c r="G2543" i="11"/>
  <c r="C25" i="9"/>
  <c r="T2582" i="11" l="1"/>
  <c r="G2582" i="11" s="1"/>
  <c r="T2581" i="11"/>
  <c r="G2581" i="11" s="1"/>
  <c r="T2597" i="11"/>
  <c r="T2596" i="11"/>
  <c r="T2584" i="11"/>
  <c r="G2584" i="11" s="1"/>
  <c r="T2556" i="11"/>
  <c r="G2556" i="11" s="1"/>
  <c r="T2589" i="11"/>
  <c r="G2589" i="11" s="1"/>
  <c r="T2583" i="11"/>
  <c r="G2583" i="11" s="1"/>
  <c r="T2564" i="11"/>
  <c r="G2564" i="11" s="1"/>
  <c r="T2585" i="11"/>
  <c r="G2585" i="11" s="1"/>
  <c r="T2592" i="11"/>
  <c r="G2592" i="11" s="1"/>
  <c r="T2588" i="11"/>
  <c r="G2588" i="11" s="1"/>
  <c r="T2598" i="1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20" i="4" l="1"/>
  <c r="P20" i="4"/>
  <c r="Q38" i="4"/>
  <c r="P38" i="4" s="1"/>
  <c r="Q43" i="4"/>
  <c r="P43" i="4" s="1"/>
  <c r="Q55" i="4"/>
  <c r="P55" i="4" s="1"/>
  <c r="H1075" i="4"/>
  <c r="O55" i="4"/>
  <c r="I986" i="11"/>
  <c r="O49" i="4"/>
  <c r="O32" i="4"/>
  <c r="O27" i="4"/>
  <c r="I988" i="11"/>
  <c r="O38" i="4"/>
  <c r="O43"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<sst xmlns="http://schemas.openxmlformats.org/spreadsheetml/2006/main" count="31064" uniqueCount="10520">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</sst>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34">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50" borderId="0" xfId="0" applyFont="1" applyFill="1" applyBorder="1" applyAlignment="1" applyProtection="1">
      <alignment horizontal="lef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84" fillId="4" borderId="0" xfId="0" applyFont="1" applyFill="1" applyAlignment="1" applyProtection="1">
      <alignment horizontal="center"/>
    </xf>
    <xf numFmtId="0" fontId="134" fillId="4" borderId="0" xfId="0" applyFont="1" applyFill="1" applyAlignment="1" applyProtection="1">
      <alignment horizontal="center"/>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84"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6" fillId="9" borderId="372" xfId="0" applyFont="1" applyFill="1" applyBorder="1" applyAlignment="1" applyProtection="1">
      <alignment horizontal="center" vertical="center" wrapText="1"/>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9" fillId="42" borderId="0" xfId="0" applyFont="1" applyFill="1" applyBorder="1" applyAlignment="1" applyProtection="1">
      <alignment horizontal="center"/>
    </xf>
    <xf numFmtId="0" fontId="79" fillId="42" borderId="87" xfId="0" applyFont="1" applyFill="1" applyBorder="1" applyAlignment="1" applyProtection="1">
      <alignment horizont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6"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78"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84"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51"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49" fontId="103" fillId="14" borderId="111" xfId="0" applyNumberFormat="1"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49" fontId="103" fillId="14" borderId="267" xfId="0" applyNumberFormat="1" applyFont="1" applyFill="1" applyBorder="1" applyAlignment="1" applyProtection="1">
      <alignment horizontal="center"/>
    </xf>
    <xf numFmtId="0" fontId="66" fillId="13" borderId="267" xfId="0"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168" fontId="92" fillId="24" borderId="267" xfId="0" applyNumberFormat="1" applyFont="1" applyFill="1" applyBorder="1" applyAlignment="1" applyProtection="1">
      <alignment horizontal="center" vertical="center"/>
    </xf>
    <xf numFmtId="49" fontId="103"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4"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33"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0" fillId="0" borderId="0" xfId="0" applyAlignment="1" applyProtection="1">
      <alignment horizontal="center"/>
    </xf>
    <xf numFmtId="0" fontId="158"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58" fillId="16" borderId="0" xfId="0" applyFont="1" applyFill="1" applyAlignment="1" applyProtection="1">
      <alignment horizontal="left"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9" fillId="9" borderId="22" xfId="0" applyFont="1" applyFill="1" applyBorder="1" applyAlignment="1" applyProtection="1">
      <alignment horizontal="right" vertical="center"/>
    </xf>
    <xf numFmtId="0" fontId="127" fillId="9" borderId="99" xfId="0" applyFont="1" applyFill="1" applyBorder="1" applyAlignment="1" applyProtection="1">
      <alignment horizontal="center" vertical="center" wrapText="1"/>
    </xf>
    <xf numFmtId="0" fontId="127" fillId="9" borderId="101"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9"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142"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9" fillId="43" borderId="99"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29" fillId="4" borderId="53" xfId="0" applyFont="1" applyFill="1" applyBorder="1" applyAlignment="1" applyProtection="1"/>
    <xf numFmtId="0" fontId="59" fillId="9" borderId="16" xfId="0" applyFont="1" applyFill="1" applyBorder="1" applyAlignment="1" applyProtection="1">
      <alignment horizont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9" fillId="9" borderId="0" xfId="0" applyNumberFormat="1"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62" xfId="0" applyFont="1" applyFill="1" applyBorder="1" applyAlignment="1">
      <alignment horizont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7" fillId="9" borderId="100"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155"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7" fillId="13" borderId="89" xfId="0" applyFont="1" applyFill="1" applyBorder="1" applyAlignment="1" applyProtection="1">
      <alignment horizontal="center"/>
    </xf>
    <xf numFmtId="0" fontId="67"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7"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7" fillId="17" borderId="0" xfId="0" applyFont="1" applyFill="1" applyBorder="1" applyAlignment="1">
      <alignment horizontal="center"/>
    </xf>
    <xf numFmtId="0" fontId="0" fillId="17" borderId="0" xfId="0" applyFill="1" applyBorder="1" applyAlignment="1">
      <alignment horizontal="center"/>
    </xf>
    <xf numFmtId="0" fontId="67" fillId="13" borderId="148"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7" fillId="13" borderId="0"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87" xfId="0"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75" fillId="22" borderId="111" xfId="0"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168" fillId="24" borderId="111" xfId="0" applyFont="1" applyFill="1" applyBorder="1" applyAlignment="1" applyProtection="1">
      <alignment horizontal="center" vertical="center" wrapText="1"/>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267"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49" fontId="89" fillId="24" borderId="87" xfId="13" applyNumberFormat="1" applyFont="1" applyFill="1" applyBorder="1" applyAlignment="1" applyProtection="1">
      <alignment horizontal="center"/>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3">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X24" sqref="X24"/>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60"/>
      <c r="D3" s="3160"/>
      <c r="E3" s="3160"/>
      <c r="F3" s="3160"/>
      <c r="G3" s="3160"/>
      <c r="H3" s="3160"/>
      <c r="I3" s="48"/>
      <c r="J3" s="48"/>
      <c r="K3" s="48"/>
      <c r="L3" s="48"/>
      <c r="M3" s="48"/>
      <c r="N3" s="48"/>
      <c r="O3" s="48"/>
      <c r="P3" s="48"/>
      <c r="Q3" s="48"/>
      <c r="R3" s="49"/>
      <c r="S3" s="1892"/>
      <c r="T3" s="47"/>
    </row>
    <row r="4" spans="1:24" ht="12" customHeight="1" thickBot="1" x14ac:dyDescent="0.25">
      <c r="A4" s="45"/>
      <c r="B4" s="2293"/>
      <c r="C4" s="3160"/>
      <c r="D4" s="3160"/>
      <c r="E4" s="3160"/>
      <c r="F4" s="3160"/>
      <c r="G4" s="3160"/>
      <c r="H4" s="3160"/>
      <c r="I4" s="52"/>
      <c r="J4" s="52"/>
      <c r="K4" s="3161" t="str">
        <f>IF(General!$G$22=0,"",General!$G$22)</f>
        <v/>
      </c>
      <c r="L4" s="3161"/>
      <c r="M4" s="3161"/>
      <c r="N4" s="3161"/>
      <c r="O4" s="3161"/>
      <c r="P4" s="3161"/>
      <c r="Q4" s="3161"/>
      <c r="R4" s="13"/>
      <c r="S4" s="1893"/>
      <c r="T4" s="53"/>
    </row>
    <row r="5" spans="1:24" ht="12" customHeight="1" thickBot="1" x14ac:dyDescent="0.25">
      <c r="A5" s="45"/>
      <c r="B5" s="2293"/>
      <c r="C5" s="3160"/>
      <c r="D5" s="3160"/>
      <c r="E5" s="3160"/>
      <c r="F5" s="3160"/>
      <c r="G5" s="3160"/>
      <c r="H5" s="3160"/>
      <c r="I5" s="52"/>
      <c r="J5" s="52"/>
      <c r="K5" s="3161"/>
      <c r="L5" s="3161"/>
      <c r="M5" s="3161"/>
      <c r="N5" s="3161"/>
      <c r="O5" s="3161"/>
      <c r="P5" s="3161"/>
      <c r="Q5" s="3161"/>
      <c r="R5" s="55"/>
      <c r="S5" s="1892"/>
      <c r="T5" s="53"/>
    </row>
    <row r="6" spans="1:24" ht="12" customHeight="1" thickBot="1" x14ac:dyDescent="0.25">
      <c r="A6" s="45"/>
      <c r="B6" s="2293"/>
      <c r="C6" s="3160"/>
      <c r="D6" s="3160"/>
      <c r="E6" s="3160"/>
      <c r="F6" s="3160"/>
      <c r="G6" s="3160"/>
      <c r="H6" s="3160"/>
      <c r="I6" s="52"/>
      <c r="J6" s="52"/>
      <c r="K6" s="3161"/>
      <c r="L6" s="3161"/>
      <c r="M6" s="3161"/>
      <c r="N6" s="3161"/>
      <c r="O6" s="3161"/>
      <c r="P6" s="3161"/>
      <c r="Q6" s="3161"/>
      <c r="R6" s="55"/>
      <c r="S6" s="1892"/>
      <c r="T6" s="53"/>
    </row>
    <row r="7" spans="1:24" ht="12" customHeight="1" thickBot="1" x14ac:dyDescent="0.25">
      <c r="A7" s="45"/>
      <c r="B7" s="2293"/>
      <c r="C7" s="3160"/>
      <c r="D7" s="3160"/>
      <c r="E7" s="3160"/>
      <c r="F7" s="3160"/>
      <c r="G7" s="3160"/>
      <c r="H7" s="3160"/>
      <c r="I7" s="52"/>
      <c r="J7" s="52"/>
      <c r="K7" s="3161"/>
      <c r="L7" s="3161"/>
      <c r="M7" s="3161"/>
      <c r="N7" s="3161"/>
      <c r="O7" s="3161"/>
      <c r="P7" s="3161"/>
      <c r="Q7" s="3161"/>
      <c r="R7" s="55"/>
      <c r="S7" s="1892"/>
      <c r="T7" s="53"/>
    </row>
    <row r="8" spans="1:24" ht="12" customHeight="1" thickBot="1" x14ac:dyDescent="0.25">
      <c r="A8" s="45"/>
      <c r="B8" s="2293"/>
      <c r="C8" s="3160"/>
      <c r="D8" s="3160"/>
      <c r="E8" s="3160"/>
      <c r="F8" s="3160"/>
      <c r="G8" s="3160"/>
      <c r="H8" s="3160"/>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25" t="s">
        <v>9160</v>
      </c>
      <c r="W10" s="3126"/>
      <c r="X10" s="3127"/>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64" t="str">
        <f>Principal!K7</f>
        <v>Natural 10</v>
      </c>
      <c r="L11" s="3164"/>
      <c r="M11" s="3164"/>
      <c r="N11" s="3164"/>
      <c r="O11" s="3164"/>
      <c r="P11" s="3164"/>
      <c r="Q11" s="3164"/>
      <c r="R11" s="2287"/>
      <c r="S11" s="1892"/>
      <c r="T11" s="53"/>
      <c r="V11" s="3128"/>
      <c r="W11" s="3129"/>
      <c r="X11" s="3130"/>
    </row>
    <row r="12" spans="1:24" ht="12" customHeight="1" x14ac:dyDescent="0.2">
      <c r="A12" s="45"/>
      <c r="B12" s="2294"/>
      <c r="C12" s="3145" t="s">
        <v>2191</v>
      </c>
      <c r="D12" s="3146"/>
      <c r="E12" s="3146"/>
      <c r="F12" s="3144">
        <f>Principal!N11</f>
        <v>25</v>
      </c>
      <c r="G12" s="3144"/>
      <c r="H12" s="267"/>
      <c r="I12" s="267"/>
      <c r="J12" s="267"/>
      <c r="K12" s="3162" t="s">
        <v>1629</v>
      </c>
      <c r="L12" s="3162"/>
      <c r="M12" s="3163" t="str">
        <f>Principal!L5</f>
        <v>Hechicero</v>
      </c>
      <c r="N12" s="3163"/>
      <c r="O12" s="3163"/>
      <c r="P12" s="267"/>
      <c r="Q12" s="267"/>
      <c r="R12" s="1823"/>
      <c r="S12" s="1892"/>
      <c r="T12" s="53"/>
      <c r="V12" s="3112"/>
      <c r="W12" s="3113"/>
      <c r="X12" s="3114"/>
    </row>
    <row r="13" spans="1:24" ht="12" customHeight="1" x14ac:dyDescent="0.2">
      <c r="A13" s="45"/>
      <c r="B13" s="2294"/>
      <c r="C13" s="2282" t="s">
        <v>2192</v>
      </c>
      <c r="D13" s="2285">
        <f>FUE</f>
        <v>0</v>
      </c>
      <c r="E13" s="2283" t="s">
        <v>2193</v>
      </c>
      <c r="F13" s="2285">
        <f>DES</f>
        <v>0</v>
      </c>
      <c r="G13" s="2283" t="s">
        <v>2194</v>
      </c>
      <c r="H13" s="2285">
        <f>AGI</f>
        <v>0</v>
      </c>
      <c r="I13" s="2283" t="s">
        <v>2195</v>
      </c>
      <c r="J13" s="2285">
        <f>CON</f>
        <v>0</v>
      </c>
      <c r="K13" s="2283" t="s">
        <v>2196</v>
      </c>
      <c r="L13" s="2285">
        <f>POD</f>
        <v>0</v>
      </c>
      <c r="M13" s="2283" t="s">
        <v>2197</v>
      </c>
      <c r="N13" s="2285">
        <f>INT</f>
        <v>0</v>
      </c>
      <c r="O13" s="2283" t="s">
        <v>2198</v>
      </c>
      <c r="P13" s="2285">
        <f>VOL</f>
        <v>0</v>
      </c>
      <c r="Q13" s="2283" t="s">
        <v>2199</v>
      </c>
      <c r="R13" s="2287">
        <f>PER</f>
        <v>0</v>
      </c>
      <c r="S13" s="1892"/>
      <c r="T13" s="53"/>
      <c r="V13" s="3115"/>
      <c r="W13" s="3116"/>
      <c r="X13" s="3117"/>
    </row>
    <row r="14" spans="1:24" ht="12" customHeight="1" x14ac:dyDescent="0.2">
      <c r="A14" s="45"/>
      <c r="B14" s="2294"/>
      <c r="C14" s="1824" t="s">
        <v>2200</v>
      </c>
      <c r="D14" s="2285">
        <f>Principal!J56</f>
        <v>30</v>
      </c>
      <c r="E14" s="407" t="s">
        <v>2201</v>
      </c>
      <c r="F14" s="2285">
        <f>Principal!J59</f>
        <v>30</v>
      </c>
      <c r="G14" s="407" t="s">
        <v>2202</v>
      </c>
      <c r="H14" s="2285">
        <f>Principal!J60</f>
        <v>30</v>
      </c>
      <c r="I14" s="407" t="s">
        <v>2203</v>
      </c>
      <c r="J14" s="2285">
        <f>Principal!J58</f>
        <v>30</v>
      </c>
      <c r="K14" s="407" t="s">
        <v>2204</v>
      </c>
      <c r="L14" s="2285">
        <f>Principal!J57</f>
        <v>30</v>
      </c>
      <c r="M14" s="56"/>
      <c r="N14" s="407" t="s">
        <v>2178</v>
      </c>
      <c r="O14" s="56"/>
      <c r="P14" s="2285">
        <f>Presencia_final</f>
        <v>30</v>
      </c>
      <c r="Q14" s="56"/>
      <c r="R14" s="1683"/>
      <c r="S14" s="1892"/>
      <c r="T14" s="53"/>
      <c r="V14" s="3115"/>
      <c r="W14" s="3116"/>
      <c r="X14" s="3117"/>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15"/>
      <c r="W15" s="3116"/>
      <c r="X15" s="3117"/>
    </row>
    <row r="16" spans="1:24" ht="17.100000000000001" customHeight="1" x14ac:dyDescent="0.2">
      <c r="A16" s="45"/>
      <c r="B16" s="2294"/>
      <c r="C16" s="2284" t="s">
        <v>2205</v>
      </c>
      <c r="D16" s="3150"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50"/>
      <c r="F16" s="3150"/>
      <c r="G16" s="3150"/>
      <c r="H16" s="3150"/>
      <c r="I16" s="3150"/>
      <c r="J16" s="3150"/>
      <c r="K16" s="3150"/>
      <c r="L16" s="3150"/>
      <c r="M16" s="3150"/>
      <c r="N16" s="3150"/>
      <c r="O16" s="3150"/>
      <c r="P16" s="3150"/>
      <c r="Q16" s="3150"/>
      <c r="R16" s="3151"/>
      <c r="S16" s="1892"/>
      <c r="T16" s="53"/>
      <c r="V16" s="3115"/>
      <c r="W16" s="3116"/>
      <c r="X16" s="3117"/>
    </row>
    <row r="17" spans="1:24" ht="17.100000000000001" customHeight="1" x14ac:dyDescent="0.2">
      <c r="A17" s="45"/>
      <c r="B17" s="2294"/>
      <c r="C17" s="3145" t="s">
        <v>2206</v>
      </c>
      <c r="D17" s="3146"/>
      <c r="E17" s="3146"/>
      <c r="F17" s="3146"/>
      <c r="G17" s="3150"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v>
      </c>
      <c r="H17" s="3150"/>
      <c r="I17" s="3150"/>
      <c r="J17" s="3150"/>
      <c r="K17" s="3150"/>
      <c r="L17" s="3150"/>
      <c r="M17" s="3150"/>
      <c r="N17" s="3150"/>
      <c r="O17" s="3150"/>
      <c r="P17" s="3150"/>
      <c r="Q17" s="3150"/>
      <c r="R17" s="3151"/>
      <c r="S17" s="1892"/>
      <c r="T17" s="53"/>
      <c r="V17" s="3115"/>
      <c r="W17" s="3116"/>
      <c r="X17" s="3117"/>
    </row>
    <row r="18" spans="1:24" ht="17.100000000000001" customHeight="1" x14ac:dyDescent="0.2">
      <c r="A18" s="45"/>
      <c r="B18" s="2293"/>
      <c r="C18" s="3145" t="s">
        <v>2207</v>
      </c>
      <c r="D18" s="3146"/>
      <c r="E18" s="3146"/>
      <c r="F18" s="3146"/>
      <c r="G18" s="3150"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0 Esquiva</v>
      </c>
      <c r="H18" s="3150"/>
      <c r="I18" s="3150"/>
      <c r="J18" s="3150"/>
      <c r="K18" s="3150"/>
      <c r="L18" s="3150"/>
      <c r="M18" s="3150"/>
      <c r="N18" s="3150"/>
      <c r="O18" s="3150"/>
      <c r="P18" s="3150"/>
      <c r="Q18" s="3150"/>
      <c r="R18" s="3151"/>
      <c r="S18" s="1892"/>
      <c r="T18" s="53"/>
      <c r="V18" s="3115"/>
      <c r="W18" s="3116"/>
      <c r="X18" s="3117"/>
    </row>
    <row r="19" spans="1:24" ht="17.100000000000001" customHeight="1" x14ac:dyDescent="0.2">
      <c r="A19" s="45"/>
      <c r="B19" s="2293"/>
      <c r="C19" s="1826" t="s">
        <v>2208</v>
      </c>
      <c r="D19" s="3150"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50"/>
      <c r="F19" s="3150"/>
      <c r="G19" s="3150"/>
      <c r="H19" s="3150"/>
      <c r="I19" s="3150"/>
      <c r="J19" s="3150"/>
      <c r="K19" s="3150"/>
      <c r="L19" s="3150"/>
      <c r="M19" s="3150"/>
      <c r="N19" s="3150"/>
      <c r="O19" s="3150"/>
      <c r="P19" s="3150"/>
      <c r="Q19" s="3150"/>
      <c r="R19" s="3151"/>
      <c r="S19" s="1892"/>
      <c r="T19" s="53"/>
      <c r="V19" s="3115"/>
      <c r="W19" s="3116"/>
      <c r="X19" s="3117"/>
    </row>
    <row r="20" spans="1:24" ht="12" customHeight="1" x14ac:dyDescent="0.2">
      <c r="A20" s="45"/>
      <c r="B20" s="2293"/>
      <c r="C20" s="1824" t="s">
        <v>2209</v>
      </c>
      <c r="D20" s="3144" t="str">
        <f>IF(Combate!C12=0,"",Combate!C12)&amp;IF(OR(Combate!C12=0,Combate!C13=0),""," + ")&amp;IF(Combate!C13=0,"",Combate!C13)&amp;IF(OR(AND(Combate!C12=0,Combate!C13=0),Combate!C14=0),""," + ")&amp;IF(Combate!C14=0,"",Combate!C14)</f>
        <v/>
      </c>
      <c r="E20" s="3144"/>
      <c r="F20" s="3144"/>
      <c r="G20" s="3144"/>
      <c r="H20" s="3144"/>
      <c r="I20" s="3144"/>
      <c r="J20" s="3144"/>
      <c r="K20" s="56"/>
      <c r="L20" s="56"/>
      <c r="M20" s="56"/>
      <c r="N20" s="56"/>
      <c r="O20" s="56"/>
      <c r="P20" s="56"/>
      <c r="Q20" s="56"/>
      <c r="R20" s="1683"/>
      <c r="S20" s="1892"/>
      <c r="T20" s="53"/>
      <c r="V20" s="3115"/>
      <c r="W20" s="3116"/>
      <c r="X20" s="3117"/>
    </row>
    <row r="21" spans="1:24" ht="12" customHeight="1" x14ac:dyDescent="0.2">
      <c r="A21" s="45"/>
      <c r="B21" s="2293"/>
      <c r="C21" s="1827" t="s">
        <v>2210</v>
      </c>
      <c r="D21" s="2285">
        <f>Combate!I16</f>
        <v>0</v>
      </c>
      <c r="E21" s="408" t="s">
        <v>2211</v>
      </c>
      <c r="F21" s="2285">
        <f>Combate!J16</f>
        <v>0</v>
      </c>
      <c r="G21" s="408" t="s">
        <v>2212</v>
      </c>
      <c r="H21" s="2285">
        <f>Combate!K16</f>
        <v>0</v>
      </c>
      <c r="I21" s="408" t="s">
        <v>2213</v>
      </c>
      <c r="J21" s="2285">
        <f>Combate!L16</f>
        <v>0</v>
      </c>
      <c r="K21" s="408" t="s">
        <v>2214</v>
      </c>
      <c r="L21" s="2285">
        <f>Combate!N16</f>
        <v>0</v>
      </c>
      <c r="M21" s="408" t="s">
        <v>2215</v>
      </c>
      <c r="N21" s="2285">
        <f>Combate!M16</f>
        <v>0</v>
      </c>
      <c r="O21" s="408" t="s">
        <v>2216</v>
      </c>
      <c r="P21" s="2285">
        <f>Combate!O16</f>
        <v>0</v>
      </c>
      <c r="Q21" s="56"/>
      <c r="R21" s="1683"/>
      <c r="S21" s="1892"/>
      <c r="T21" s="53"/>
      <c r="V21" s="3115"/>
      <c r="W21" s="3116"/>
      <c r="X21" s="3117"/>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18"/>
      <c r="W22" s="3119"/>
      <c r="X22" s="3120"/>
    </row>
    <row r="23" spans="1:24" ht="12" customHeight="1" x14ac:dyDescent="0.2">
      <c r="A23" s="45"/>
      <c r="B23" s="1799"/>
      <c r="C23" s="3136" t="s">
        <v>2217</v>
      </c>
      <c r="D23" s="3137"/>
      <c r="E23" s="3137"/>
      <c r="F23" s="2297" t="str">
        <f>"("&amp;Ki!E24&amp;")"</f>
        <v>(0)</v>
      </c>
      <c r="G23" s="2298" t="s">
        <v>2192</v>
      </c>
      <c r="H23" s="2299">
        <f>Ki!E18</f>
        <v>0</v>
      </c>
      <c r="I23" s="2298" t="s">
        <v>2193</v>
      </c>
      <c r="J23" s="2299">
        <f>Ki!E16</f>
        <v>0</v>
      </c>
      <c r="K23" s="2298" t="s">
        <v>2194</v>
      </c>
      <c r="L23" s="2299">
        <f>Ki!E12</f>
        <v>0</v>
      </c>
      <c r="M23" s="2298" t="s">
        <v>2195</v>
      </c>
      <c r="N23" s="2299">
        <f>Ki!E14</f>
        <v>0</v>
      </c>
      <c r="O23" s="2298" t="s">
        <v>2196</v>
      </c>
      <c r="P23" s="2299">
        <f>Ki!E20</f>
        <v>0</v>
      </c>
      <c r="Q23" s="2298" t="s">
        <v>2198</v>
      </c>
      <c r="R23" s="2300">
        <f>Ki!E22</f>
        <v>0</v>
      </c>
      <c r="S23" s="1892"/>
      <c r="T23" s="53"/>
    </row>
    <row r="24" spans="1:24" ht="12" customHeight="1" x14ac:dyDescent="0.2">
      <c r="A24" s="45"/>
      <c r="B24" s="3111"/>
      <c r="C24" s="3145" t="s">
        <v>2218</v>
      </c>
      <c r="D24" s="3146"/>
      <c r="E24" s="3146"/>
      <c r="F24" s="3146"/>
      <c r="G24" s="410" t="s">
        <v>2192</v>
      </c>
      <c r="H24" s="2285">
        <f>Ki!D18</f>
        <v>0</v>
      </c>
      <c r="I24" s="410" t="s">
        <v>2193</v>
      </c>
      <c r="J24" s="2285">
        <f>Ki!D16</f>
        <v>0</v>
      </c>
      <c r="K24" s="410" t="s">
        <v>2194</v>
      </c>
      <c r="L24" s="2285">
        <f>Ki!D12</f>
        <v>0</v>
      </c>
      <c r="M24" s="410" t="s">
        <v>2195</v>
      </c>
      <c r="N24" s="2285">
        <f>Ki!D14</f>
        <v>0</v>
      </c>
      <c r="O24" s="410" t="s">
        <v>2196</v>
      </c>
      <c r="P24" s="2285">
        <f>Ki!D20</f>
        <v>0</v>
      </c>
      <c r="Q24" s="410" t="s">
        <v>2198</v>
      </c>
      <c r="R24" s="2287">
        <f>Ki!D22</f>
        <v>0</v>
      </c>
      <c r="S24" s="1892"/>
      <c r="T24" s="53"/>
    </row>
    <row r="25" spans="1:24" ht="12" customHeight="1" x14ac:dyDescent="0.2">
      <c r="A25" s="45"/>
      <c r="B25" s="3111"/>
      <c r="C25" s="3145" t="s">
        <v>2219</v>
      </c>
      <c r="D25" s="3146"/>
      <c r="E25" s="3146"/>
      <c r="F25" s="3147"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47"/>
      <c r="H25" s="3147"/>
      <c r="I25" s="3147"/>
      <c r="J25" s="3147"/>
      <c r="K25" s="3147"/>
      <c r="L25" s="3147"/>
      <c r="M25" s="3147"/>
      <c r="N25" s="3147"/>
      <c r="O25" s="3147"/>
      <c r="P25" s="3147"/>
      <c r="Q25" s="3147"/>
      <c r="R25" s="3122"/>
      <c r="S25" s="1892"/>
      <c r="T25" s="53"/>
    </row>
    <row r="26" spans="1:24" ht="12" customHeight="1" x14ac:dyDescent="0.2">
      <c r="A26" s="45"/>
      <c r="B26" s="3111"/>
      <c r="C26" s="1825"/>
      <c r="D26" s="56"/>
      <c r="E26" s="56"/>
      <c r="F26" s="3147"/>
      <c r="G26" s="3147"/>
      <c r="H26" s="3147"/>
      <c r="I26" s="3147"/>
      <c r="J26" s="3147"/>
      <c r="K26" s="3147"/>
      <c r="L26" s="3147"/>
      <c r="M26" s="3147"/>
      <c r="N26" s="3147"/>
      <c r="O26" s="3147"/>
      <c r="P26" s="3147"/>
      <c r="Q26" s="3147"/>
      <c r="R26" s="3122"/>
      <c r="S26" s="1892"/>
      <c r="T26" s="47"/>
    </row>
    <row r="27" spans="1:24" ht="11.25" customHeight="1" x14ac:dyDescent="0.2">
      <c r="A27" s="45"/>
      <c r="B27" s="3111"/>
      <c r="C27" s="1825"/>
      <c r="D27" s="56"/>
      <c r="E27" s="56"/>
      <c r="F27" s="3147"/>
      <c r="G27" s="3147"/>
      <c r="H27" s="3147"/>
      <c r="I27" s="3147"/>
      <c r="J27" s="3147"/>
      <c r="K27" s="3147"/>
      <c r="L27" s="3147"/>
      <c r="M27" s="3147"/>
      <c r="N27" s="3147"/>
      <c r="O27" s="3147"/>
      <c r="P27" s="3147"/>
      <c r="Q27" s="3147"/>
      <c r="R27" s="3122"/>
      <c r="S27" s="1892"/>
      <c r="T27" s="47"/>
    </row>
    <row r="28" spans="1:24" ht="12" customHeight="1" x14ac:dyDescent="0.2">
      <c r="A28" s="45"/>
      <c r="B28" s="3111"/>
      <c r="C28" s="3158" t="s">
        <v>2220</v>
      </c>
      <c r="D28" s="3159"/>
      <c r="E28" s="3147"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47"/>
      <c r="G28" s="3147"/>
      <c r="H28" s="3147"/>
      <c r="I28" s="3147"/>
      <c r="J28" s="3147"/>
      <c r="K28" s="3147"/>
      <c r="L28" s="3147"/>
      <c r="M28" s="3147"/>
      <c r="N28" s="3147"/>
      <c r="O28" s="3147"/>
      <c r="P28" s="3147"/>
      <c r="Q28" s="3147"/>
      <c r="R28" s="3122"/>
      <c r="S28" s="1892"/>
      <c r="T28" s="47"/>
    </row>
    <row r="29" spans="1:24" ht="12" customHeight="1" x14ac:dyDescent="0.2">
      <c r="A29" s="45"/>
      <c r="B29" s="3111"/>
      <c r="C29" s="1828"/>
      <c r="D29" s="267"/>
      <c r="E29" s="3147"/>
      <c r="F29" s="3147"/>
      <c r="G29" s="3147"/>
      <c r="H29" s="3147"/>
      <c r="I29" s="3147"/>
      <c r="J29" s="3147"/>
      <c r="K29" s="3147"/>
      <c r="L29" s="3147"/>
      <c r="M29" s="3147"/>
      <c r="N29" s="3147"/>
      <c r="O29" s="3147"/>
      <c r="P29" s="3147"/>
      <c r="Q29" s="3147"/>
      <c r="R29" s="3122"/>
      <c r="S29" s="1892"/>
      <c r="T29" s="47"/>
    </row>
    <row r="30" spans="1:24" ht="12" customHeight="1" x14ac:dyDescent="0.2">
      <c r="A30" s="45"/>
      <c r="B30" s="3111"/>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11"/>
      <c r="C31" s="2301" t="s">
        <v>2221</v>
      </c>
      <c r="D31" s="3155">
        <f>Místicos!L13</f>
        <v>0</v>
      </c>
      <c r="E31" s="3155"/>
      <c r="F31" s="2302"/>
      <c r="G31" s="2302"/>
      <c r="H31" s="2302"/>
      <c r="I31" s="2302"/>
      <c r="J31" s="2302"/>
      <c r="K31" s="2302"/>
      <c r="L31" s="3156" t="s">
        <v>2222</v>
      </c>
      <c r="M31" s="3156"/>
      <c r="N31" s="2299">
        <f>Místicos!M25</f>
        <v>0</v>
      </c>
      <c r="O31" s="3156" t="s">
        <v>2223</v>
      </c>
      <c r="P31" s="3156"/>
      <c r="Q31" s="2299">
        <f>Místicos!M27</f>
        <v>0</v>
      </c>
      <c r="R31" s="2303"/>
      <c r="S31" s="1892"/>
      <c r="T31" s="47"/>
    </row>
    <row r="32" spans="1:24" ht="12" customHeight="1" x14ac:dyDescent="0.2">
      <c r="A32" s="45"/>
      <c r="B32" s="2295"/>
      <c r="C32" s="1824" t="s">
        <v>2224</v>
      </c>
      <c r="D32" s="3144">
        <f>Místicos!K18</f>
        <v>100</v>
      </c>
      <c r="E32" s="3144"/>
      <c r="F32" s="56"/>
      <c r="G32" s="56"/>
      <c r="H32" s="56"/>
      <c r="I32" s="56"/>
      <c r="J32" s="56"/>
      <c r="K32" s="56"/>
      <c r="L32" s="3141" t="s">
        <v>2225</v>
      </c>
      <c r="M32" s="3141"/>
      <c r="N32" s="2285">
        <f>Místicos!M26</f>
        <v>0</v>
      </c>
      <c r="O32" s="3157" t="s">
        <v>2226</v>
      </c>
      <c r="P32" s="3157"/>
      <c r="Q32" s="2285">
        <f>Místicos!M28</f>
        <v>0</v>
      </c>
      <c r="R32" s="1683"/>
      <c r="S32" s="1892"/>
      <c r="T32" s="47"/>
    </row>
    <row r="33" spans="1:22" ht="12" customHeight="1" x14ac:dyDescent="0.2">
      <c r="A33" s="45"/>
      <c r="B33" s="2295"/>
      <c r="C33" s="3145" t="s">
        <v>2227</v>
      </c>
      <c r="D33" s="3146"/>
      <c r="E33" s="3146"/>
      <c r="F33" s="3146"/>
      <c r="G33" s="3153">
        <f>IF(Místicos!P13=Místicos!Q13,Místicos!P13,Místicos!P13&amp;" Ofensiva"&amp;", "&amp;Místicos!Q13&amp;" Defensiva")</f>
        <v>0</v>
      </c>
      <c r="H33" s="3153"/>
      <c r="I33" s="3153"/>
      <c r="J33" s="3153"/>
      <c r="K33" s="3153"/>
      <c r="L33" s="3153"/>
      <c r="M33" s="3153"/>
      <c r="N33" s="3153"/>
      <c r="O33" s="3153"/>
      <c r="P33" s="3153"/>
      <c r="Q33" s="3153"/>
      <c r="R33" s="3154"/>
      <c r="S33" s="1892"/>
      <c r="T33" s="47"/>
    </row>
    <row r="34" spans="1:22" ht="12" customHeight="1" x14ac:dyDescent="0.2">
      <c r="A34" s="45"/>
      <c r="B34" s="2295"/>
      <c r="C34" s="3145" t="s">
        <v>2228</v>
      </c>
      <c r="D34" s="3146"/>
      <c r="E34" s="3146"/>
      <c r="F34" s="3121"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1"/>
      <c r="H34" s="3121"/>
      <c r="I34" s="3121"/>
      <c r="J34" s="3121"/>
      <c r="K34" s="3121"/>
      <c r="L34" s="3121"/>
      <c r="M34" s="3121"/>
      <c r="N34" s="3121"/>
      <c r="O34" s="3121"/>
      <c r="P34" s="3121"/>
      <c r="Q34" s="3121"/>
      <c r="R34" s="3122"/>
      <c r="S34" s="1892"/>
      <c r="T34" s="47"/>
    </row>
    <row r="35" spans="1:22" ht="12" customHeight="1" x14ac:dyDescent="0.2">
      <c r="A35" s="45"/>
      <c r="B35" s="2295"/>
      <c r="C35" s="1825"/>
      <c r="D35" s="56"/>
      <c r="E35" s="56"/>
      <c r="F35" s="3121"/>
      <c r="G35" s="3121"/>
      <c r="H35" s="3121"/>
      <c r="I35" s="3121"/>
      <c r="J35" s="3121"/>
      <c r="K35" s="3121"/>
      <c r="L35" s="3121"/>
      <c r="M35" s="3121"/>
      <c r="N35" s="3121"/>
      <c r="O35" s="3121"/>
      <c r="P35" s="3121"/>
      <c r="Q35" s="3121"/>
      <c r="R35" s="3122"/>
      <c r="S35" s="1892"/>
      <c r="T35" s="47"/>
    </row>
    <row r="36" spans="1:22" ht="12" customHeight="1" x14ac:dyDescent="0.2">
      <c r="A36" s="45"/>
      <c r="B36" s="1799"/>
      <c r="C36" s="1825"/>
      <c r="D36" s="56"/>
      <c r="E36" s="56"/>
      <c r="F36" s="3121"/>
      <c r="G36" s="3121"/>
      <c r="H36" s="3121"/>
      <c r="I36" s="3121"/>
      <c r="J36" s="3121"/>
      <c r="K36" s="3121"/>
      <c r="L36" s="3121"/>
      <c r="M36" s="3121"/>
      <c r="N36" s="3121"/>
      <c r="O36" s="3121"/>
      <c r="P36" s="3121"/>
      <c r="Q36" s="3121"/>
      <c r="R36" s="3122"/>
      <c r="S36" s="1892"/>
      <c r="T36" s="47"/>
    </row>
    <row r="37" spans="1:22" ht="12" customHeight="1" x14ac:dyDescent="0.2">
      <c r="A37" s="45"/>
      <c r="B37" s="1799"/>
      <c r="C37" s="1825"/>
      <c r="D37" s="56"/>
      <c r="E37" s="56"/>
      <c r="F37" s="3123"/>
      <c r="G37" s="3123"/>
      <c r="H37" s="3123"/>
      <c r="I37" s="3123"/>
      <c r="J37" s="3123"/>
      <c r="K37" s="3123"/>
      <c r="L37" s="3123"/>
      <c r="M37" s="3123"/>
      <c r="N37" s="3123"/>
      <c r="O37" s="3123"/>
      <c r="P37" s="3123"/>
      <c r="Q37" s="3123"/>
      <c r="R37" s="3124"/>
      <c r="S37" s="1892"/>
      <c r="T37" s="47"/>
    </row>
    <row r="38" spans="1:22" ht="12" customHeight="1" x14ac:dyDescent="0.2">
      <c r="A38" s="45"/>
      <c r="B38" s="2295"/>
      <c r="C38" s="3136" t="s">
        <v>2229</v>
      </c>
      <c r="D38" s="3137"/>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45" t="s">
        <v>2230</v>
      </c>
      <c r="D39" s="3146"/>
      <c r="E39" s="2285">
        <f>Psíquicos!M13</f>
        <v>0</v>
      </c>
      <c r="F39" s="56"/>
      <c r="G39" s="56"/>
      <c r="H39" s="56"/>
      <c r="I39" s="56"/>
      <c r="J39" s="56"/>
      <c r="K39" s="56"/>
      <c r="L39" s="3141" t="s">
        <v>2231</v>
      </c>
      <c r="M39" s="3141"/>
      <c r="N39" s="3141"/>
      <c r="O39" s="3141"/>
      <c r="P39" s="56"/>
      <c r="Q39" s="56"/>
      <c r="R39" s="1683"/>
      <c r="S39" s="1892"/>
      <c r="T39" s="47"/>
    </row>
    <row r="40" spans="1:22" ht="12" customHeight="1" x14ac:dyDescent="0.2">
      <c r="A40" s="45"/>
      <c r="B40" s="2295"/>
      <c r="C40" s="3145" t="s">
        <v>2232</v>
      </c>
      <c r="D40" s="3146"/>
      <c r="E40" s="3146"/>
      <c r="F40" s="3146"/>
      <c r="G40" s="2285">
        <f>Psíquicos!H11</f>
        <v>0</v>
      </c>
      <c r="H40" s="3152"/>
      <c r="I40" s="3152"/>
      <c r="J40" s="3152"/>
      <c r="K40" s="3152"/>
      <c r="L40" s="3147" t="str">
        <f>IF(Psíquicos!C39="","",Psíquicos!C39)&amp;IF(Psíquicos!C41="","",", "&amp;Psíquicos!C41)&amp;IF(Psíquicos!C43="","",", "&amp;Psíquicos!C43)&amp;IF(Psíquicos!C45="","",", "&amp;Psíquicos!C45)&amp;IF(Psíquicos!C47="","",", "&amp;Psíquicos!C47)&amp;IF(Psíquicos!C49="","",", "&amp;Psíquicos!C49)</f>
        <v/>
      </c>
      <c r="M40" s="3147"/>
      <c r="N40" s="3147"/>
      <c r="O40" s="3147"/>
      <c r="P40" s="3147"/>
      <c r="Q40" s="3147"/>
      <c r="R40" s="3122"/>
      <c r="S40" s="1892"/>
      <c r="T40" s="47"/>
    </row>
    <row r="41" spans="1:22" ht="12" customHeight="1" x14ac:dyDescent="0.2">
      <c r="A41" s="45"/>
      <c r="B41" s="2295"/>
      <c r="C41" s="3145" t="s">
        <v>2233</v>
      </c>
      <c r="D41" s="3146"/>
      <c r="E41" s="3146"/>
      <c r="F41" s="3146"/>
      <c r="G41" s="3144">
        <f>IF(Psíquicos!P12=Psíquicos!Q12,Psíquicos!P12,Psíquicos!P12&amp;" Ofensiva"&amp;", "&amp;Psíquicos!Q12&amp;" Defensiva")</f>
        <v>0</v>
      </c>
      <c r="H41" s="3144"/>
      <c r="I41" s="3144"/>
      <c r="J41" s="3144"/>
      <c r="K41" s="3144"/>
      <c r="L41" s="3147"/>
      <c r="M41" s="3147"/>
      <c r="N41" s="3147"/>
      <c r="O41" s="3147"/>
      <c r="P41" s="3147"/>
      <c r="Q41" s="3147"/>
      <c r="R41" s="3122"/>
      <c r="S41" s="1892"/>
      <c r="T41" s="47"/>
    </row>
    <row r="42" spans="1:22" ht="12" customHeight="1" x14ac:dyDescent="0.2">
      <c r="A42" s="45"/>
      <c r="B42" s="2293"/>
      <c r="C42" s="3145" t="s">
        <v>2234</v>
      </c>
      <c r="D42" s="3146"/>
      <c r="E42" s="3146"/>
      <c r="F42" s="3146"/>
      <c r="G42" s="3150" t="str">
        <f>IF(Psíquicos!C25=0,"",Psíquicos!C25)&amp;IF(Psíquicos!C27=0,"",", "&amp;Psíquicos!C27)&amp;IF(Psíquicos!C29=0,"",", "&amp;Psíquicos!C29)&amp;IF(Psíquicos!C31=0,"",", "&amp;Psíquicos!C31)&amp;IF(Psíquicos!C33=0,"",", "&amp;Psíquicos!C33)&amp;IF(Psíquicos!C35=0,"",", "&amp;Psíquicos!C35)</f>
        <v/>
      </c>
      <c r="H42" s="3150"/>
      <c r="I42" s="3150"/>
      <c r="J42" s="3150"/>
      <c r="K42" s="3150"/>
      <c r="L42" s="3150"/>
      <c r="M42" s="3150"/>
      <c r="N42" s="3150"/>
      <c r="O42" s="3150"/>
      <c r="P42" s="3150"/>
      <c r="Q42" s="3150"/>
      <c r="R42" s="3151"/>
      <c r="S42" s="1892"/>
      <c r="T42" s="47"/>
    </row>
    <row r="43" spans="1:22" ht="12" customHeight="1" x14ac:dyDescent="0.2">
      <c r="A43" s="45"/>
      <c r="B43" s="2293"/>
      <c r="C43" s="3145" t="s">
        <v>2235</v>
      </c>
      <c r="D43" s="3146"/>
      <c r="E43" s="3146"/>
      <c r="F43" s="3146"/>
      <c r="G43" s="314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47"/>
      <c r="I43" s="3147"/>
      <c r="J43" s="3147"/>
      <c r="K43" s="3147"/>
      <c r="L43" s="3147"/>
      <c r="M43" s="3147"/>
      <c r="N43" s="3147"/>
      <c r="O43" s="3147"/>
      <c r="P43" s="3147"/>
      <c r="Q43" s="3147"/>
      <c r="R43" s="3122"/>
      <c r="S43" s="1892"/>
      <c r="T43" s="47"/>
    </row>
    <row r="44" spans="1:22" ht="12" customHeight="1" x14ac:dyDescent="0.2">
      <c r="A44" s="45"/>
      <c r="B44" s="2293"/>
      <c r="C44" s="1825"/>
      <c r="D44" s="56"/>
      <c r="E44" s="56"/>
      <c r="F44" s="56"/>
      <c r="G44" s="3147"/>
      <c r="H44" s="3147"/>
      <c r="I44" s="3147"/>
      <c r="J44" s="3147"/>
      <c r="K44" s="3147"/>
      <c r="L44" s="3147"/>
      <c r="M44" s="3147"/>
      <c r="N44" s="3147"/>
      <c r="O44" s="3147"/>
      <c r="P44" s="3147"/>
      <c r="Q44" s="3147"/>
      <c r="R44" s="3122"/>
      <c r="S44" s="1892"/>
      <c r="T44" s="47"/>
    </row>
    <row r="45" spans="1:22" ht="12" customHeight="1" x14ac:dyDescent="0.2">
      <c r="A45" s="45"/>
      <c r="B45" s="2293"/>
      <c r="C45" s="1825"/>
      <c r="D45" s="56"/>
      <c r="E45" s="56"/>
      <c r="F45" s="56"/>
      <c r="G45" s="3147"/>
      <c r="H45" s="3147"/>
      <c r="I45" s="3147"/>
      <c r="J45" s="3147"/>
      <c r="K45" s="3147"/>
      <c r="L45" s="3147"/>
      <c r="M45" s="3147"/>
      <c r="N45" s="3147"/>
      <c r="O45" s="3147"/>
      <c r="P45" s="3147"/>
      <c r="Q45" s="3147"/>
      <c r="R45" s="3122"/>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36" t="s">
        <v>2236</v>
      </c>
      <c r="D47" s="3137"/>
      <c r="E47" s="3137"/>
      <c r="F47" s="3137"/>
      <c r="G47" s="3148" t="str">
        <f>IF(V45="","",LEFT(V45,LEN(V45)-2))</f>
        <v/>
      </c>
      <c r="H47" s="3148"/>
      <c r="I47" s="3148"/>
      <c r="J47" s="3148"/>
      <c r="K47" s="3148"/>
      <c r="L47" s="3148"/>
      <c r="M47" s="3148"/>
      <c r="N47" s="3148"/>
      <c r="O47" s="3148"/>
      <c r="P47" s="3148"/>
      <c r="Q47" s="3148"/>
      <c r="R47" s="3149"/>
      <c r="S47" s="1892"/>
      <c r="T47" s="47"/>
    </row>
    <row r="48" spans="1:22" ht="23.85" customHeight="1" x14ac:dyDescent="0.2">
      <c r="A48" s="45"/>
      <c r="B48" s="2293"/>
      <c r="C48" s="1825"/>
      <c r="D48" s="56"/>
      <c r="E48" s="56"/>
      <c r="F48" s="56"/>
      <c r="G48" s="3147"/>
      <c r="H48" s="3147"/>
      <c r="I48" s="3147"/>
      <c r="J48" s="3147"/>
      <c r="K48" s="3147"/>
      <c r="L48" s="3147"/>
      <c r="M48" s="3147"/>
      <c r="N48" s="3147"/>
      <c r="O48" s="3147"/>
      <c r="P48" s="3147"/>
      <c r="Q48" s="3147"/>
      <c r="R48" s="3122"/>
      <c r="S48" s="1892"/>
      <c r="T48" s="47"/>
    </row>
    <row r="49" spans="1:20" ht="12" customHeight="1" x14ac:dyDescent="0.2">
      <c r="A49" s="45"/>
      <c r="B49" s="2293"/>
      <c r="C49" s="3145" t="s">
        <v>2237</v>
      </c>
      <c r="D49" s="3146"/>
      <c r="E49" s="3146"/>
      <c r="F49" s="3146"/>
      <c r="G49" s="3147" t="str">
        <f>Tablas!$F$2607</f>
        <v/>
      </c>
      <c r="H49" s="3147"/>
      <c r="I49" s="3147"/>
      <c r="J49" s="3147"/>
      <c r="K49" s="3147"/>
      <c r="L49" s="3147"/>
      <c r="M49" s="3147"/>
      <c r="N49" s="3147"/>
      <c r="O49" s="3147"/>
      <c r="P49" s="3147"/>
      <c r="Q49" s="3147"/>
      <c r="R49" s="3122"/>
      <c r="S49" s="1892"/>
      <c r="T49" s="47"/>
    </row>
    <row r="50" spans="1:20" ht="12" customHeight="1" x14ac:dyDescent="0.2">
      <c r="A50" s="45"/>
      <c r="B50" s="2293"/>
      <c r="C50" s="1825"/>
      <c r="D50" s="56"/>
      <c r="E50" s="56"/>
      <c r="F50" s="56"/>
      <c r="G50" s="3147"/>
      <c r="H50" s="3147"/>
      <c r="I50" s="3147"/>
      <c r="J50" s="3147"/>
      <c r="K50" s="3147"/>
      <c r="L50" s="3147"/>
      <c r="M50" s="3147"/>
      <c r="N50" s="3147"/>
      <c r="O50" s="3147"/>
      <c r="P50" s="3147"/>
      <c r="Q50" s="3147"/>
      <c r="R50" s="3122"/>
      <c r="S50" s="1892"/>
      <c r="T50" s="47"/>
    </row>
    <row r="51" spans="1:20" ht="12" customHeight="1" x14ac:dyDescent="0.2">
      <c r="A51" s="45"/>
      <c r="B51" s="2293"/>
      <c r="C51" s="3145" t="s">
        <v>2238</v>
      </c>
      <c r="D51" s="3146"/>
      <c r="E51" s="3146"/>
      <c r="F51" s="3146"/>
      <c r="G51" s="314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Acceso a 1 disciplina psíquica</v>
      </c>
      <c r="H51" s="3147"/>
      <c r="I51" s="3147"/>
      <c r="J51" s="3147"/>
      <c r="K51" s="3147"/>
      <c r="L51" s="3147"/>
      <c r="M51" s="3147"/>
      <c r="N51" s="3147"/>
      <c r="O51" s="3147"/>
      <c r="P51" s="3147"/>
      <c r="Q51" s="3147"/>
      <c r="R51" s="3122"/>
      <c r="S51" s="1892"/>
      <c r="T51" s="47"/>
    </row>
    <row r="52" spans="1:20" ht="12" customHeight="1" x14ac:dyDescent="0.2">
      <c r="A52" s="45"/>
      <c r="B52" s="2293"/>
      <c r="C52" s="1825"/>
      <c r="D52" s="56"/>
      <c r="E52" s="56"/>
      <c r="F52" s="56"/>
      <c r="G52" s="3147"/>
      <c r="H52" s="3147"/>
      <c r="I52" s="3147"/>
      <c r="J52" s="3147"/>
      <c r="K52" s="3147"/>
      <c r="L52" s="3147"/>
      <c r="M52" s="3147"/>
      <c r="N52" s="3147"/>
      <c r="O52" s="3147"/>
      <c r="P52" s="3147"/>
      <c r="Q52" s="3147"/>
      <c r="R52" s="3122"/>
      <c r="S52" s="1892"/>
      <c r="T52" s="47"/>
    </row>
    <row r="53" spans="1:20" ht="12" customHeight="1" x14ac:dyDescent="0.2">
      <c r="A53" s="45"/>
      <c r="B53" s="2293"/>
      <c r="C53" s="3145" t="s">
        <v>2239</v>
      </c>
      <c r="D53" s="3146"/>
      <c r="E53" s="3121" t="str">
        <f>Tablas!H2644</f>
        <v/>
      </c>
      <c r="F53" s="3121"/>
      <c r="G53" s="3121"/>
      <c r="H53" s="3121"/>
      <c r="I53" s="3121"/>
      <c r="J53" s="3121"/>
      <c r="K53" s="3121"/>
      <c r="L53" s="3121"/>
      <c r="M53" s="3121"/>
      <c r="N53" s="3121"/>
      <c r="O53" s="3121"/>
      <c r="P53" s="3121"/>
      <c r="Q53" s="3121"/>
      <c r="R53" s="3122"/>
      <c r="S53" s="1892"/>
      <c r="T53" s="47"/>
    </row>
    <row r="54" spans="1:20" ht="12" customHeight="1" x14ac:dyDescent="0.2">
      <c r="A54" s="45"/>
      <c r="B54" s="2293"/>
      <c r="C54" s="1825"/>
      <c r="D54" s="56"/>
      <c r="E54" s="3121"/>
      <c r="F54" s="3121"/>
      <c r="G54" s="3121"/>
      <c r="H54" s="3121"/>
      <c r="I54" s="3121"/>
      <c r="J54" s="3121"/>
      <c r="K54" s="3121"/>
      <c r="L54" s="3121"/>
      <c r="M54" s="3121"/>
      <c r="N54" s="3121"/>
      <c r="O54" s="3121"/>
      <c r="P54" s="3121"/>
      <c r="Q54" s="3121"/>
      <c r="R54" s="3122"/>
      <c r="S54" s="1892"/>
      <c r="T54" s="47"/>
    </row>
    <row r="55" spans="1:20" ht="12" customHeight="1" x14ac:dyDescent="0.2">
      <c r="A55" s="45"/>
      <c r="B55" s="2293"/>
      <c r="C55" s="1825"/>
      <c r="D55" s="56"/>
      <c r="E55" s="3121"/>
      <c r="F55" s="3121"/>
      <c r="G55" s="3121"/>
      <c r="H55" s="3121"/>
      <c r="I55" s="3121"/>
      <c r="J55" s="3121"/>
      <c r="K55" s="3121"/>
      <c r="L55" s="3121"/>
      <c r="M55" s="3121"/>
      <c r="N55" s="3121"/>
      <c r="O55" s="3121"/>
      <c r="P55" s="3121"/>
      <c r="Q55" s="3121"/>
      <c r="R55" s="3122"/>
      <c r="S55" s="1892"/>
      <c r="T55" s="47"/>
    </row>
    <row r="56" spans="1:20" ht="12" customHeight="1" x14ac:dyDescent="0.2">
      <c r="A56" s="45"/>
      <c r="B56" s="2293"/>
      <c r="C56" s="1825"/>
      <c r="D56" s="56"/>
      <c r="E56" s="3121"/>
      <c r="F56" s="3121"/>
      <c r="G56" s="3121"/>
      <c r="H56" s="3121"/>
      <c r="I56" s="3121"/>
      <c r="J56" s="3121"/>
      <c r="K56" s="3121"/>
      <c r="L56" s="3121"/>
      <c r="M56" s="3121"/>
      <c r="N56" s="3121"/>
      <c r="O56" s="3121"/>
      <c r="P56" s="3121"/>
      <c r="Q56" s="3121"/>
      <c r="R56" s="3122"/>
      <c r="S56" s="1892"/>
      <c r="T56" s="47"/>
    </row>
    <row r="57" spans="1:20" ht="12" customHeight="1" x14ac:dyDescent="0.2">
      <c r="A57" s="45"/>
      <c r="B57" s="2293"/>
      <c r="C57" s="3138" t="s">
        <v>1673</v>
      </c>
      <c r="D57" s="3139"/>
      <c r="E57" s="3140" t="str">
        <f>Tamaño&amp;", "&amp;Principal!M6</f>
        <v>1, Medio</v>
      </c>
      <c r="F57" s="3140"/>
      <c r="G57" s="3140"/>
      <c r="H57" s="3140"/>
      <c r="I57" s="3140"/>
      <c r="J57" s="56"/>
      <c r="K57" s="3141" t="s">
        <v>2240</v>
      </c>
      <c r="L57" s="3141"/>
      <c r="M57" s="3141"/>
      <c r="N57" s="2285">
        <f>Regeneración</f>
        <v>0</v>
      </c>
      <c r="O57" s="56"/>
      <c r="P57" s="56"/>
      <c r="Q57" s="56"/>
      <c r="R57" s="1683"/>
      <c r="S57" s="1892"/>
      <c r="T57" s="47"/>
    </row>
    <row r="58" spans="1:20" ht="12" customHeight="1" x14ac:dyDescent="0.2">
      <c r="A58" s="45"/>
      <c r="B58" s="2293"/>
      <c r="C58" s="3142" t="s">
        <v>2241</v>
      </c>
      <c r="D58" s="3143"/>
      <c r="E58" s="3143"/>
      <c r="F58" s="412">
        <f>TipodeMovimiento</f>
        <v>0</v>
      </c>
      <c r="G58" s="56"/>
      <c r="H58" s="56"/>
      <c r="I58" s="56"/>
      <c r="J58" s="56"/>
      <c r="K58" s="3141" t="s">
        <v>2242</v>
      </c>
      <c r="L58" s="3141"/>
      <c r="M58" s="3144" t="str">
        <f>IF(Cansancio=0,"Incansable",Cansancio)</f>
        <v>Incansable</v>
      </c>
      <c r="N58" s="3144"/>
      <c r="O58" s="56"/>
      <c r="P58" s="56"/>
      <c r="Q58" s="56"/>
      <c r="R58" s="1683"/>
      <c r="S58" s="1892"/>
      <c r="T58" s="47"/>
    </row>
    <row r="59" spans="1:20" ht="12" customHeight="1" x14ac:dyDescent="0.2">
      <c r="A59" s="45"/>
      <c r="B59" s="2293"/>
      <c r="C59" s="1825"/>
      <c r="D59" s="56"/>
      <c r="E59" s="56"/>
      <c r="F59" s="56"/>
      <c r="G59" s="56"/>
      <c r="H59" s="56"/>
      <c r="I59" s="56"/>
      <c r="J59" s="56"/>
      <c r="K59" s="3135" t="s">
        <v>1737</v>
      </c>
      <c r="L59" s="3135"/>
      <c r="M59" s="3135"/>
      <c r="N59" s="409">
        <f>Principal!J29</f>
        <v>1</v>
      </c>
      <c r="O59" s="2285"/>
      <c r="P59" s="56"/>
      <c r="Q59" s="56"/>
      <c r="R59" s="1683"/>
      <c r="S59" s="1892"/>
      <c r="T59" s="47"/>
    </row>
    <row r="60" spans="1:20" ht="12" customHeight="1" x14ac:dyDescent="0.2">
      <c r="A60" s="45"/>
      <c r="B60" s="2293"/>
      <c r="C60" s="3136" t="s">
        <v>2243</v>
      </c>
      <c r="D60" s="3137"/>
      <c r="E60" s="3137"/>
      <c r="F60" s="3137"/>
      <c r="G60" s="3137"/>
      <c r="H60" s="2302"/>
      <c r="I60" s="2302"/>
      <c r="J60" s="2302"/>
      <c r="K60" s="2302"/>
      <c r="L60" s="2302"/>
      <c r="M60" s="2302"/>
      <c r="N60" s="2302"/>
      <c r="O60" s="2302"/>
      <c r="P60" s="2302"/>
      <c r="Q60" s="2302"/>
      <c r="R60" s="2303"/>
      <c r="S60" s="1892"/>
      <c r="T60" s="47"/>
    </row>
    <row r="61" spans="1:20" ht="12" customHeight="1" x14ac:dyDescent="0.2">
      <c r="A61" s="45"/>
      <c r="B61" s="2293"/>
      <c r="C61" s="3131"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B33355&amp;Tablas!G2595&amp;Tablas!G2596&amp;Tablas!G2597&amp;Tablas!G2598</f>
        <v/>
      </c>
      <c r="D61" s="3121"/>
      <c r="E61" s="3121"/>
      <c r="F61" s="3121"/>
      <c r="G61" s="3121"/>
      <c r="H61" s="3121"/>
      <c r="I61" s="3121"/>
      <c r="J61" s="3121"/>
      <c r="K61" s="3121"/>
      <c r="L61" s="3121"/>
      <c r="M61" s="3121"/>
      <c r="N61" s="3121"/>
      <c r="O61" s="3121"/>
      <c r="P61" s="3121"/>
      <c r="Q61" s="3121"/>
      <c r="R61" s="3122"/>
      <c r="S61" s="1892"/>
      <c r="T61" s="47"/>
    </row>
    <row r="62" spans="1:20" ht="12" customHeight="1" x14ac:dyDescent="0.2">
      <c r="A62" s="45"/>
      <c r="B62" s="2293"/>
      <c r="C62" s="3131"/>
      <c r="D62" s="3121"/>
      <c r="E62" s="3121"/>
      <c r="F62" s="3121"/>
      <c r="G62" s="3121"/>
      <c r="H62" s="3121"/>
      <c r="I62" s="3121"/>
      <c r="J62" s="3121"/>
      <c r="K62" s="3121"/>
      <c r="L62" s="3121"/>
      <c r="M62" s="3121"/>
      <c r="N62" s="3121"/>
      <c r="O62" s="3121"/>
      <c r="P62" s="3121"/>
      <c r="Q62" s="3121"/>
      <c r="R62" s="3122"/>
      <c r="S62" s="1892"/>
      <c r="T62" s="47"/>
    </row>
    <row r="63" spans="1:20" ht="12" customHeight="1" x14ac:dyDescent="0.2">
      <c r="A63" s="45"/>
      <c r="B63" s="2293"/>
      <c r="C63" s="3131"/>
      <c r="D63" s="3121"/>
      <c r="E63" s="3121"/>
      <c r="F63" s="3121"/>
      <c r="G63" s="3121"/>
      <c r="H63" s="3121"/>
      <c r="I63" s="3121"/>
      <c r="J63" s="3121"/>
      <c r="K63" s="3121"/>
      <c r="L63" s="3121"/>
      <c r="M63" s="3121"/>
      <c r="N63" s="3121"/>
      <c r="O63" s="3121"/>
      <c r="P63" s="3121"/>
      <c r="Q63" s="3121"/>
      <c r="R63" s="3122"/>
      <c r="S63" s="1892"/>
      <c r="T63" s="47"/>
    </row>
    <row r="64" spans="1:20" ht="12" customHeight="1" x14ac:dyDescent="0.2">
      <c r="A64" s="45"/>
      <c r="B64" s="2293"/>
      <c r="C64" s="3131"/>
      <c r="D64" s="3121"/>
      <c r="E64" s="3121"/>
      <c r="F64" s="3121"/>
      <c r="G64" s="3121"/>
      <c r="H64" s="3121"/>
      <c r="I64" s="3121"/>
      <c r="J64" s="3121"/>
      <c r="K64" s="3121"/>
      <c r="L64" s="3121"/>
      <c r="M64" s="3121"/>
      <c r="N64" s="3121"/>
      <c r="O64" s="3121"/>
      <c r="P64" s="3121"/>
      <c r="Q64" s="3121"/>
      <c r="R64" s="3122"/>
      <c r="S64" s="1892"/>
      <c r="T64" s="47"/>
    </row>
    <row r="65" spans="1:20" ht="12" customHeight="1" x14ac:dyDescent="0.2">
      <c r="A65" s="45"/>
      <c r="B65" s="2293"/>
      <c r="C65" s="3131"/>
      <c r="D65" s="3121"/>
      <c r="E65" s="3121"/>
      <c r="F65" s="3121"/>
      <c r="G65" s="3121"/>
      <c r="H65" s="3121"/>
      <c r="I65" s="3121"/>
      <c r="J65" s="3121"/>
      <c r="K65" s="3121"/>
      <c r="L65" s="3121"/>
      <c r="M65" s="3121"/>
      <c r="N65" s="3121"/>
      <c r="O65" s="3121"/>
      <c r="P65" s="3121"/>
      <c r="Q65" s="3121"/>
      <c r="R65" s="3122"/>
      <c r="S65" s="1892"/>
      <c r="T65" s="47"/>
    </row>
    <row r="66" spans="1:20" ht="12.75" customHeight="1" x14ac:dyDescent="0.2">
      <c r="A66" s="45"/>
      <c r="B66" s="2293"/>
      <c r="C66" s="3131"/>
      <c r="D66" s="3121"/>
      <c r="E66" s="3121"/>
      <c r="F66" s="3121"/>
      <c r="G66" s="3121"/>
      <c r="H66" s="3121"/>
      <c r="I66" s="3121"/>
      <c r="J66" s="3121"/>
      <c r="K66" s="3121"/>
      <c r="L66" s="3121"/>
      <c r="M66" s="3121"/>
      <c r="N66" s="3121"/>
      <c r="O66" s="3121"/>
      <c r="P66" s="3121"/>
      <c r="Q66" s="3121"/>
      <c r="R66" s="3122"/>
      <c r="S66" s="1892"/>
      <c r="T66" s="47"/>
    </row>
    <row r="67" spans="1:20" ht="12.75" customHeight="1" x14ac:dyDescent="0.2">
      <c r="A67" s="45"/>
      <c r="B67" s="2293"/>
      <c r="C67" s="3131"/>
      <c r="D67" s="3121"/>
      <c r="E67" s="3121"/>
      <c r="F67" s="3121"/>
      <c r="G67" s="3121"/>
      <c r="H67" s="3121"/>
      <c r="I67" s="3121"/>
      <c r="J67" s="3121"/>
      <c r="K67" s="3121"/>
      <c r="L67" s="3121"/>
      <c r="M67" s="3121"/>
      <c r="N67" s="3121"/>
      <c r="O67" s="3121"/>
      <c r="P67" s="3121"/>
      <c r="Q67" s="3121"/>
      <c r="R67" s="3122"/>
      <c r="S67" s="1892"/>
      <c r="T67" s="47"/>
    </row>
    <row r="68" spans="1:20" ht="12.75" customHeight="1" thickBot="1" x14ac:dyDescent="0.25">
      <c r="A68" s="45"/>
      <c r="B68" s="2293"/>
      <c r="C68" s="3132"/>
      <c r="D68" s="3133"/>
      <c r="E68" s="3133"/>
      <c r="F68" s="3133"/>
      <c r="G68" s="3133"/>
      <c r="H68" s="3133"/>
      <c r="I68" s="3133"/>
      <c r="J68" s="3133"/>
      <c r="K68" s="3133"/>
      <c r="L68" s="3133"/>
      <c r="M68" s="3133"/>
      <c r="N68" s="3133"/>
      <c r="O68" s="3133"/>
      <c r="P68" s="3133"/>
      <c r="Q68" s="3133"/>
      <c r="R68" s="3134"/>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formatRows="0"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V29" sqref="V29:AA29"/>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3"/>
    <col min="38" max="38" width="1.7109375" style="2513" customWidth="1"/>
    <col min="39" max="39" width="8.5703125" style="2513" bestFit="1" customWidth="1"/>
    <col min="40" max="50" width="5.7109375" style="2513"/>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8533</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4"/>
      <c r="AL2" s="5"/>
      <c r="AM2" s="2515"/>
      <c r="AN2" s="2515"/>
      <c r="AO2" s="2515"/>
      <c r="AP2" s="2515"/>
      <c r="AQ2" s="2515"/>
      <c r="AR2" s="2515"/>
      <c r="AS2" s="2513"/>
      <c r="AT2" s="2513"/>
      <c r="AU2" s="2513"/>
      <c r="AV2" s="2513"/>
      <c r="AW2" s="2513"/>
      <c r="AX2" s="2513"/>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10"/>
      <c r="W3" s="3210"/>
      <c r="X3" s="3210"/>
      <c r="Y3" s="3210"/>
      <c r="Z3" s="3210"/>
      <c r="AA3" s="3210"/>
      <c r="AB3" s="9"/>
      <c r="AC3" s="9"/>
      <c r="AD3" s="9"/>
      <c r="AE3" s="9"/>
      <c r="AF3" s="9"/>
      <c r="AG3" s="9"/>
      <c r="AH3" s="9"/>
      <c r="AI3" s="9"/>
      <c r="AJ3" s="10"/>
      <c r="AK3" s="11"/>
      <c r="AL3" s="5"/>
      <c r="AM3" s="2515"/>
      <c r="AN3" s="2515"/>
      <c r="AO3" s="2515"/>
      <c r="AP3" s="2515"/>
      <c r="AQ3" s="2515"/>
      <c r="AR3" s="2515"/>
    </row>
    <row r="4" spans="1:51" ht="12" customHeight="1" thickBot="1" x14ac:dyDescent="0.25">
      <c r="A4" s="4"/>
      <c r="B4" s="1903"/>
      <c r="C4" s="7"/>
      <c r="D4" s="7"/>
      <c r="E4" s="7"/>
      <c r="F4" s="7"/>
      <c r="G4" s="7"/>
      <c r="H4" s="7"/>
      <c r="I4" s="7"/>
      <c r="J4" s="7"/>
      <c r="K4" s="7"/>
      <c r="L4" s="7"/>
      <c r="M4" s="7"/>
      <c r="N4" s="7"/>
      <c r="O4" s="7"/>
      <c r="P4" s="7"/>
      <c r="Q4" s="7"/>
      <c r="R4" s="1904"/>
      <c r="S4" s="4"/>
      <c r="T4" s="5"/>
      <c r="U4" s="8"/>
      <c r="V4" s="3210"/>
      <c r="W4" s="3210"/>
      <c r="X4" s="3210"/>
      <c r="Y4" s="3210"/>
      <c r="Z4" s="3210"/>
      <c r="AA4" s="3210"/>
      <c r="AB4" s="12"/>
      <c r="AC4" s="3162" t="s">
        <v>1628</v>
      </c>
      <c r="AD4" s="3162"/>
      <c r="AE4" s="3163" t="str">
        <f>IF(OR(General!$G$22="",General!$G$22=0),"",General!$G$22)</f>
        <v/>
      </c>
      <c r="AF4" s="3163"/>
      <c r="AG4" s="3163"/>
      <c r="AH4" s="3163"/>
      <c r="AI4" s="3163"/>
      <c r="AJ4" s="13"/>
      <c r="AK4" s="11"/>
      <c r="AL4" s="5"/>
      <c r="AM4" s="2515"/>
      <c r="AN4" s="2515"/>
      <c r="AO4" s="2515"/>
      <c r="AP4" s="2515"/>
      <c r="AQ4" s="2515"/>
      <c r="AR4" s="2515"/>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10"/>
      <c r="W5" s="3210"/>
      <c r="X5" s="3210"/>
      <c r="Y5" s="3210"/>
      <c r="Z5" s="3210"/>
      <c r="AA5" s="3210"/>
      <c r="AB5" s="12"/>
      <c r="AC5" s="3207" t="s">
        <v>1629</v>
      </c>
      <c r="AD5" s="3207"/>
      <c r="AE5" s="3208" t="str">
        <f>Principal!$L$5</f>
        <v>Hechicero</v>
      </c>
      <c r="AF5" s="3208"/>
      <c r="AG5" s="3208"/>
      <c r="AH5" s="14" t="s">
        <v>1630</v>
      </c>
      <c r="AI5" s="15" t="str">
        <f>Principal!$P$5</f>
        <v>1</v>
      </c>
      <c r="AJ5" s="16"/>
      <c r="AK5" s="11"/>
      <c r="AL5" s="5"/>
      <c r="AM5" s="2515"/>
      <c r="AU5" s="2515"/>
      <c r="AV5" s="2515"/>
      <c r="AW5" s="2515"/>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10"/>
      <c r="W6" s="3210"/>
      <c r="X6" s="3210"/>
      <c r="Y6" s="3210"/>
      <c r="Z6" s="3210"/>
      <c r="AA6" s="3210"/>
      <c r="AB6" s="12"/>
      <c r="AC6" s="3209" t="s">
        <v>1631</v>
      </c>
      <c r="AD6" s="3209"/>
      <c r="AE6" s="3209"/>
      <c r="AF6" s="3209"/>
      <c r="AG6" s="3209"/>
      <c r="AH6" s="3209"/>
      <c r="AI6" s="3209"/>
      <c r="AJ6" s="16"/>
      <c r="AK6" s="11"/>
      <c r="AL6" s="5"/>
      <c r="AM6" s="2515"/>
      <c r="AN6" s="2515"/>
      <c r="AO6" s="2515"/>
      <c r="AP6" s="2515"/>
      <c r="AQ6" s="2515"/>
      <c r="AR6" s="2515"/>
      <c r="AS6" s="2515"/>
      <c r="AT6" s="2515"/>
      <c r="AU6" s="2515"/>
      <c r="AV6" s="2515"/>
      <c r="AW6" s="2515"/>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10"/>
      <c r="W7" s="3210"/>
      <c r="X7" s="3210"/>
      <c r="Y7" s="3210"/>
      <c r="Z7" s="3210"/>
      <c r="AA7" s="3210"/>
      <c r="AB7" s="12"/>
      <c r="AC7" s="3209"/>
      <c r="AD7" s="3209"/>
      <c r="AE7" s="3209"/>
      <c r="AF7" s="3209"/>
      <c r="AG7" s="3209"/>
      <c r="AH7" s="3209"/>
      <c r="AI7" s="3209"/>
      <c r="AJ7" s="16"/>
      <c r="AK7" s="11"/>
      <c r="AL7" s="5"/>
      <c r="AM7" s="2515"/>
      <c r="AN7" s="2515"/>
      <c r="AO7" s="2515"/>
      <c r="AP7" s="2515"/>
      <c r="AQ7" s="2515"/>
      <c r="AR7" s="2515"/>
      <c r="AS7" s="2515"/>
      <c r="AT7" s="2515"/>
      <c r="AU7" s="2515"/>
      <c r="AV7" s="2515"/>
      <c r="AW7" s="2515"/>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10"/>
      <c r="W8" s="3210"/>
      <c r="X8" s="3210"/>
      <c r="Y8" s="3210"/>
      <c r="Z8" s="3210"/>
      <c r="AA8" s="3210"/>
      <c r="AB8" s="17"/>
      <c r="AC8" s="17"/>
      <c r="AD8" s="17"/>
      <c r="AE8" s="17"/>
      <c r="AF8" s="17"/>
      <c r="AG8" s="17"/>
      <c r="AH8" s="17"/>
      <c r="AI8" s="17"/>
      <c r="AJ8" s="18"/>
      <c r="AK8" s="11"/>
      <c r="AL8" s="5"/>
      <c r="AM8" s="2515"/>
      <c r="AU8" s="2515"/>
      <c r="AV8" s="2515"/>
      <c r="AW8" s="2515"/>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5"/>
      <c r="AU9" s="2515"/>
      <c r="AV9" s="2515"/>
      <c r="AW9" s="2515"/>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25" t="s">
        <v>9164</v>
      </c>
      <c r="W10" s="3126"/>
      <c r="X10" s="3126"/>
      <c r="Y10" s="3126"/>
      <c r="Z10" s="3126"/>
      <c r="AA10" s="3126"/>
      <c r="AB10" s="3127"/>
      <c r="AC10" s="2310"/>
      <c r="AD10" s="3169" t="s">
        <v>1635</v>
      </c>
      <c r="AE10" s="3169"/>
      <c r="AF10" s="3169"/>
      <c r="AG10" s="3169"/>
      <c r="AH10" s="3179" t="s">
        <v>1633</v>
      </c>
      <c r="AI10" s="3179"/>
      <c r="AJ10" s="21" t="s">
        <v>1634</v>
      </c>
      <c r="AK10" s="11"/>
      <c r="AL10" s="5"/>
      <c r="AM10" s="2515"/>
      <c r="AU10" s="2515"/>
      <c r="AV10" s="2515"/>
      <c r="AW10" s="2515"/>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14" t="s">
        <v>9308</v>
      </c>
      <c r="W11" s="3215"/>
      <c r="X11" s="3215"/>
      <c r="Y11" s="3213" t="s">
        <v>1661</v>
      </c>
      <c r="Z11" s="3213"/>
      <c r="AA11" s="3211" t="s">
        <v>9264</v>
      </c>
      <c r="AB11" s="3212"/>
      <c r="AD11" s="3195"/>
      <c r="AE11" s="3195"/>
      <c r="AF11" s="3195"/>
      <c r="AG11" s="3195"/>
      <c r="AH11" s="3194"/>
      <c r="AI11" s="3194"/>
      <c r="AJ11" s="22"/>
      <c r="AK11" s="11"/>
      <c r="AL11" s="5"/>
      <c r="AM11" s="2515"/>
      <c r="AU11" s="2515"/>
      <c r="AV11" s="2515"/>
      <c r="AW11" s="2515"/>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217"/>
      <c r="W12" s="3218"/>
      <c r="X12" s="3219"/>
      <c r="Y12" s="3223">
        <f>VLOOKUP(PDs!$X$15,Tablas!$C$68:$D98,2,FALSE)+V12</f>
        <v>0</v>
      </c>
      <c r="Z12" s="3227"/>
      <c r="AA12" s="3223">
        <f>IF(PDs!$X$15=0,0,VLOOKUP(PDs!$X$15+Principal!$AA$27+1,Tablas!$C$68:$D98,2,FALSE))</f>
        <v>100</v>
      </c>
      <c r="AB12" s="3224"/>
      <c r="AC12" s="2310"/>
      <c r="AD12" s="3195"/>
      <c r="AE12" s="3195"/>
      <c r="AF12" s="3195"/>
      <c r="AG12" s="3195"/>
      <c r="AH12" s="3194"/>
      <c r="AI12" s="3194"/>
      <c r="AJ12" s="22"/>
      <c r="AK12" s="11"/>
      <c r="AL12" s="5"/>
      <c r="AM12" s="2515"/>
      <c r="AN12" s="2515"/>
      <c r="AO12" s="2515"/>
      <c r="AR12" s="2515"/>
      <c r="AS12" s="2515"/>
      <c r="AT12" s="2515"/>
      <c r="AU12" s="2515"/>
      <c r="AV12" s="2515"/>
      <c r="AW12" s="2515"/>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220"/>
      <c r="W13" s="3221"/>
      <c r="X13" s="3222"/>
      <c r="Y13" s="3225"/>
      <c r="Z13" s="3228"/>
      <c r="AA13" s="3225"/>
      <c r="AB13" s="3226"/>
      <c r="AC13" s="2430"/>
      <c r="AD13" s="3195"/>
      <c r="AE13" s="3195"/>
      <c r="AF13" s="3195"/>
      <c r="AG13" s="3195"/>
      <c r="AH13" s="3194"/>
      <c r="AI13" s="3194"/>
      <c r="AJ13" s="22"/>
      <c r="AK13" s="11"/>
      <c r="AL13" s="5"/>
      <c r="AM13" s="2515"/>
      <c r="AN13" s="2515"/>
      <c r="AO13" s="2515"/>
      <c r="AP13" s="2515"/>
      <c r="AQ13" s="2515"/>
      <c r="AR13" s="2515"/>
      <c r="AS13" s="2515"/>
      <c r="AT13" s="2515"/>
      <c r="AU13" s="2515"/>
      <c r="AV13" s="2515"/>
      <c r="AW13" s="2515"/>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06" t="str">
        <f>IF(AND(General!V12="",OR(Tablas!G472&gt;0,Tablas!G473&gt;0,Tablas!G474&gt;0)),"Suma experiencia de Curtido (50 por PC empleado)","")</f>
        <v/>
      </c>
      <c r="W14" s="3206"/>
      <c r="X14" s="3206"/>
      <c r="Y14" s="3206"/>
      <c r="Z14" s="3206"/>
      <c r="AA14" s="3206"/>
      <c r="AB14" s="3206"/>
      <c r="AD14" s="3195"/>
      <c r="AE14" s="3195"/>
      <c r="AF14" s="3195"/>
      <c r="AG14" s="3195"/>
      <c r="AH14" s="3194"/>
      <c r="AI14" s="3194"/>
      <c r="AJ14" s="22"/>
      <c r="AK14" s="11"/>
      <c r="AL14" s="5"/>
      <c r="AM14" s="2515"/>
      <c r="AU14" s="2515"/>
      <c r="AV14" s="2515"/>
      <c r="AW14" s="2515"/>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69" t="s">
        <v>1632</v>
      </c>
      <c r="W15" s="3169"/>
      <c r="X15" s="3169"/>
      <c r="Y15" s="3169"/>
      <c r="Z15" s="3216" t="s">
        <v>1633</v>
      </c>
      <c r="AA15" s="3216"/>
      <c r="AB15" s="21" t="s">
        <v>1634</v>
      </c>
      <c r="AD15" s="3195"/>
      <c r="AE15" s="3195"/>
      <c r="AF15" s="3195"/>
      <c r="AG15" s="3195"/>
      <c r="AH15" s="3194"/>
      <c r="AI15" s="3194"/>
      <c r="AJ15" s="22"/>
      <c r="AK15" s="11"/>
      <c r="AL15" s="5"/>
      <c r="AM15" s="2515"/>
      <c r="AU15" s="2515"/>
      <c r="AV15" s="2515"/>
      <c r="AW15" s="2515"/>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05"/>
      <c r="W16" s="3205"/>
      <c r="X16" s="3205"/>
      <c r="Y16" s="3205"/>
      <c r="Z16" s="3194"/>
      <c r="AA16" s="3194"/>
      <c r="AB16" s="22"/>
      <c r="AD16" s="3195"/>
      <c r="AE16" s="3195"/>
      <c r="AF16" s="3195"/>
      <c r="AG16" s="3195"/>
      <c r="AH16" s="3194"/>
      <c r="AI16" s="3194"/>
      <c r="AJ16" s="22"/>
      <c r="AK16" s="11"/>
      <c r="AL16" s="5"/>
      <c r="AM16" s="2515"/>
      <c r="AU16" s="2515"/>
      <c r="AV16" s="2515"/>
      <c r="AW16" s="2515"/>
      <c r="AX16" s="468"/>
      <c r="AY16" s="1918"/>
    </row>
    <row r="17" spans="1:51" ht="12" customHeight="1" x14ac:dyDescent="0.2">
      <c r="A17" s="4"/>
      <c r="B17" s="1903"/>
      <c r="C17" s="7"/>
      <c r="D17" s="7"/>
      <c r="E17" s="7"/>
      <c r="F17" s="7"/>
      <c r="G17" s="7"/>
      <c r="H17" s="7"/>
      <c r="O17" s="7"/>
      <c r="P17" s="7"/>
      <c r="Q17" s="7"/>
      <c r="R17" s="1904"/>
      <c r="S17" s="4"/>
      <c r="T17" s="5"/>
      <c r="U17" s="8"/>
      <c r="V17" s="3205"/>
      <c r="W17" s="3205"/>
      <c r="X17" s="3205"/>
      <c r="Y17" s="3205"/>
      <c r="Z17" s="3194"/>
      <c r="AA17" s="3194"/>
      <c r="AB17" s="22"/>
      <c r="AD17" s="3195"/>
      <c r="AE17" s="3195"/>
      <c r="AF17" s="3195"/>
      <c r="AG17" s="3195"/>
      <c r="AH17" s="3194"/>
      <c r="AI17" s="3194"/>
      <c r="AJ17" s="22"/>
      <c r="AK17" s="11"/>
      <c r="AL17" s="5"/>
      <c r="AM17" s="2515"/>
      <c r="AU17" s="2515"/>
      <c r="AV17" s="2515"/>
      <c r="AW17" s="2515"/>
      <c r="AX17" s="468"/>
      <c r="AY17" s="1918"/>
    </row>
    <row r="18" spans="1:51" ht="12" customHeight="1" thickBot="1" x14ac:dyDescent="0.25">
      <c r="A18" s="4"/>
      <c r="B18" s="1903"/>
      <c r="C18" s="7"/>
      <c r="Q18" s="7"/>
      <c r="R18" s="1904"/>
      <c r="S18" s="4"/>
      <c r="T18" s="5"/>
      <c r="U18" s="8"/>
      <c r="V18" s="3205"/>
      <c r="W18" s="3205"/>
      <c r="X18" s="3205"/>
      <c r="Y18" s="3205"/>
      <c r="Z18" s="3194"/>
      <c r="AA18" s="3194"/>
      <c r="AB18" s="22"/>
      <c r="AC18" s="23"/>
      <c r="AD18" s="3195"/>
      <c r="AE18" s="3195"/>
      <c r="AF18" s="3195"/>
      <c r="AG18" s="3195"/>
      <c r="AH18" s="3194"/>
      <c r="AI18" s="3194"/>
      <c r="AJ18" s="22"/>
      <c r="AK18" s="11"/>
      <c r="AL18" s="5"/>
      <c r="AM18" s="2515"/>
      <c r="AU18" s="2515"/>
      <c r="AV18" s="2515"/>
      <c r="AW18" s="2515"/>
      <c r="AX18" s="468"/>
      <c r="AY18" s="1918"/>
    </row>
    <row r="19" spans="1:51" ht="12" customHeight="1" x14ac:dyDescent="0.2">
      <c r="A19" s="4"/>
      <c r="B19" s="1903"/>
      <c r="C19" s="7"/>
      <c r="D19" s="3229" t="s">
        <v>1636</v>
      </c>
      <c r="E19" s="3230"/>
      <c r="F19" s="3230"/>
      <c r="G19" s="3230"/>
      <c r="H19" s="3230"/>
      <c r="I19" s="3230"/>
      <c r="J19" s="3230"/>
      <c r="K19" s="3230"/>
      <c r="L19" s="3230"/>
      <c r="M19" s="3230"/>
      <c r="N19" s="3230"/>
      <c r="O19" s="3230"/>
      <c r="P19" s="3231"/>
      <c r="R19" s="1904"/>
      <c r="S19" s="4"/>
      <c r="T19" s="5"/>
      <c r="U19" s="8"/>
      <c r="V19" s="3205"/>
      <c r="W19" s="3205"/>
      <c r="X19" s="3205"/>
      <c r="Y19" s="3205"/>
      <c r="Z19" s="3194"/>
      <c r="AA19" s="3194"/>
      <c r="AB19" s="22"/>
      <c r="AC19" s="23"/>
      <c r="AD19" s="3205"/>
      <c r="AE19" s="3205"/>
      <c r="AF19" s="3205"/>
      <c r="AG19" s="3205"/>
      <c r="AH19" s="3194"/>
      <c r="AI19" s="3194"/>
      <c r="AJ19" s="22"/>
      <c r="AK19" s="11"/>
      <c r="AL19" s="5"/>
      <c r="AM19" s="2515"/>
      <c r="AU19" s="2515"/>
      <c r="AV19" s="2515"/>
      <c r="AW19" s="2515"/>
      <c r="AX19" s="468"/>
      <c r="AY19" s="1918"/>
    </row>
    <row r="20" spans="1:51" ht="12" customHeight="1" thickBot="1" x14ac:dyDescent="0.25">
      <c r="A20" s="4"/>
      <c r="B20" s="1903"/>
      <c r="C20" s="7"/>
      <c r="D20" s="3232"/>
      <c r="E20" s="3233"/>
      <c r="F20" s="3233"/>
      <c r="G20" s="3233"/>
      <c r="H20" s="3233"/>
      <c r="I20" s="3233"/>
      <c r="J20" s="3233"/>
      <c r="K20" s="3233"/>
      <c r="L20" s="3233"/>
      <c r="M20" s="3233"/>
      <c r="N20" s="3233"/>
      <c r="O20" s="3233"/>
      <c r="P20" s="3234"/>
      <c r="R20" s="1904"/>
      <c r="S20" s="4"/>
      <c r="T20" s="5"/>
      <c r="U20" s="8"/>
      <c r="V20" s="3205"/>
      <c r="W20" s="3205"/>
      <c r="X20" s="3205"/>
      <c r="Y20" s="3205"/>
      <c r="Z20" s="3194"/>
      <c r="AA20" s="3194"/>
      <c r="AB20" s="22"/>
      <c r="AC20" s="23"/>
      <c r="AD20" s="3205"/>
      <c r="AE20" s="3205"/>
      <c r="AF20" s="3205"/>
      <c r="AG20" s="3205"/>
      <c r="AH20" s="3194"/>
      <c r="AI20" s="3194"/>
      <c r="AJ20" s="22"/>
      <c r="AK20" s="11"/>
      <c r="AL20" s="5"/>
      <c r="AM20" s="2515"/>
      <c r="AN20" s="2515"/>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95"/>
      <c r="W21" s="3195"/>
      <c r="X21" s="3195"/>
      <c r="Y21" s="3195"/>
      <c r="Z21" s="3194"/>
      <c r="AA21" s="3194"/>
      <c r="AB21" s="22"/>
      <c r="AC21" s="23"/>
      <c r="AD21" s="3195"/>
      <c r="AE21" s="3195"/>
      <c r="AF21" s="3195"/>
      <c r="AG21" s="3195"/>
      <c r="AH21" s="3194"/>
      <c r="AI21" s="3194"/>
      <c r="AJ21" s="22"/>
      <c r="AK21" s="11"/>
      <c r="AL21" s="5"/>
      <c r="AM21" s="2515"/>
      <c r="AN21" s="2515"/>
    </row>
    <row r="22" spans="1:51" ht="12" customHeight="1" x14ac:dyDescent="0.25">
      <c r="A22" s="4"/>
      <c r="B22" s="1903"/>
      <c r="C22" s="7"/>
      <c r="D22" s="1772"/>
      <c r="E22" s="3236" t="s">
        <v>1637</v>
      </c>
      <c r="F22" s="3236"/>
      <c r="G22" s="3241"/>
      <c r="H22" s="3241"/>
      <c r="I22" s="3241"/>
      <c r="J22" s="3241"/>
      <c r="K22" s="3241"/>
      <c r="L22" s="3241"/>
      <c r="M22" s="3241"/>
      <c r="N22" s="3241"/>
      <c r="O22" s="3241"/>
      <c r="P22" s="1774"/>
      <c r="R22" s="1904"/>
      <c r="S22" s="4"/>
      <c r="T22" s="5"/>
      <c r="U22" s="8"/>
      <c r="V22" s="3195"/>
      <c r="W22" s="3195"/>
      <c r="X22" s="3195"/>
      <c r="Y22" s="3195"/>
      <c r="Z22" s="3194"/>
      <c r="AA22" s="3194"/>
      <c r="AB22" s="22"/>
      <c r="AC22" s="23"/>
      <c r="AD22" s="3195"/>
      <c r="AE22" s="3195"/>
      <c r="AF22" s="3195"/>
      <c r="AG22" s="3195"/>
      <c r="AH22" s="3194"/>
      <c r="AI22" s="3194"/>
      <c r="AJ22" s="22"/>
      <c r="AK22" s="11"/>
      <c r="AL22" s="5"/>
      <c r="AM22" s="2515"/>
      <c r="AN22" s="2516"/>
    </row>
    <row r="23" spans="1:51" ht="12" customHeight="1" thickBot="1" x14ac:dyDescent="0.25">
      <c r="A23" s="4"/>
      <c r="B23" s="1903"/>
      <c r="C23" s="7"/>
      <c r="D23" s="1772"/>
      <c r="E23" s="1767" t="s">
        <v>1638</v>
      </c>
      <c r="F23" s="3243"/>
      <c r="G23" s="3243"/>
      <c r="H23" s="1771" t="s">
        <v>9165</v>
      </c>
      <c r="I23" s="3240"/>
      <c r="J23" s="3240"/>
      <c r="K23" s="3240"/>
      <c r="L23" s="3244" t="str">
        <f>IF($F$23="Ebudan","Sue'Aman:",IF(OR($F$23="Humano",$F$23="Nephilim Sylvain",$F$23="Nephilim Jayán",$F$23="Nephilim D'Anjayni",$F$23="Nephilim Ebudan",$F$23="Nephilim Daimah",$F$23="Nephilim Duk'zarist",$F$23="Nephilim Devah",$F$23="Nephilim Vetala",$F$23="Nephilim Turak"),"Etnia:",""))</f>
        <v/>
      </c>
      <c r="M23" s="3244"/>
      <c r="N23" s="3240"/>
      <c r="O23" s="3240"/>
      <c r="P23" s="1773"/>
      <c r="R23" s="1904"/>
      <c r="S23" s="4"/>
      <c r="T23" s="5"/>
      <c r="U23" s="8"/>
      <c r="V23" s="3196"/>
      <c r="W23" s="3196"/>
      <c r="X23" s="3196"/>
      <c r="Y23" s="3196"/>
      <c r="Z23" s="3204"/>
      <c r="AA23" s="3204"/>
      <c r="AB23" s="24"/>
      <c r="AC23" s="23"/>
      <c r="AD23" s="3195"/>
      <c r="AE23" s="3195"/>
      <c r="AF23" s="3195"/>
      <c r="AG23" s="3195"/>
      <c r="AH23" s="3194"/>
      <c r="AI23" s="3194"/>
      <c r="AJ23" s="22"/>
      <c r="AK23" s="11"/>
      <c r="AL23" s="5"/>
      <c r="AM23" s="2515"/>
      <c r="AN23" s="2515"/>
      <c r="AO23" s="2515"/>
    </row>
    <row r="24" spans="1:51" ht="12" customHeight="1" thickBot="1" x14ac:dyDescent="0.25">
      <c r="A24" s="4"/>
      <c r="B24" s="1903"/>
      <c r="C24" s="7"/>
      <c r="D24" s="1772"/>
      <c r="E24" s="1767" t="s">
        <v>1639</v>
      </c>
      <c r="F24" s="1768"/>
      <c r="G24" s="1769"/>
      <c r="H24" s="1771" t="s">
        <v>1642</v>
      </c>
      <c r="I24" s="3237"/>
      <c r="J24" s="3237"/>
      <c r="K24" s="3235" t="s">
        <v>1644</v>
      </c>
      <c r="L24" s="3235"/>
      <c r="M24" s="3237"/>
      <c r="N24" s="3237"/>
      <c r="O24" s="3237"/>
      <c r="P24" s="1774"/>
      <c r="R24" s="1904"/>
      <c r="S24" s="4"/>
      <c r="T24" s="5"/>
      <c r="U24" s="8"/>
      <c r="AC24" s="23"/>
      <c r="AD24" s="3195"/>
      <c r="AE24" s="3195"/>
      <c r="AF24" s="3195"/>
      <c r="AG24" s="3195"/>
      <c r="AH24" s="3194"/>
      <c r="AI24" s="3194"/>
      <c r="AJ24" s="22"/>
      <c r="AK24" s="11"/>
      <c r="AL24" s="5"/>
      <c r="AM24" s="2515"/>
      <c r="AN24" s="2515"/>
      <c r="AO24" s="2515"/>
    </row>
    <row r="25" spans="1:51" ht="12" customHeight="1" thickBot="1" x14ac:dyDescent="0.25">
      <c r="A25" s="4"/>
      <c r="B25" s="1903"/>
      <c r="C25" s="7"/>
      <c r="D25" s="1772"/>
      <c r="E25" s="1767" t="s">
        <v>1640</v>
      </c>
      <c r="F25" s="1880"/>
      <c r="G25" s="1771"/>
      <c r="H25" s="1770" t="s">
        <v>1646</v>
      </c>
      <c r="I25" s="3237"/>
      <c r="J25" s="3237"/>
      <c r="K25" s="1769"/>
      <c r="L25" s="1770" t="s">
        <v>8315</v>
      </c>
      <c r="M25" s="3240" t="s">
        <v>8253</v>
      </c>
      <c r="N25" s="3240"/>
      <c r="O25" s="3240"/>
      <c r="P25" s="1909"/>
      <c r="R25" s="1904"/>
      <c r="S25" s="4"/>
      <c r="T25" s="5"/>
      <c r="U25" s="8"/>
      <c r="V25" s="3169" t="s">
        <v>1643</v>
      </c>
      <c r="W25" s="3169"/>
      <c r="X25" s="3169"/>
      <c r="Y25" s="3169"/>
      <c r="Z25" s="3169"/>
      <c r="AA25" s="3169"/>
      <c r="AB25" s="25" t="s">
        <v>1634</v>
      </c>
      <c r="AC25" s="23"/>
      <c r="AD25" s="3195"/>
      <c r="AE25" s="3195"/>
      <c r="AF25" s="3195"/>
      <c r="AG25" s="3195"/>
      <c r="AH25" s="3194"/>
      <c r="AI25" s="3194"/>
      <c r="AJ25" s="22"/>
      <c r="AK25" s="11"/>
      <c r="AL25" s="5"/>
      <c r="AM25" s="2515"/>
      <c r="AN25" s="2515"/>
      <c r="AO25" s="2515"/>
    </row>
    <row r="26" spans="1:51" ht="12" customHeight="1" x14ac:dyDescent="0.2">
      <c r="A26" s="4"/>
      <c r="B26" s="1903"/>
      <c r="C26" s="7"/>
      <c r="D26" s="1772"/>
      <c r="E26" s="1770" t="s">
        <v>1641</v>
      </c>
      <c r="F26" s="1994"/>
      <c r="G26" s="1770"/>
      <c r="H26" s="1771" t="s">
        <v>1645</v>
      </c>
      <c r="I26" s="3237"/>
      <c r="J26" s="3237"/>
      <c r="K26" s="3242" t="str">
        <f>IF(M25="","","Clase social:")</f>
        <v>Clase social:</v>
      </c>
      <c r="L26" s="3242"/>
      <c r="M26" s="3238" t="s">
        <v>86</v>
      </c>
      <c r="N26" s="3238"/>
      <c r="O26" s="3238"/>
      <c r="P26" s="1907"/>
      <c r="R26" s="1904"/>
      <c r="S26" s="4"/>
      <c r="T26" s="5"/>
      <c r="U26" s="8"/>
      <c r="V26" s="3203"/>
      <c r="W26" s="3203"/>
      <c r="X26" s="3203"/>
      <c r="Y26" s="3203"/>
      <c r="Z26" s="3203"/>
      <c r="AA26" s="3203"/>
      <c r="AB26" s="26"/>
      <c r="AC26" s="23"/>
      <c r="AD26" s="3195"/>
      <c r="AE26" s="3195"/>
      <c r="AF26" s="3195"/>
      <c r="AG26" s="3195"/>
      <c r="AH26" s="3194"/>
      <c r="AI26" s="3194"/>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239"/>
      <c r="N27" s="3239"/>
      <c r="O27" s="3239"/>
      <c r="P27" s="1908"/>
      <c r="R27" s="1904"/>
      <c r="S27" s="4"/>
      <c r="T27" s="5"/>
      <c r="U27" s="8"/>
      <c r="V27" s="3195"/>
      <c r="W27" s="3195"/>
      <c r="X27" s="3195"/>
      <c r="Y27" s="3195"/>
      <c r="Z27" s="3195"/>
      <c r="AA27" s="3195"/>
      <c r="AB27" s="27"/>
      <c r="AC27" s="23"/>
      <c r="AD27" s="3195"/>
      <c r="AE27" s="3195"/>
      <c r="AF27" s="3195"/>
      <c r="AG27" s="3195"/>
      <c r="AH27" s="3194"/>
      <c r="AI27" s="3194"/>
      <c r="AJ27" s="22"/>
      <c r="AK27" s="11"/>
      <c r="AL27" s="5"/>
      <c r="AM27" s="468"/>
      <c r="AN27" s="468"/>
      <c r="AO27" s="468"/>
    </row>
    <row r="28" spans="1:51" ht="12" customHeight="1" x14ac:dyDescent="0.2">
      <c r="A28" s="4"/>
      <c r="B28" s="1903"/>
      <c r="C28" s="7"/>
      <c r="Q28" s="7"/>
      <c r="R28" s="1904"/>
      <c r="S28" s="4"/>
      <c r="T28" s="5"/>
      <c r="U28" s="8"/>
      <c r="V28" s="3195"/>
      <c r="W28" s="3195"/>
      <c r="X28" s="3195"/>
      <c r="Y28" s="3195"/>
      <c r="Z28" s="3195"/>
      <c r="AA28" s="3195"/>
      <c r="AB28" s="27"/>
      <c r="AC28" s="23"/>
      <c r="AD28" s="3195"/>
      <c r="AE28" s="3195"/>
      <c r="AF28" s="3195"/>
      <c r="AG28" s="3195"/>
      <c r="AH28" s="3194"/>
      <c r="AI28" s="3194"/>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95"/>
      <c r="W29" s="3195"/>
      <c r="X29" s="3195"/>
      <c r="Y29" s="3195"/>
      <c r="Z29" s="3195"/>
      <c r="AA29" s="3195"/>
      <c r="AB29" s="27"/>
      <c r="AC29" s="23"/>
      <c r="AD29" s="3195"/>
      <c r="AE29" s="3195"/>
      <c r="AF29" s="3195"/>
      <c r="AG29" s="3195"/>
      <c r="AH29" s="3194"/>
      <c r="AI29" s="3194"/>
      <c r="AJ29" s="22"/>
      <c r="AK29" s="11"/>
      <c r="AL29" s="5"/>
      <c r="AM29" s="468"/>
      <c r="AN29" s="468"/>
      <c r="AO29" s="468"/>
      <c r="AW29" s="2515"/>
      <c r="AX29" s="2515"/>
      <c r="AY29" s="1916"/>
    </row>
    <row r="30" spans="1:51" ht="12" customHeight="1" thickBot="1" x14ac:dyDescent="0.25">
      <c r="A30" s="4"/>
      <c r="B30" s="1903"/>
      <c r="C30" s="3169" t="s">
        <v>1647</v>
      </c>
      <c r="D30" s="3169"/>
      <c r="E30" s="3169"/>
      <c r="F30" s="3169"/>
      <c r="G30" s="3169"/>
      <c r="H30" s="3169"/>
      <c r="I30" s="3169"/>
      <c r="J30" s="7"/>
      <c r="K30" s="3169" t="s">
        <v>1648</v>
      </c>
      <c r="L30" s="3169"/>
      <c r="M30" s="3169"/>
      <c r="N30" s="3169"/>
      <c r="O30" s="3169"/>
      <c r="P30" s="3169"/>
      <c r="Q30" s="3169"/>
      <c r="R30" s="1904"/>
      <c r="S30" s="4"/>
      <c r="T30" s="5"/>
      <c r="U30" s="8"/>
      <c r="V30" s="3195"/>
      <c r="W30" s="3195"/>
      <c r="X30" s="3195"/>
      <c r="Y30" s="3195"/>
      <c r="Z30" s="3195"/>
      <c r="AA30" s="3195"/>
      <c r="AB30" s="27"/>
      <c r="AC30" s="23"/>
      <c r="AD30" s="3195"/>
      <c r="AE30" s="3195"/>
      <c r="AF30" s="3195"/>
      <c r="AG30" s="3195"/>
      <c r="AH30" s="3194"/>
      <c r="AI30" s="3194"/>
      <c r="AJ30" s="22"/>
      <c r="AK30" s="11"/>
      <c r="AL30" s="5"/>
      <c r="AM30" s="2515"/>
      <c r="AN30" s="2515"/>
      <c r="AO30" s="2515"/>
      <c r="AP30" s="2515"/>
      <c r="AQ30" s="2515"/>
      <c r="AR30" s="2515"/>
      <c r="AS30" s="2515"/>
      <c r="AT30" s="2515"/>
      <c r="AU30" s="2515"/>
      <c r="AV30" s="2515"/>
      <c r="AW30" s="2515"/>
      <c r="AX30" s="2515"/>
      <c r="AY30" s="1916"/>
    </row>
    <row r="31" spans="1:51" ht="12" customHeight="1" thickBot="1" x14ac:dyDescent="0.25">
      <c r="A31" s="4"/>
      <c r="B31" s="1903"/>
      <c r="C31" s="3176"/>
      <c r="D31" s="3176"/>
      <c r="E31" s="3176"/>
      <c r="F31" s="3176"/>
      <c r="G31" s="3176"/>
      <c r="H31" s="3176"/>
      <c r="I31" s="3176"/>
      <c r="J31" s="7"/>
      <c r="K31" s="3176"/>
      <c r="L31" s="3176"/>
      <c r="M31" s="3176"/>
      <c r="N31" s="3176"/>
      <c r="O31" s="3176"/>
      <c r="P31" s="3176"/>
      <c r="Q31" s="3176"/>
      <c r="R31" s="1904"/>
      <c r="S31" s="4"/>
      <c r="T31" s="5"/>
      <c r="U31" s="8"/>
      <c r="V31" s="3195"/>
      <c r="W31" s="3195"/>
      <c r="X31" s="3195"/>
      <c r="Y31" s="3195"/>
      <c r="Z31" s="3195"/>
      <c r="AA31" s="3195"/>
      <c r="AB31" s="27"/>
      <c r="AC31" s="23"/>
      <c r="AD31" s="3195"/>
      <c r="AE31" s="3195"/>
      <c r="AF31" s="3195"/>
      <c r="AG31" s="3195"/>
      <c r="AH31" s="3194"/>
      <c r="AI31" s="3194"/>
      <c r="AJ31" s="22"/>
      <c r="AK31" s="11"/>
      <c r="AL31" s="5"/>
      <c r="AM31" s="2515"/>
      <c r="AN31" s="2515"/>
      <c r="AO31" s="2515"/>
      <c r="AP31" s="2515"/>
      <c r="AQ31" s="2515"/>
      <c r="AR31" s="2515"/>
      <c r="AS31" s="2515"/>
      <c r="AT31" s="2515"/>
      <c r="AU31" s="2515"/>
      <c r="AV31" s="2515"/>
      <c r="AW31" s="2515"/>
      <c r="AX31" s="2515"/>
      <c r="AY31" s="1916"/>
    </row>
    <row r="32" spans="1:51" ht="12" customHeight="1" thickBot="1" x14ac:dyDescent="0.25">
      <c r="A32" s="4"/>
      <c r="B32" s="1903"/>
      <c r="C32" s="3176"/>
      <c r="D32" s="3176"/>
      <c r="E32" s="3176"/>
      <c r="F32" s="3176"/>
      <c r="G32" s="3176"/>
      <c r="H32" s="3176"/>
      <c r="I32" s="3176"/>
      <c r="J32" s="7"/>
      <c r="K32" s="3176"/>
      <c r="L32" s="3176"/>
      <c r="M32" s="3176"/>
      <c r="N32" s="3176"/>
      <c r="O32" s="3176"/>
      <c r="P32" s="3176"/>
      <c r="Q32" s="3176"/>
      <c r="R32" s="1904"/>
      <c r="S32" s="4"/>
      <c r="T32" s="5"/>
      <c r="U32" s="8"/>
      <c r="V32" s="3196"/>
      <c r="W32" s="3196"/>
      <c r="X32" s="3196"/>
      <c r="Y32" s="3196"/>
      <c r="Z32" s="3196"/>
      <c r="AA32" s="3196"/>
      <c r="AB32" s="28"/>
      <c r="AC32" s="23"/>
      <c r="AD32" s="3197" t="s">
        <v>1649</v>
      </c>
      <c r="AE32" s="3197"/>
      <c r="AF32" s="3198" t="str">
        <f>IF(Principal!E14=0,0&amp;" kg",VLOOKUP(FUE,Tabla_Fuerza,3)&amp;" kg")</f>
        <v>0 kg</v>
      </c>
      <c r="AG32" s="3198"/>
      <c r="AH32" s="3199" t="s">
        <v>1650</v>
      </c>
      <c r="AI32" s="3199"/>
      <c r="AJ32" s="29">
        <f>SUM(AB11:AB23,AB26:AB32,AJ11:AJ31)</f>
        <v>0</v>
      </c>
      <c r="AK32" s="11"/>
      <c r="AL32" s="5"/>
      <c r="AM32" s="2515"/>
      <c r="AN32" s="2515"/>
      <c r="AO32" s="2515"/>
      <c r="AW32" s="2515"/>
      <c r="AX32" s="2515"/>
      <c r="AY32" s="1916"/>
    </row>
    <row r="33" spans="1:52" ht="12" customHeight="1" thickBot="1" x14ac:dyDescent="0.25">
      <c r="A33" s="4"/>
      <c r="B33" s="1903"/>
      <c r="C33" s="3176"/>
      <c r="D33" s="3176"/>
      <c r="E33" s="3176"/>
      <c r="F33" s="3176"/>
      <c r="G33" s="3176"/>
      <c r="H33" s="3176"/>
      <c r="I33" s="3176"/>
      <c r="J33" s="30"/>
      <c r="K33" s="3176"/>
      <c r="L33" s="3176"/>
      <c r="M33" s="3176"/>
      <c r="N33" s="3176"/>
      <c r="O33" s="3176"/>
      <c r="P33" s="3176"/>
      <c r="Q33" s="3176"/>
      <c r="R33" s="1904"/>
      <c r="S33" s="4"/>
      <c r="T33" s="5"/>
      <c r="U33" s="8"/>
      <c r="AK33" s="11"/>
      <c r="AL33" s="5"/>
      <c r="AM33" s="2515"/>
      <c r="AN33" s="2515"/>
      <c r="AO33" s="2515"/>
      <c r="AW33" s="2515"/>
      <c r="AX33" s="2515"/>
      <c r="AY33" s="1916"/>
    </row>
    <row r="34" spans="1:52" ht="12" customHeight="1" thickBot="1" x14ac:dyDescent="0.25">
      <c r="A34" s="4"/>
      <c r="B34" s="1903"/>
      <c r="C34" s="7"/>
      <c r="D34" s="7"/>
      <c r="E34" s="7"/>
      <c r="F34" s="7"/>
      <c r="G34" s="7"/>
      <c r="H34" s="7"/>
      <c r="I34" s="7"/>
      <c r="J34" s="31"/>
      <c r="K34" s="3176"/>
      <c r="L34" s="3176"/>
      <c r="M34" s="3176"/>
      <c r="N34" s="3176"/>
      <c r="O34" s="3176"/>
      <c r="P34" s="3176"/>
      <c r="Q34" s="3176"/>
      <c r="R34" s="1904"/>
      <c r="S34" s="4"/>
      <c r="T34" s="5"/>
      <c r="U34" s="8"/>
      <c r="V34" s="3169" t="s">
        <v>1651</v>
      </c>
      <c r="W34" s="3169"/>
      <c r="X34" s="3169"/>
      <c r="Y34" s="3169"/>
      <c r="Z34" s="3169"/>
      <c r="AA34" s="3169"/>
      <c r="AB34" s="3169"/>
      <c r="AC34" s="3169"/>
      <c r="AD34" s="3169"/>
      <c r="AE34" s="3169"/>
      <c r="AF34" s="3169"/>
      <c r="AG34" s="3169"/>
      <c r="AH34" s="3169"/>
      <c r="AI34" s="3169"/>
      <c r="AJ34" s="3169"/>
      <c r="AK34" s="11"/>
      <c r="AL34" s="5"/>
      <c r="AM34" s="2515"/>
      <c r="AN34" s="2515"/>
      <c r="AO34" s="2515"/>
      <c r="AW34" s="2515"/>
      <c r="AX34" s="2515"/>
      <c r="AY34" s="1916"/>
    </row>
    <row r="35" spans="1:52" ht="12" customHeight="1" thickBot="1" x14ac:dyDescent="0.25">
      <c r="A35" s="4"/>
      <c r="B35" s="1903"/>
      <c r="C35" s="3169" t="s">
        <v>1652</v>
      </c>
      <c r="D35" s="3169"/>
      <c r="E35" s="3169"/>
      <c r="F35" s="3169"/>
      <c r="G35" s="3169"/>
      <c r="H35" s="3169"/>
      <c r="I35" s="3169"/>
      <c r="J35" s="31"/>
      <c r="K35" s="3176"/>
      <c r="L35" s="3176"/>
      <c r="M35" s="3176"/>
      <c r="N35" s="3176"/>
      <c r="O35" s="3176"/>
      <c r="P35" s="3176"/>
      <c r="Q35" s="3176"/>
      <c r="R35" s="1904"/>
      <c r="S35" s="4"/>
      <c r="T35" s="5"/>
      <c r="U35" s="8"/>
      <c r="V35" s="3191"/>
      <c r="W35" s="3191"/>
      <c r="X35" s="3191"/>
      <c r="Y35" s="3190"/>
      <c r="Z35" s="3190"/>
      <c r="AA35" s="3190"/>
      <c r="AB35" s="3190"/>
      <c r="AC35" s="3190"/>
      <c r="AD35" s="3190"/>
      <c r="AE35" s="3190"/>
      <c r="AF35" s="3190"/>
      <c r="AG35" s="3190"/>
      <c r="AH35" s="3190"/>
      <c r="AI35" s="3190"/>
      <c r="AJ35" s="3190"/>
      <c r="AK35" s="11"/>
      <c r="AL35" s="5"/>
      <c r="AM35" s="2515"/>
      <c r="AN35" s="2515"/>
      <c r="AO35" s="2515"/>
      <c r="AP35" s="2515"/>
      <c r="AX35" s="2515"/>
      <c r="AY35" s="1916"/>
      <c r="AZ35" s="6"/>
    </row>
    <row r="36" spans="1:52" ht="12" customHeight="1" thickBot="1" x14ac:dyDescent="0.25">
      <c r="A36" s="4"/>
      <c r="B36" s="1903"/>
      <c r="C36" s="3176"/>
      <c r="D36" s="3176"/>
      <c r="E36" s="3176"/>
      <c r="F36" s="3176"/>
      <c r="G36" s="3176"/>
      <c r="H36" s="3176"/>
      <c r="I36" s="3176"/>
      <c r="J36" s="31"/>
      <c r="K36" s="3176"/>
      <c r="L36" s="3176"/>
      <c r="M36" s="3176"/>
      <c r="N36" s="3176"/>
      <c r="O36" s="3176"/>
      <c r="P36" s="3176"/>
      <c r="Q36" s="3176"/>
      <c r="R36" s="1904"/>
      <c r="S36" s="4"/>
      <c r="T36" s="5"/>
      <c r="U36" s="8"/>
      <c r="V36" s="3191"/>
      <c r="W36" s="3191"/>
      <c r="X36" s="3191"/>
      <c r="Y36" s="3190"/>
      <c r="Z36" s="3190"/>
      <c r="AA36" s="3190"/>
      <c r="AB36" s="3190"/>
      <c r="AC36" s="3190"/>
      <c r="AD36" s="3190"/>
      <c r="AE36" s="3190"/>
      <c r="AF36" s="3190"/>
      <c r="AG36" s="3190"/>
      <c r="AH36" s="3190"/>
      <c r="AI36" s="3190"/>
      <c r="AJ36" s="3190"/>
      <c r="AK36" s="11"/>
      <c r="AL36" s="5"/>
      <c r="AM36" s="2515"/>
      <c r="AN36" s="2515"/>
      <c r="AO36" s="2515"/>
      <c r="AP36" s="2515"/>
      <c r="AQ36" s="2515"/>
      <c r="AR36" s="2515"/>
      <c r="AS36" s="2515"/>
      <c r="AT36" s="2515"/>
      <c r="AU36" s="2515"/>
      <c r="AV36" s="2515"/>
      <c r="AW36" s="2515"/>
      <c r="AX36" s="2515"/>
      <c r="AY36" s="1916"/>
      <c r="AZ36" s="6"/>
    </row>
    <row r="37" spans="1:52" ht="12" customHeight="1" thickBot="1" x14ac:dyDescent="0.25">
      <c r="A37" s="4"/>
      <c r="B37" s="1903"/>
      <c r="C37" s="3176"/>
      <c r="D37" s="3176"/>
      <c r="E37" s="3176"/>
      <c r="F37" s="3176"/>
      <c r="G37" s="3176"/>
      <c r="H37" s="3176"/>
      <c r="I37" s="3176"/>
      <c r="J37" s="31"/>
      <c r="K37" s="3176"/>
      <c r="L37" s="3176"/>
      <c r="M37" s="3176"/>
      <c r="N37" s="3176"/>
      <c r="O37" s="3176"/>
      <c r="P37" s="3176"/>
      <c r="Q37" s="3176"/>
      <c r="R37" s="1904"/>
      <c r="S37" s="4"/>
      <c r="T37" s="5"/>
      <c r="U37" s="8"/>
      <c r="V37" s="3191"/>
      <c r="W37" s="3191"/>
      <c r="X37" s="3191"/>
      <c r="Y37" s="3190"/>
      <c r="Z37" s="3190"/>
      <c r="AA37" s="3190"/>
      <c r="AB37" s="3190"/>
      <c r="AC37" s="3190"/>
      <c r="AD37" s="3190"/>
      <c r="AE37" s="3190"/>
      <c r="AF37" s="3190"/>
      <c r="AG37" s="3190"/>
      <c r="AH37" s="3190"/>
      <c r="AI37" s="3190"/>
      <c r="AJ37" s="3190"/>
      <c r="AK37" s="11"/>
      <c r="AL37" s="5"/>
      <c r="AM37" s="2515"/>
      <c r="AN37" s="2515"/>
      <c r="AO37" s="2515"/>
      <c r="AP37" s="2515"/>
      <c r="AQ37" s="2515"/>
      <c r="AR37" s="2515"/>
      <c r="AS37" s="2515"/>
      <c r="AT37" s="2515"/>
      <c r="AU37" s="2515"/>
      <c r="AV37" s="2515"/>
      <c r="AW37" s="2515"/>
      <c r="AX37" s="2515"/>
      <c r="AY37" s="1916"/>
      <c r="AZ37" s="6"/>
    </row>
    <row r="38" spans="1:52" ht="12" customHeight="1" thickBot="1" x14ac:dyDescent="0.25">
      <c r="A38" s="4"/>
      <c r="B38" s="1903"/>
      <c r="C38" s="3176"/>
      <c r="D38" s="3176"/>
      <c r="E38" s="3176"/>
      <c r="F38" s="3176"/>
      <c r="G38" s="3176"/>
      <c r="H38" s="3176"/>
      <c r="I38" s="3176"/>
      <c r="J38" s="31"/>
      <c r="K38" s="3176"/>
      <c r="L38" s="3176"/>
      <c r="M38" s="3176"/>
      <c r="N38" s="3176"/>
      <c r="O38" s="3176"/>
      <c r="P38" s="3176"/>
      <c r="Q38" s="3176"/>
      <c r="R38" s="1904"/>
      <c r="S38" s="4"/>
      <c r="T38" s="5"/>
      <c r="U38" s="8"/>
      <c r="V38" s="3191"/>
      <c r="W38" s="3191"/>
      <c r="X38" s="3191"/>
      <c r="Y38" s="3190"/>
      <c r="Z38" s="3190"/>
      <c r="AA38" s="3190"/>
      <c r="AB38" s="3190"/>
      <c r="AC38" s="3190"/>
      <c r="AD38" s="3190"/>
      <c r="AE38" s="3190"/>
      <c r="AF38" s="3190"/>
      <c r="AG38" s="3190"/>
      <c r="AH38" s="3190"/>
      <c r="AI38" s="3190"/>
      <c r="AJ38" s="3190"/>
      <c r="AK38" s="11"/>
      <c r="AL38" s="5"/>
      <c r="AM38" s="2515"/>
      <c r="AN38" s="2515"/>
      <c r="AP38" s="2515"/>
      <c r="AX38" s="2515"/>
      <c r="AY38" s="1916"/>
      <c r="AZ38" s="6"/>
    </row>
    <row r="39" spans="1:52" ht="12" customHeight="1" thickBot="1" x14ac:dyDescent="0.25">
      <c r="A39" s="4"/>
      <c r="B39" s="1903"/>
      <c r="C39" s="3176"/>
      <c r="D39" s="3176"/>
      <c r="E39" s="3176"/>
      <c r="F39" s="3176"/>
      <c r="G39" s="3176"/>
      <c r="H39" s="3176"/>
      <c r="I39" s="3176"/>
      <c r="J39" s="31"/>
      <c r="K39" s="3176"/>
      <c r="L39" s="3176"/>
      <c r="M39" s="3176"/>
      <c r="N39" s="3176"/>
      <c r="O39" s="3176"/>
      <c r="P39" s="3176"/>
      <c r="Q39" s="3176"/>
      <c r="R39" s="1904"/>
      <c r="S39" s="4"/>
      <c r="T39" s="5"/>
      <c r="U39" s="8"/>
      <c r="V39" s="3191"/>
      <c r="W39" s="3191"/>
      <c r="X39" s="3191"/>
      <c r="Y39" s="3190"/>
      <c r="Z39" s="3190"/>
      <c r="AA39" s="3190"/>
      <c r="AB39" s="3190"/>
      <c r="AC39" s="3190"/>
      <c r="AD39" s="3190"/>
      <c r="AE39" s="3190"/>
      <c r="AF39" s="3190"/>
      <c r="AG39" s="3190"/>
      <c r="AH39" s="3190"/>
      <c r="AI39" s="3190"/>
      <c r="AJ39" s="3190"/>
      <c r="AK39" s="11"/>
      <c r="AL39" s="5"/>
      <c r="AM39" s="2515"/>
      <c r="AN39" s="2515"/>
      <c r="AP39" s="2515"/>
      <c r="AX39" s="2515"/>
      <c r="AY39" s="1916"/>
      <c r="AZ39" s="6"/>
    </row>
    <row r="40" spans="1:52" ht="12" customHeight="1" thickBot="1" x14ac:dyDescent="0.25">
      <c r="A40" s="4"/>
      <c r="B40" s="1903"/>
      <c r="C40" s="3176"/>
      <c r="D40" s="3176"/>
      <c r="E40" s="3176"/>
      <c r="F40" s="3176"/>
      <c r="G40" s="3176"/>
      <c r="H40" s="3176"/>
      <c r="I40" s="3176"/>
      <c r="J40" s="31"/>
      <c r="K40" s="3176"/>
      <c r="L40" s="3176"/>
      <c r="M40" s="3176"/>
      <c r="N40" s="3176"/>
      <c r="O40" s="3176"/>
      <c r="P40" s="3176"/>
      <c r="Q40" s="3176"/>
      <c r="R40" s="1904"/>
      <c r="S40" s="4"/>
      <c r="T40" s="5"/>
      <c r="U40" s="8"/>
      <c r="V40" s="3191"/>
      <c r="W40" s="3191"/>
      <c r="X40" s="3191"/>
      <c r="Y40" s="3190"/>
      <c r="Z40" s="3190"/>
      <c r="AA40" s="3190"/>
      <c r="AB40" s="3190"/>
      <c r="AC40" s="3190"/>
      <c r="AD40" s="3190"/>
      <c r="AE40" s="3190"/>
      <c r="AF40" s="3190"/>
      <c r="AG40" s="3190"/>
      <c r="AH40" s="3190"/>
      <c r="AI40" s="3190"/>
      <c r="AJ40" s="3190"/>
      <c r="AK40" s="11"/>
      <c r="AL40" s="5"/>
      <c r="AM40" s="2515"/>
      <c r="AN40" s="2515"/>
      <c r="AP40" s="2515"/>
      <c r="AX40" s="2515"/>
      <c r="AY40" s="1916"/>
      <c r="AZ40" s="6"/>
    </row>
    <row r="41" spans="1:52" ht="12" customHeight="1" thickBot="1" x14ac:dyDescent="0.25">
      <c r="A41" s="4"/>
      <c r="B41" s="1903"/>
      <c r="C41" s="3176"/>
      <c r="D41" s="3176"/>
      <c r="E41" s="3176"/>
      <c r="F41" s="3176"/>
      <c r="G41" s="3176"/>
      <c r="H41" s="3176"/>
      <c r="I41" s="3176"/>
      <c r="J41" s="31"/>
      <c r="K41" s="3176"/>
      <c r="L41" s="3176"/>
      <c r="M41" s="3176"/>
      <c r="N41" s="3176"/>
      <c r="O41" s="3176"/>
      <c r="P41" s="3176"/>
      <c r="Q41" s="3176"/>
      <c r="R41" s="1904"/>
      <c r="S41" s="4"/>
      <c r="T41" s="5"/>
      <c r="U41" s="8"/>
      <c r="V41" s="3191"/>
      <c r="W41" s="3191"/>
      <c r="X41" s="3191"/>
      <c r="Y41" s="3200"/>
      <c r="Z41" s="3200"/>
      <c r="AA41" s="3200"/>
      <c r="AB41" s="3200"/>
      <c r="AC41" s="3200"/>
      <c r="AD41" s="3200"/>
      <c r="AE41" s="3200"/>
      <c r="AF41" s="3200"/>
      <c r="AG41" s="3200"/>
      <c r="AH41" s="3200"/>
      <c r="AI41" s="3200"/>
      <c r="AJ41" s="3200"/>
      <c r="AK41" s="11"/>
      <c r="AL41" s="5"/>
      <c r="AM41" s="2515"/>
      <c r="AN41" s="2515"/>
      <c r="AP41" s="2515"/>
      <c r="AX41" s="2515"/>
      <c r="AY41" s="1916"/>
      <c r="AZ41" s="6"/>
    </row>
    <row r="42" spans="1:52" ht="12" customHeight="1" thickBot="1" x14ac:dyDescent="0.25">
      <c r="A42" s="4"/>
      <c r="B42" s="1903"/>
      <c r="C42" s="3176"/>
      <c r="D42" s="3176"/>
      <c r="E42" s="3176"/>
      <c r="F42" s="3176"/>
      <c r="G42" s="3176"/>
      <c r="H42" s="3176"/>
      <c r="I42" s="3176"/>
      <c r="J42" s="7"/>
      <c r="K42" s="3176"/>
      <c r="L42" s="3176"/>
      <c r="M42" s="3176"/>
      <c r="N42" s="3176"/>
      <c r="O42" s="3176"/>
      <c r="P42" s="3176"/>
      <c r="Q42" s="3176"/>
      <c r="R42" s="1904"/>
      <c r="S42" s="4"/>
      <c r="T42" s="5"/>
      <c r="U42" s="8"/>
      <c r="V42" s="3191"/>
      <c r="W42" s="3191"/>
      <c r="X42" s="3191"/>
      <c r="Y42" s="3200"/>
      <c r="Z42" s="3200"/>
      <c r="AA42" s="3200"/>
      <c r="AB42" s="3200"/>
      <c r="AC42" s="3200"/>
      <c r="AD42" s="3200"/>
      <c r="AE42" s="3200"/>
      <c r="AF42" s="3200"/>
      <c r="AG42" s="3200"/>
      <c r="AH42" s="3200"/>
      <c r="AI42" s="3200"/>
      <c r="AJ42" s="3200"/>
      <c r="AK42" s="11"/>
      <c r="AL42" s="5"/>
      <c r="AM42" s="2515"/>
      <c r="AN42" s="2515"/>
      <c r="AP42" s="2515"/>
      <c r="AX42" s="2515"/>
      <c r="AY42" s="1916"/>
      <c r="AZ42" s="6"/>
    </row>
    <row r="43" spans="1:52" ht="12" customHeight="1" thickBot="1" x14ac:dyDescent="0.25">
      <c r="A43" s="4"/>
      <c r="B43" s="1903"/>
      <c r="C43" s="3176"/>
      <c r="D43" s="3176"/>
      <c r="E43" s="3176"/>
      <c r="F43" s="3176"/>
      <c r="G43" s="3176"/>
      <c r="H43" s="3176"/>
      <c r="I43" s="3176"/>
      <c r="J43" s="7"/>
      <c r="K43" s="3176"/>
      <c r="L43" s="3176"/>
      <c r="M43" s="3176"/>
      <c r="N43" s="3176"/>
      <c r="O43" s="3176"/>
      <c r="P43" s="3176"/>
      <c r="Q43" s="3176"/>
      <c r="R43" s="1904"/>
      <c r="S43" s="4"/>
      <c r="T43" s="5"/>
      <c r="U43" s="8"/>
      <c r="V43" s="3201"/>
      <c r="W43" s="3201"/>
      <c r="X43" s="3201"/>
      <c r="Y43" s="3202"/>
      <c r="Z43" s="3202"/>
      <c r="AA43" s="3202"/>
      <c r="AB43" s="3202"/>
      <c r="AC43" s="3202"/>
      <c r="AD43" s="3202"/>
      <c r="AE43" s="3202"/>
      <c r="AF43" s="3202"/>
      <c r="AG43" s="3202"/>
      <c r="AH43" s="3202"/>
      <c r="AI43" s="3202"/>
      <c r="AJ43" s="3202"/>
      <c r="AK43" s="11"/>
      <c r="AL43" s="5"/>
      <c r="AM43" s="2515"/>
      <c r="AN43" s="2515"/>
      <c r="AP43" s="2515"/>
      <c r="AX43" s="2515"/>
      <c r="AY43" s="1916"/>
      <c r="AZ43" s="6"/>
    </row>
    <row r="44" spans="1:52" ht="12" customHeight="1" thickBot="1" x14ac:dyDescent="0.25">
      <c r="A44" s="4"/>
      <c r="B44" s="1903"/>
      <c r="C44" s="7"/>
      <c r="D44" s="7"/>
      <c r="E44" s="7"/>
      <c r="F44" s="7"/>
      <c r="G44" s="7"/>
      <c r="H44" s="7"/>
      <c r="I44" s="7"/>
      <c r="J44" s="7"/>
      <c r="K44" s="3176"/>
      <c r="L44" s="3176"/>
      <c r="M44" s="3176"/>
      <c r="N44" s="3176"/>
      <c r="O44" s="3176"/>
      <c r="P44" s="3176"/>
      <c r="Q44" s="3176"/>
      <c r="R44" s="1904"/>
      <c r="S44" s="4"/>
      <c r="T44" s="5"/>
      <c r="U44" s="8"/>
      <c r="V44" s="3201"/>
      <c r="W44" s="3201"/>
      <c r="X44" s="3201"/>
      <c r="Y44" s="3202"/>
      <c r="Z44" s="3202"/>
      <c r="AA44" s="3202"/>
      <c r="AB44" s="3202"/>
      <c r="AC44" s="3202"/>
      <c r="AD44" s="3202"/>
      <c r="AE44" s="3202"/>
      <c r="AF44" s="3202"/>
      <c r="AG44" s="3202"/>
      <c r="AH44" s="3202"/>
      <c r="AI44" s="3202"/>
      <c r="AJ44" s="3202"/>
      <c r="AK44" s="11"/>
      <c r="AL44" s="5"/>
      <c r="AM44" s="2515"/>
      <c r="AN44" s="2515"/>
    </row>
    <row r="45" spans="1:52" ht="12" customHeight="1" thickBot="1" x14ac:dyDescent="0.25">
      <c r="A45" s="4"/>
      <c r="B45" s="1903"/>
      <c r="C45" s="3169" t="s">
        <v>1653</v>
      </c>
      <c r="D45" s="3169"/>
      <c r="E45" s="3169"/>
      <c r="F45" s="3169"/>
      <c r="G45" s="3169"/>
      <c r="H45" s="3169"/>
      <c r="I45" s="3169"/>
      <c r="J45" s="7"/>
      <c r="K45" s="3176"/>
      <c r="L45" s="3176"/>
      <c r="M45" s="3176"/>
      <c r="N45" s="3176"/>
      <c r="O45" s="3176"/>
      <c r="P45" s="3176"/>
      <c r="Q45" s="3176"/>
      <c r="R45" s="1904"/>
      <c r="S45" s="4"/>
      <c r="T45" s="5"/>
      <c r="U45" s="8"/>
      <c r="AK45" s="11"/>
      <c r="AL45" s="5"/>
      <c r="AM45" s="2515"/>
      <c r="AN45" s="2515"/>
      <c r="AO45" s="2515"/>
      <c r="AW45" s="2515"/>
      <c r="AX45" s="468"/>
      <c r="AY45" s="1918"/>
    </row>
    <row r="46" spans="1:52" ht="12" customHeight="1" x14ac:dyDescent="0.2">
      <c r="A46" s="4"/>
      <c r="B46" s="1903"/>
      <c r="C46" s="3176"/>
      <c r="D46" s="3176"/>
      <c r="E46" s="3176"/>
      <c r="F46" s="3176"/>
      <c r="G46" s="3176"/>
      <c r="H46" s="3176"/>
      <c r="I46" s="3176"/>
      <c r="J46" s="7"/>
      <c r="K46" s="3176"/>
      <c r="L46" s="3176"/>
      <c r="M46" s="3176"/>
      <c r="N46" s="3176"/>
      <c r="O46" s="3176"/>
      <c r="P46" s="3176"/>
      <c r="Q46" s="3176"/>
      <c r="R46" s="1904"/>
      <c r="S46" s="4"/>
      <c r="T46" s="5"/>
      <c r="U46" s="8"/>
      <c r="V46" s="3192" t="s">
        <v>1654</v>
      </c>
      <c r="W46" s="3192"/>
      <c r="X46" s="3192"/>
      <c r="Y46" s="3192"/>
      <c r="Z46" s="3192"/>
      <c r="AA46" s="3192"/>
      <c r="AB46" s="3192"/>
      <c r="AD46" s="3192" t="s">
        <v>1655</v>
      </c>
      <c r="AE46" s="3192"/>
      <c r="AF46" s="3192"/>
      <c r="AG46" s="3192"/>
      <c r="AH46" s="3192"/>
      <c r="AI46" s="3192"/>
      <c r="AJ46" s="3192"/>
      <c r="AK46" s="11"/>
      <c r="AL46" s="5"/>
      <c r="AM46" s="2515"/>
      <c r="AN46" s="2515"/>
      <c r="AO46" s="2515"/>
      <c r="AW46" s="2515"/>
      <c r="AX46" s="2515"/>
      <c r="AY46" s="1916"/>
    </row>
    <row r="47" spans="1:52" ht="12" customHeight="1" x14ac:dyDescent="0.2">
      <c r="A47" s="4"/>
      <c r="B47" s="1903"/>
      <c r="C47" s="3176"/>
      <c r="D47" s="3176"/>
      <c r="E47" s="3176"/>
      <c r="F47" s="3176"/>
      <c r="G47" s="3176"/>
      <c r="H47" s="3176"/>
      <c r="I47" s="3176"/>
      <c r="J47" s="7"/>
      <c r="K47" s="3176"/>
      <c r="L47" s="3176"/>
      <c r="M47" s="3176"/>
      <c r="N47" s="3176"/>
      <c r="O47" s="3176"/>
      <c r="P47" s="3176"/>
      <c r="Q47" s="3176"/>
      <c r="R47" s="1904"/>
      <c r="S47" s="4"/>
      <c r="T47" s="5"/>
      <c r="U47" s="8"/>
      <c r="V47" s="3193"/>
      <c r="W47" s="3193"/>
      <c r="X47" s="3193"/>
      <c r="Y47" s="3193"/>
      <c r="Z47" s="3193"/>
      <c r="AA47" s="3193"/>
      <c r="AB47" s="3193"/>
      <c r="AD47" s="3193"/>
      <c r="AE47" s="3193"/>
      <c r="AF47" s="3193"/>
      <c r="AG47" s="3193"/>
      <c r="AH47" s="3193"/>
      <c r="AI47" s="3193"/>
      <c r="AJ47" s="3193"/>
      <c r="AK47" s="11"/>
      <c r="AL47" s="5"/>
      <c r="AM47" s="2515"/>
      <c r="AN47" s="2515"/>
      <c r="AO47" s="2515"/>
      <c r="AP47" s="2515"/>
      <c r="AQ47" s="2515"/>
      <c r="AR47" s="2515"/>
      <c r="AS47" s="2515"/>
      <c r="AT47" s="2515"/>
      <c r="AU47" s="2515"/>
      <c r="AV47" s="2515"/>
      <c r="AW47" s="2515"/>
      <c r="AX47" s="2515"/>
      <c r="AY47" s="1916"/>
    </row>
    <row r="48" spans="1:52" ht="12" customHeight="1" x14ac:dyDescent="0.2">
      <c r="A48" s="4"/>
      <c r="B48" s="1903"/>
      <c r="C48" s="3176"/>
      <c r="D48" s="3176"/>
      <c r="E48" s="3176"/>
      <c r="F48" s="3176"/>
      <c r="G48" s="3176"/>
      <c r="H48" s="3176"/>
      <c r="I48" s="3176"/>
      <c r="J48" s="7"/>
      <c r="K48" s="3176"/>
      <c r="L48" s="3176"/>
      <c r="M48" s="3176"/>
      <c r="N48" s="3176"/>
      <c r="O48" s="3176"/>
      <c r="P48" s="3176"/>
      <c r="Q48" s="3176"/>
      <c r="R48" s="1904"/>
      <c r="S48" s="4"/>
      <c r="T48" s="5"/>
      <c r="U48" s="8"/>
      <c r="V48" s="3188"/>
      <c r="W48" s="3188"/>
      <c r="X48" s="3188"/>
      <c r="Y48" s="3188"/>
      <c r="Z48" s="3188"/>
      <c r="AA48" s="3188"/>
      <c r="AB48" s="3188"/>
      <c r="AD48" s="3188"/>
      <c r="AE48" s="3188"/>
      <c r="AF48" s="3188"/>
      <c r="AG48" s="3188"/>
      <c r="AH48" s="3188"/>
      <c r="AI48" s="3188"/>
      <c r="AJ48" s="3188"/>
      <c r="AK48" s="11"/>
      <c r="AL48" s="5"/>
      <c r="AM48" s="2515"/>
      <c r="AN48" s="2515"/>
      <c r="AO48" s="2515"/>
      <c r="AP48" s="2515"/>
      <c r="AQ48" s="2515"/>
      <c r="AR48" s="2515"/>
      <c r="AS48" s="2515"/>
      <c r="AT48" s="2515"/>
      <c r="AU48" s="2515"/>
      <c r="AV48" s="2515"/>
      <c r="AW48" s="2515"/>
      <c r="AX48" s="2515"/>
      <c r="AY48" s="1916"/>
    </row>
    <row r="49" spans="1:51" ht="12" customHeight="1" x14ac:dyDescent="0.2">
      <c r="A49" s="4"/>
      <c r="B49" s="1903"/>
      <c r="C49" s="3176"/>
      <c r="D49" s="3176"/>
      <c r="E49" s="3176"/>
      <c r="F49" s="3176"/>
      <c r="G49" s="3176"/>
      <c r="H49" s="3176"/>
      <c r="I49" s="3176"/>
      <c r="J49" s="7"/>
      <c r="K49" s="3176"/>
      <c r="L49" s="3176"/>
      <c r="M49" s="3176"/>
      <c r="N49" s="3176"/>
      <c r="O49" s="3176"/>
      <c r="P49" s="3176"/>
      <c r="Q49" s="3176"/>
      <c r="R49" s="1904"/>
      <c r="S49" s="4"/>
      <c r="T49" s="5"/>
      <c r="U49" s="8"/>
      <c r="V49" s="3188"/>
      <c r="W49" s="3188"/>
      <c r="X49" s="3188"/>
      <c r="Y49" s="3188"/>
      <c r="Z49" s="3188"/>
      <c r="AA49" s="3188"/>
      <c r="AB49" s="3188"/>
      <c r="AD49" s="3188"/>
      <c r="AE49" s="3188"/>
      <c r="AF49" s="3188"/>
      <c r="AG49" s="3188"/>
      <c r="AH49" s="3188"/>
      <c r="AI49" s="3188"/>
      <c r="AJ49" s="3188"/>
      <c r="AK49" s="11"/>
      <c r="AL49" s="5"/>
      <c r="AM49" s="2515"/>
      <c r="AN49" s="2515"/>
      <c r="AO49" s="2515"/>
      <c r="AW49" s="2515"/>
      <c r="AX49" s="2515"/>
      <c r="AY49" s="1916"/>
    </row>
    <row r="50" spans="1:51" ht="12" customHeight="1" x14ac:dyDescent="0.2">
      <c r="A50" s="4"/>
      <c r="B50" s="1903"/>
      <c r="C50" s="3176"/>
      <c r="D50" s="3176"/>
      <c r="E50" s="3176"/>
      <c r="F50" s="3176"/>
      <c r="G50" s="3176"/>
      <c r="H50" s="3176"/>
      <c r="I50" s="3176"/>
      <c r="J50" s="7"/>
      <c r="K50" s="3176"/>
      <c r="L50" s="3176"/>
      <c r="M50" s="3176"/>
      <c r="N50" s="3176"/>
      <c r="O50" s="3176"/>
      <c r="P50" s="3176"/>
      <c r="Q50" s="3176"/>
      <c r="R50" s="1904"/>
      <c r="S50" s="4"/>
      <c r="T50" s="5"/>
      <c r="U50" s="8"/>
      <c r="V50" s="3188"/>
      <c r="W50" s="3188"/>
      <c r="X50" s="3188"/>
      <c r="Y50" s="3188"/>
      <c r="Z50" s="3188"/>
      <c r="AA50" s="3188"/>
      <c r="AB50" s="3188"/>
      <c r="AD50" s="3188"/>
      <c r="AE50" s="3188"/>
      <c r="AF50" s="3188"/>
      <c r="AG50" s="3188"/>
      <c r="AH50" s="3188"/>
      <c r="AI50" s="3188"/>
      <c r="AJ50" s="3188"/>
      <c r="AK50" s="11"/>
      <c r="AL50" s="5"/>
      <c r="AM50" s="2515"/>
      <c r="AN50" s="2515"/>
      <c r="AO50" s="2515"/>
      <c r="AW50" s="2515"/>
      <c r="AX50" s="2515"/>
      <c r="AY50" s="1916"/>
    </row>
    <row r="51" spans="1:51" ht="12" customHeight="1" x14ac:dyDescent="0.2">
      <c r="A51" s="4"/>
      <c r="B51" s="1903"/>
      <c r="C51" s="3176"/>
      <c r="D51" s="3176"/>
      <c r="E51" s="3176"/>
      <c r="F51" s="3176"/>
      <c r="G51" s="3176"/>
      <c r="H51" s="3176"/>
      <c r="I51" s="3176"/>
      <c r="J51" s="7"/>
      <c r="K51" s="3176"/>
      <c r="L51" s="3176"/>
      <c r="M51" s="3176"/>
      <c r="N51" s="3176"/>
      <c r="O51" s="3176"/>
      <c r="P51" s="3176"/>
      <c r="Q51" s="3176"/>
      <c r="R51" s="1904"/>
      <c r="S51" s="4"/>
      <c r="T51" s="5"/>
      <c r="U51" s="8"/>
      <c r="V51" s="3188"/>
      <c r="W51" s="3188"/>
      <c r="X51" s="3188"/>
      <c r="Y51" s="3188"/>
      <c r="Z51" s="3188"/>
      <c r="AA51" s="3188"/>
      <c r="AB51" s="3188"/>
      <c r="AD51" s="3188"/>
      <c r="AE51" s="3188"/>
      <c r="AF51" s="3188"/>
      <c r="AG51" s="3188"/>
      <c r="AH51" s="3188"/>
      <c r="AI51" s="3188"/>
      <c r="AJ51" s="3188"/>
      <c r="AK51" s="11"/>
      <c r="AL51" s="5"/>
      <c r="AM51" s="2515"/>
      <c r="AN51" s="2515"/>
      <c r="AO51" s="2515"/>
      <c r="AW51" s="2515"/>
      <c r="AX51" s="2515"/>
      <c r="AY51" s="1916"/>
    </row>
    <row r="52" spans="1:51" ht="12" customHeight="1" x14ac:dyDescent="0.2">
      <c r="A52" s="4"/>
      <c r="B52" s="1903"/>
      <c r="C52" s="3176"/>
      <c r="D52" s="3176"/>
      <c r="E52" s="3176"/>
      <c r="F52" s="3176"/>
      <c r="G52" s="3176"/>
      <c r="H52" s="3176"/>
      <c r="I52" s="3176"/>
      <c r="J52" s="7"/>
      <c r="K52" s="3176"/>
      <c r="L52" s="3176"/>
      <c r="M52" s="3176"/>
      <c r="N52" s="3176"/>
      <c r="O52" s="3176"/>
      <c r="P52" s="3176"/>
      <c r="Q52" s="3176"/>
      <c r="R52" s="1904"/>
      <c r="S52" s="4"/>
      <c r="T52" s="5"/>
      <c r="U52" s="8"/>
      <c r="V52" s="3188"/>
      <c r="W52" s="3188"/>
      <c r="X52" s="3188"/>
      <c r="Y52" s="3188"/>
      <c r="Z52" s="3188"/>
      <c r="AA52" s="3188"/>
      <c r="AB52" s="3188"/>
      <c r="AD52" s="3188"/>
      <c r="AE52" s="3188"/>
      <c r="AF52" s="3188"/>
      <c r="AG52" s="3188"/>
      <c r="AH52" s="3188"/>
      <c r="AI52" s="3188"/>
      <c r="AJ52" s="3188"/>
      <c r="AK52" s="11"/>
      <c r="AL52" s="5"/>
      <c r="AM52" s="2515"/>
      <c r="AN52" s="2515"/>
      <c r="AO52" s="2515"/>
      <c r="AW52" s="2515"/>
      <c r="AX52" s="2515"/>
      <c r="AY52" s="1916"/>
    </row>
    <row r="53" spans="1:51" ht="12" customHeight="1" x14ac:dyDescent="0.2">
      <c r="A53" s="4"/>
      <c r="B53" s="1903"/>
      <c r="C53" s="3176"/>
      <c r="D53" s="3176"/>
      <c r="E53" s="3176"/>
      <c r="F53" s="3176"/>
      <c r="G53" s="3176"/>
      <c r="H53" s="3176"/>
      <c r="I53" s="3176"/>
      <c r="J53" s="7"/>
      <c r="K53" s="3176"/>
      <c r="L53" s="3176"/>
      <c r="M53" s="3176"/>
      <c r="N53" s="3176"/>
      <c r="O53" s="3176"/>
      <c r="P53" s="3176"/>
      <c r="Q53" s="3176"/>
      <c r="R53" s="1904"/>
      <c r="S53" s="4"/>
      <c r="T53" s="5"/>
      <c r="U53" s="8"/>
      <c r="V53" s="3188"/>
      <c r="W53" s="3188"/>
      <c r="X53" s="3188"/>
      <c r="Y53" s="3188"/>
      <c r="Z53" s="3188"/>
      <c r="AA53" s="3188"/>
      <c r="AB53" s="3188"/>
      <c r="AD53" s="3188"/>
      <c r="AE53" s="3188"/>
      <c r="AF53" s="3188"/>
      <c r="AG53" s="3188"/>
      <c r="AH53" s="3188"/>
      <c r="AI53" s="3188"/>
      <c r="AJ53" s="3188"/>
      <c r="AK53" s="11"/>
      <c r="AL53" s="5"/>
      <c r="AM53" s="2515"/>
      <c r="AN53" s="2515"/>
      <c r="AO53" s="2515"/>
      <c r="AW53" s="2515"/>
      <c r="AX53" s="2515"/>
      <c r="AY53" s="1916"/>
    </row>
    <row r="54" spans="1:51" ht="12" customHeight="1" x14ac:dyDescent="0.2">
      <c r="A54" s="4"/>
      <c r="B54" s="1903"/>
      <c r="C54" s="7"/>
      <c r="D54" s="7"/>
      <c r="E54" s="7"/>
      <c r="F54" s="7"/>
      <c r="G54" s="7"/>
      <c r="H54" s="7"/>
      <c r="I54" s="7"/>
      <c r="J54" s="7"/>
      <c r="K54" s="3176"/>
      <c r="L54" s="3176"/>
      <c r="M54" s="3176"/>
      <c r="N54" s="3176"/>
      <c r="O54" s="3176"/>
      <c r="P54" s="3176"/>
      <c r="Q54" s="3176"/>
      <c r="R54" s="1904"/>
      <c r="S54" s="4"/>
      <c r="T54" s="5"/>
      <c r="U54" s="8"/>
      <c r="V54" s="3188"/>
      <c r="W54" s="3188"/>
      <c r="X54" s="3188"/>
      <c r="Y54" s="3188"/>
      <c r="Z54" s="3188"/>
      <c r="AA54" s="3188"/>
      <c r="AB54" s="3188"/>
      <c r="AD54" s="3188"/>
      <c r="AE54" s="3188"/>
      <c r="AF54" s="3188"/>
      <c r="AG54" s="3188"/>
      <c r="AH54" s="3188"/>
      <c r="AI54" s="3188"/>
      <c r="AJ54" s="3188"/>
      <c r="AK54" s="11"/>
      <c r="AL54" s="5"/>
      <c r="AM54" s="2515"/>
      <c r="AN54" s="2515"/>
      <c r="AO54" s="2515"/>
      <c r="AW54" s="2515"/>
      <c r="AX54" s="2515"/>
      <c r="AY54" s="1916"/>
    </row>
    <row r="55" spans="1:51" ht="12" customHeight="1" x14ac:dyDescent="0.2">
      <c r="A55" s="4"/>
      <c r="B55" s="1903"/>
      <c r="C55" s="3169" t="s">
        <v>1656</v>
      </c>
      <c r="D55" s="3169"/>
      <c r="E55" s="3169"/>
      <c r="F55" s="3169"/>
      <c r="G55" s="3169"/>
      <c r="H55" s="3169"/>
      <c r="I55" s="3169"/>
      <c r="J55" s="7"/>
      <c r="K55" s="3176"/>
      <c r="L55" s="3176"/>
      <c r="M55" s="3176"/>
      <c r="N55" s="3176"/>
      <c r="O55" s="3176"/>
      <c r="P55" s="3176"/>
      <c r="Q55" s="3176"/>
      <c r="R55" s="1904"/>
      <c r="S55" s="4"/>
      <c r="T55" s="5"/>
      <c r="U55" s="8"/>
      <c r="V55" s="3189"/>
      <c r="W55" s="3189"/>
      <c r="X55" s="3189"/>
      <c r="Y55" s="3189"/>
      <c r="Z55" s="3189"/>
      <c r="AA55" s="3189"/>
      <c r="AB55" s="3189"/>
      <c r="AD55" s="3189"/>
      <c r="AE55" s="3189"/>
      <c r="AF55" s="3189"/>
      <c r="AG55" s="3189"/>
      <c r="AH55" s="3189"/>
      <c r="AI55" s="3189"/>
      <c r="AJ55" s="3189"/>
      <c r="AK55" s="11"/>
      <c r="AL55" s="5"/>
      <c r="AM55" s="2515"/>
      <c r="AN55" s="2515"/>
      <c r="AO55" s="2515"/>
      <c r="AW55" s="2515"/>
      <c r="AX55" s="2515"/>
      <c r="AY55" s="1916"/>
    </row>
    <row r="56" spans="1:51" ht="12" customHeight="1" x14ac:dyDescent="0.2">
      <c r="A56" s="4"/>
      <c r="B56" s="1903"/>
      <c r="C56" s="3176"/>
      <c r="D56" s="3176"/>
      <c r="E56" s="3176"/>
      <c r="F56" s="3176"/>
      <c r="G56" s="3176"/>
      <c r="H56" s="3176"/>
      <c r="I56" s="3176"/>
      <c r="J56" s="7"/>
      <c r="K56" s="3176"/>
      <c r="L56" s="3176"/>
      <c r="M56" s="3176"/>
      <c r="N56" s="3176"/>
      <c r="O56" s="3176"/>
      <c r="P56" s="3176"/>
      <c r="Q56" s="3176"/>
      <c r="R56" s="1904"/>
      <c r="S56" s="4"/>
      <c r="T56" s="5"/>
      <c r="U56" s="8"/>
      <c r="AK56" s="11"/>
      <c r="AL56" s="5"/>
      <c r="AM56" s="2515"/>
      <c r="AN56" s="2515"/>
      <c r="AO56" s="2515"/>
      <c r="AW56" s="2515"/>
      <c r="AX56" s="2515"/>
      <c r="AY56" s="1916"/>
    </row>
    <row r="57" spans="1:51" ht="12" customHeight="1" x14ac:dyDescent="0.2">
      <c r="A57" s="4"/>
      <c r="B57" s="1903"/>
      <c r="C57" s="3176"/>
      <c r="D57" s="3176"/>
      <c r="E57" s="3176"/>
      <c r="F57" s="3176"/>
      <c r="G57" s="3176"/>
      <c r="H57" s="3176"/>
      <c r="I57" s="3176"/>
      <c r="J57" s="7"/>
      <c r="K57" s="3176"/>
      <c r="L57" s="3176"/>
      <c r="M57" s="3176"/>
      <c r="N57" s="3176"/>
      <c r="O57" s="3176"/>
      <c r="P57" s="3176"/>
      <c r="Q57" s="3176"/>
      <c r="R57" s="1904"/>
      <c r="S57" s="4"/>
      <c r="T57" s="5"/>
      <c r="U57" s="8"/>
      <c r="V57" s="3169" t="s">
        <v>1657</v>
      </c>
      <c r="W57" s="3169"/>
      <c r="X57" s="3169"/>
      <c r="Y57" s="3169"/>
      <c r="Z57" s="3169"/>
      <c r="AA57" s="3169"/>
      <c r="AB57" s="3169"/>
      <c r="AD57" s="3177" t="s">
        <v>1658</v>
      </c>
      <c r="AE57" s="3177"/>
      <c r="AF57" s="3177"/>
      <c r="AG57" s="3177"/>
      <c r="AH57" s="3177"/>
      <c r="AI57" s="3178" t="str">
        <f>VLOOKUP(AD59,Tabla_Fama,2)</f>
        <v>Desconocido</v>
      </c>
      <c r="AJ57" s="3178"/>
      <c r="AK57" s="11"/>
      <c r="AL57" s="5"/>
      <c r="AM57" s="2515"/>
      <c r="AQ57" s="2515"/>
      <c r="AR57" s="2515"/>
      <c r="AS57" s="2515"/>
      <c r="AT57" s="2515"/>
      <c r="AU57" s="2515"/>
      <c r="AV57" s="2515"/>
      <c r="AW57" s="2515"/>
      <c r="AX57" s="2515"/>
      <c r="AY57" s="1916"/>
    </row>
    <row r="58" spans="1:51" ht="12" customHeight="1" x14ac:dyDescent="0.2">
      <c r="A58" s="4"/>
      <c r="B58" s="1903"/>
      <c r="C58" s="3176"/>
      <c r="D58" s="3176"/>
      <c r="E58" s="3176"/>
      <c r="F58" s="3176"/>
      <c r="G58" s="3176"/>
      <c r="H58" s="3176"/>
      <c r="I58" s="3176"/>
      <c r="J58" s="7"/>
      <c r="K58" s="3176"/>
      <c r="L58" s="3176"/>
      <c r="M58" s="3176"/>
      <c r="N58" s="3176"/>
      <c r="O58" s="3176"/>
      <c r="P58" s="3176"/>
      <c r="Q58" s="3176"/>
      <c r="R58" s="1904"/>
      <c r="S58" s="4"/>
      <c r="T58" s="5"/>
      <c r="U58" s="8"/>
      <c r="V58" s="3179" t="s">
        <v>1659</v>
      </c>
      <c r="W58" s="3179"/>
      <c r="X58" s="3179"/>
      <c r="Y58" s="3179"/>
      <c r="Z58" s="3180" t="s">
        <v>1660</v>
      </c>
      <c r="AA58" s="3180"/>
      <c r="AB58" s="3180"/>
      <c r="AD58" s="32" t="s">
        <v>1661</v>
      </c>
      <c r="AE58" s="3181" t="s">
        <v>1662</v>
      </c>
      <c r="AF58" s="3181"/>
      <c r="AG58" s="33"/>
      <c r="AH58" s="3181" t="s">
        <v>1663</v>
      </c>
      <c r="AI58" s="3181"/>
      <c r="AJ58" s="34"/>
      <c r="AK58" s="11"/>
      <c r="AL58" s="5"/>
    </row>
    <row r="59" spans="1:51" ht="12" customHeight="1" x14ac:dyDescent="0.2">
      <c r="A59" s="4"/>
      <c r="B59" s="1903"/>
      <c r="C59" s="3176"/>
      <c r="D59" s="3176"/>
      <c r="E59" s="3176"/>
      <c r="F59" s="3176"/>
      <c r="G59" s="3176"/>
      <c r="H59" s="3176"/>
      <c r="I59" s="3176"/>
      <c r="J59" s="7"/>
      <c r="K59" s="3176"/>
      <c r="L59" s="3176"/>
      <c r="M59" s="3176"/>
      <c r="N59" s="3176"/>
      <c r="O59" s="3176"/>
      <c r="P59" s="3176"/>
      <c r="Q59" s="3176"/>
      <c r="R59" s="1904"/>
      <c r="S59" s="4"/>
      <c r="T59" s="5"/>
      <c r="U59" s="8"/>
      <c r="V59" s="3167" t="s">
        <v>1664</v>
      </c>
      <c r="W59" s="3168"/>
      <c r="X59" s="3168"/>
      <c r="Y59" s="3168"/>
      <c r="Z59" s="3182"/>
      <c r="AA59" s="3182"/>
      <c r="AB59" s="3182"/>
      <c r="AD59" s="3183">
        <f>MAX(AG58+AG60+AJ59+AJ58+AG59,IF(Tablas!$G$478&gt;0,40,IF(Tablas!$G$479&gt;0,65)))</f>
        <v>0</v>
      </c>
      <c r="AE59" s="3184" t="s">
        <v>1665</v>
      </c>
      <c r="AF59" s="3184"/>
      <c r="AG59" s="35"/>
      <c r="AH59" s="3185" t="s">
        <v>1666</v>
      </c>
      <c r="AI59" s="3185"/>
      <c r="AJ59" s="36"/>
      <c r="AK59" s="11"/>
      <c r="AL59" s="5"/>
    </row>
    <row r="60" spans="1:51" ht="12" customHeight="1" x14ac:dyDescent="0.2">
      <c r="A60" s="4"/>
      <c r="B60" s="1903"/>
      <c r="C60" s="3176"/>
      <c r="D60" s="3176"/>
      <c r="E60" s="3176"/>
      <c r="F60" s="3176"/>
      <c r="G60" s="3176"/>
      <c r="H60" s="3176"/>
      <c r="I60" s="3176"/>
      <c r="J60" s="7"/>
      <c r="K60" s="3176"/>
      <c r="L60" s="3176"/>
      <c r="M60" s="3176"/>
      <c r="N60" s="3176"/>
      <c r="O60" s="3176"/>
      <c r="P60" s="3176"/>
      <c r="Q60" s="3176"/>
      <c r="R60" s="1904"/>
      <c r="S60" s="4"/>
      <c r="T60" s="5"/>
      <c r="U60" s="8"/>
      <c r="V60" s="3167"/>
      <c r="W60" s="3168"/>
      <c r="X60" s="3168"/>
      <c r="Y60" s="3168"/>
      <c r="Z60" s="3182"/>
      <c r="AA60" s="3182"/>
      <c r="AB60" s="3182"/>
      <c r="AD60" s="3183"/>
      <c r="AE60" s="3186" t="s">
        <v>1667</v>
      </c>
      <c r="AF60" s="3186"/>
      <c r="AG60" s="37"/>
      <c r="AH60" s="3187" t="s">
        <v>1668</v>
      </c>
      <c r="AI60" s="3187"/>
      <c r="AJ60" s="38">
        <f>VLOOKUP(AD59,Tabla_Fama,3)</f>
        <v>0</v>
      </c>
      <c r="AK60" s="11"/>
      <c r="AL60" s="5"/>
    </row>
    <row r="61" spans="1:51" ht="12" customHeight="1" x14ac:dyDescent="0.2">
      <c r="A61" s="4"/>
      <c r="B61" s="1903"/>
      <c r="C61" s="3176"/>
      <c r="D61" s="3176"/>
      <c r="E61" s="3176"/>
      <c r="F61" s="3176"/>
      <c r="G61" s="3176"/>
      <c r="H61" s="3176"/>
      <c r="I61" s="3176"/>
      <c r="J61" s="7"/>
      <c r="K61" s="3176"/>
      <c r="L61" s="3176"/>
      <c r="M61" s="3176"/>
      <c r="N61" s="3176"/>
      <c r="O61" s="3176"/>
      <c r="P61" s="3176"/>
      <c r="Q61" s="3176"/>
      <c r="R61" s="1904"/>
      <c r="S61" s="4"/>
      <c r="T61" s="5"/>
      <c r="U61" s="8"/>
      <c r="V61" s="3167" t="s">
        <v>1669</v>
      </c>
      <c r="W61" s="3168"/>
      <c r="X61" s="3168"/>
      <c r="Y61" s="3168"/>
      <c r="Z61" s="3182"/>
      <c r="AA61" s="3182"/>
      <c r="AB61" s="3182"/>
      <c r="AK61" s="11"/>
      <c r="AL61" s="5"/>
    </row>
    <row r="62" spans="1:51" ht="12" customHeight="1" x14ac:dyDescent="0.2">
      <c r="A62" s="4"/>
      <c r="B62" s="1903"/>
      <c r="C62" s="3176"/>
      <c r="D62" s="3176"/>
      <c r="E62" s="3176"/>
      <c r="F62" s="3176"/>
      <c r="G62" s="3176"/>
      <c r="H62" s="3176"/>
      <c r="I62" s="3176"/>
      <c r="J62" s="7"/>
      <c r="K62" s="3176"/>
      <c r="L62" s="3176"/>
      <c r="M62" s="3176"/>
      <c r="N62" s="3176"/>
      <c r="O62" s="3176"/>
      <c r="P62" s="3176"/>
      <c r="Q62" s="3176"/>
      <c r="R62" s="1904"/>
      <c r="S62" s="4"/>
      <c r="T62" s="5"/>
      <c r="U62" s="8"/>
      <c r="V62" s="3167"/>
      <c r="W62" s="3168"/>
      <c r="X62" s="3168"/>
      <c r="Y62" s="3168"/>
      <c r="Z62" s="3182"/>
      <c r="AA62" s="3182"/>
      <c r="AB62" s="3182"/>
      <c r="AD62" s="3169" t="s">
        <v>1670</v>
      </c>
      <c r="AE62" s="3169"/>
      <c r="AF62" s="3169"/>
      <c r="AG62" s="3169"/>
      <c r="AH62" s="3169"/>
      <c r="AI62" s="3169"/>
      <c r="AJ62" s="3169"/>
      <c r="AK62" s="11"/>
      <c r="AL62" s="5"/>
    </row>
    <row r="63" spans="1:51" ht="12" customHeight="1" x14ac:dyDescent="0.2">
      <c r="A63" s="4"/>
      <c r="B63" s="1903"/>
      <c r="C63" s="3176"/>
      <c r="D63" s="3176"/>
      <c r="E63" s="3176"/>
      <c r="F63" s="3176"/>
      <c r="G63" s="3176"/>
      <c r="H63" s="3176"/>
      <c r="I63" s="3176"/>
      <c r="J63" s="7"/>
      <c r="K63" s="3176"/>
      <c r="L63" s="3176"/>
      <c r="M63" s="3176"/>
      <c r="N63" s="3176"/>
      <c r="O63" s="3176"/>
      <c r="P63" s="3176"/>
      <c r="Q63" s="3176"/>
      <c r="R63" s="1904"/>
      <c r="S63" s="4"/>
      <c r="T63" s="5"/>
      <c r="U63" s="8"/>
      <c r="V63" s="3170" t="s">
        <v>1671</v>
      </c>
      <c r="W63" s="3171"/>
      <c r="X63" s="3171"/>
      <c r="Y63" s="3171"/>
      <c r="Z63" s="3182"/>
      <c r="AA63" s="3182"/>
      <c r="AB63" s="3182"/>
      <c r="AD63" s="3172" t="s">
        <v>1672</v>
      </c>
      <c r="AE63" s="3172"/>
      <c r="AF63" s="3172"/>
      <c r="AG63" s="39">
        <f>IF(INT+POD+VOL=0,0,VLOOKUP(INT+POD+VOL,Tabla_Cordura,3))</f>
        <v>0</v>
      </c>
      <c r="AH63" s="3173">
        <f>IF(INT+POD+VOL=0,0,VLOOKUP(INT+POD+VOL,Tabla_Cordura,2))</f>
        <v>0</v>
      </c>
      <c r="AI63" s="3174"/>
      <c r="AJ63" s="3174"/>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170"/>
      <c r="W64" s="3171"/>
      <c r="X64" s="3171"/>
      <c r="Y64" s="3171"/>
      <c r="Z64" s="3182"/>
      <c r="AA64" s="3182"/>
      <c r="AB64" s="3182"/>
      <c r="AD64" s="3175"/>
      <c r="AE64" s="3175"/>
      <c r="AF64" s="3175"/>
      <c r="AG64" s="3175"/>
      <c r="AH64" s="3173"/>
      <c r="AI64" s="3174"/>
      <c r="AJ64" s="3174"/>
      <c r="AK64" s="11"/>
      <c r="AL64" s="5"/>
    </row>
    <row r="65" spans="1:38" ht="12" customHeight="1" x14ac:dyDescent="0.2">
      <c r="A65" s="4"/>
      <c r="B65" s="3165"/>
      <c r="C65" s="3166"/>
      <c r="D65" s="3166"/>
      <c r="E65" s="3166"/>
      <c r="F65" s="3166"/>
      <c r="G65" s="3166"/>
      <c r="H65" s="3166"/>
      <c r="I65" s="3166"/>
      <c r="J65" s="3166"/>
      <c r="K65" s="3166"/>
      <c r="L65" s="3166"/>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792" priority="14" stopIfTrue="1" operator="equal">
      <formula>0</formula>
    </cfRule>
  </conditionalFormatting>
  <conditionalFormatting sqref="N23">
    <cfRule type="expression" dxfId="791" priority="7">
      <formula>$L$23=""</formula>
    </cfRule>
  </conditionalFormatting>
  <conditionalFormatting sqref="M26">
    <cfRule type="expression" dxfId="790" priority="1811" stopIfTrue="1">
      <formula>$K$26=""</formula>
    </cfRule>
  </conditionalFormatting>
  <conditionalFormatting sqref="I23:K23">
    <cfRule type="expression" dxfId="789" priority="6" stopIfTrue="1">
      <formula>ISNUMBER(SEARCH(Raza,Nephilim))</formula>
    </cfRule>
  </conditionalFormatting>
  <conditionalFormatting sqref="V12">
    <cfRule type="expression" dxfId="788" priority="2276">
      <formula>$V$12&gt;=$AA$12</formula>
    </cfRule>
  </conditionalFormatting>
  <conditionalFormatting sqref="V14:AB14">
    <cfRule type="expression" dxfId="787"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E11" sqref="E11"/>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7" customWidth="1"/>
    <col min="20" max="20" width="1.7109375" style="2908" customWidth="1"/>
    <col min="21" max="21" width="3.85546875" style="298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5" style="2960" customWidth="1"/>
    <col min="40" max="40" width="7.140625" style="2001" customWidth="1"/>
    <col min="41" max="41" width="6.42578125" style="2001" customWidth="1"/>
    <col min="42" max="42" width="7.140625" style="2001" bestFit="1" customWidth="1"/>
    <col min="43" max="43" width="5.7109375" style="2001"/>
    <col min="44" max="50" width="5.7109375" style="1803"/>
    <col min="51" max="51" width="5.7109375" style="2479"/>
    <col min="52" max="55" width="5.7109375" style="1803"/>
    <col min="56"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9"/>
      <c r="T1" s="2959"/>
      <c r="U1" s="2976"/>
      <c r="V1" s="4"/>
      <c r="W1" s="4"/>
      <c r="X1" s="4"/>
      <c r="Y1" s="4"/>
      <c r="Z1" s="4"/>
      <c r="AA1" s="4"/>
      <c r="AB1" s="4"/>
      <c r="AC1" s="4"/>
      <c r="AD1" s="4"/>
      <c r="AE1" s="4"/>
      <c r="AF1" s="4"/>
      <c r="AG1" s="4"/>
      <c r="AH1" s="4"/>
      <c r="AI1" s="4"/>
      <c r="AJ1" s="4"/>
      <c r="AK1" s="1910"/>
      <c r="AL1" s="1910"/>
    </row>
    <row r="2" spans="1:46" ht="12" customHeight="1" thickBot="1" x14ac:dyDescent="0.25">
      <c r="A2" s="45"/>
      <c r="B2" s="2912"/>
      <c r="C2" s="1971"/>
      <c r="D2" s="1889"/>
      <c r="E2" s="1889"/>
      <c r="F2" s="1889"/>
      <c r="G2" s="1889"/>
      <c r="H2" s="1889"/>
      <c r="I2" s="1889"/>
      <c r="J2" s="1889"/>
      <c r="K2" s="1890"/>
      <c r="L2" s="1889"/>
      <c r="M2" s="1889"/>
      <c r="N2" s="1889"/>
      <c r="O2" s="1889"/>
      <c r="P2" s="1889"/>
      <c r="Q2" s="1889"/>
      <c r="R2" s="1891"/>
      <c r="S2" s="2911" t="s">
        <v>10504</v>
      </c>
      <c r="T2" s="2910">
        <f>Tablas!J1823</f>
        <v>10</v>
      </c>
      <c r="U2" s="2977"/>
      <c r="V2" s="2914"/>
      <c r="W2" s="2914"/>
      <c r="X2" s="2914"/>
      <c r="Y2" s="2914"/>
      <c r="Z2" s="2914"/>
      <c r="AA2" s="2914"/>
      <c r="AB2" s="2914"/>
      <c r="AC2" s="2914"/>
      <c r="AD2" s="2914"/>
      <c r="AE2" s="2914"/>
      <c r="AF2" s="2914"/>
      <c r="AG2" s="2914"/>
      <c r="AH2" s="2914"/>
      <c r="AI2" s="2914"/>
      <c r="AJ2" s="2914"/>
      <c r="AK2" s="1913"/>
      <c r="AL2" s="1910"/>
    </row>
    <row r="3" spans="1:46" ht="12" customHeight="1" thickBot="1" x14ac:dyDescent="0.25">
      <c r="A3" s="45"/>
      <c r="B3" s="1585"/>
      <c r="C3" s="3160"/>
      <c r="D3" s="3160"/>
      <c r="E3" s="3160"/>
      <c r="F3" s="3160"/>
      <c r="G3" s="3160"/>
      <c r="H3" s="3160"/>
      <c r="I3" s="48"/>
      <c r="J3" s="48"/>
      <c r="K3" s="1882"/>
      <c r="L3" s="48"/>
      <c r="M3" s="48"/>
      <c r="N3" s="48"/>
      <c r="O3" s="48"/>
      <c r="P3" s="48"/>
      <c r="Q3" s="49"/>
      <c r="R3" s="1892"/>
      <c r="S3" s="2911" t="s">
        <v>10505</v>
      </c>
      <c r="T3" s="2910">
        <f>Tablas!J1824</f>
        <v>10</v>
      </c>
      <c r="U3" s="2978"/>
      <c r="V3" s="3210"/>
      <c r="W3" s="3210"/>
      <c r="X3" s="3210"/>
      <c r="Y3" s="3210"/>
      <c r="Z3" s="3210"/>
      <c r="AA3" s="3210"/>
      <c r="AB3" s="9"/>
      <c r="AC3" s="9"/>
      <c r="AD3" s="9"/>
      <c r="AE3" s="9"/>
      <c r="AF3" s="9"/>
      <c r="AG3" s="9"/>
      <c r="AH3" s="9"/>
      <c r="AI3" s="9"/>
      <c r="AJ3" s="10"/>
      <c r="AK3" s="2961"/>
      <c r="AL3" s="1910"/>
      <c r="AM3" s="2962"/>
      <c r="AN3" s="2963"/>
      <c r="AO3" s="2963"/>
      <c r="AP3" s="2963"/>
      <c r="AQ3" s="2963"/>
    </row>
    <row r="4" spans="1:46" ht="12" customHeight="1" thickBot="1" x14ac:dyDescent="0.25">
      <c r="A4" s="45"/>
      <c r="B4" s="2569"/>
      <c r="C4" s="3160"/>
      <c r="D4" s="3160"/>
      <c r="E4" s="3160"/>
      <c r="F4" s="3160"/>
      <c r="G4" s="3160"/>
      <c r="H4" s="3160"/>
      <c r="I4" s="52"/>
      <c r="J4" s="3162" t="s">
        <v>1628</v>
      </c>
      <c r="K4" s="3162"/>
      <c r="L4" s="3163" t="str">
        <f>IF(OR(General!$G$22="",General!$G$22=0),"",General!$G$22)</f>
        <v/>
      </c>
      <c r="M4" s="3163"/>
      <c r="N4" s="3163"/>
      <c r="O4" s="3163"/>
      <c r="P4" s="3163"/>
      <c r="Q4" s="13"/>
      <c r="R4" s="2574"/>
      <c r="S4" s="2904"/>
      <c r="T4" s="2905"/>
      <c r="U4" s="2978"/>
      <c r="V4" s="3210"/>
      <c r="W4" s="3210"/>
      <c r="X4" s="3210"/>
      <c r="Y4" s="3210"/>
      <c r="Z4" s="3210"/>
      <c r="AA4" s="3210"/>
      <c r="AB4" s="12"/>
      <c r="AC4" s="3162" t="s">
        <v>1628</v>
      </c>
      <c r="AD4" s="3162"/>
      <c r="AE4" s="3163" t="str">
        <f>IF(OR(General!$G$22="",General!$G$22=0),"",General!$G$22)</f>
        <v/>
      </c>
      <c r="AF4" s="3163"/>
      <c r="AG4" s="3163"/>
      <c r="AH4" s="3163"/>
      <c r="AI4" s="3163"/>
      <c r="AJ4" s="13"/>
      <c r="AK4" s="2961"/>
      <c r="AL4" s="1910"/>
      <c r="AM4" s="2964"/>
      <c r="AN4" s="2963"/>
      <c r="AO4" s="2963"/>
      <c r="AP4" s="2963"/>
      <c r="AQ4" s="2963"/>
    </row>
    <row r="5" spans="1:46" ht="12" customHeight="1" thickBot="1" x14ac:dyDescent="0.25">
      <c r="A5" s="45"/>
      <c r="B5" s="2569"/>
      <c r="C5" s="3160"/>
      <c r="D5" s="3160"/>
      <c r="E5" s="3160"/>
      <c r="F5" s="3160"/>
      <c r="G5" s="3160"/>
      <c r="H5" s="3160"/>
      <c r="I5" s="52"/>
      <c r="J5" s="3207" t="s">
        <v>1629</v>
      </c>
      <c r="K5" s="3207"/>
      <c r="L5" s="3208" t="str">
        <f>IF(PDs!U13=0,IF(PDs!U11=0,IF(PDs!U9=0,IF(PDs!U7=0,IF(PDs!U5=0,"",PDs!U5),PDs!U7),PDs!U9),PDs!U11),PDs!U13)</f>
        <v>Hechicero</v>
      </c>
      <c r="M5" s="3208"/>
      <c r="N5" s="3208"/>
      <c r="O5" s="54" t="s">
        <v>1630</v>
      </c>
      <c r="P5" s="15" t="str">
        <f>PDs!X15&amp;IF(Principal!AA27=0,""," + "&amp;Principal!AA27)</f>
        <v>1</v>
      </c>
      <c r="Q5" s="55"/>
      <c r="R5" s="1892"/>
      <c r="S5" s="2904"/>
      <c r="T5" s="2905"/>
      <c r="U5" s="2978"/>
      <c r="V5" s="3210"/>
      <c r="W5" s="3210"/>
      <c r="X5" s="3210"/>
      <c r="Y5" s="3210"/>
      <c r="Z5" s="3210"/>
      <c r="AA5" s="3210"/>
      <c r="AB5" s="12"/>
      <c r="AC5" s="3207" t="s">
        <v>1629</v>
      </c>
      <c r="AD5" s="3207"/>
      <c r="AE5" s="3208" t="str">
        <f>$L$5</f>
        <v>Hechicero</v>
      </c>
      <c r="AF5" s="3208"/>
      <c r="AG5" s="3208"/>
      <c r="AH5" s="14" t="s">
        <v>1630</v>
      </c>
      <c r="AI5" s="15" t="str">
        <f>$P$5</f>
        <v>1</v>
      </c>
      <c r="AJ5" s="16"/>
      <c r="AK5" s="2961"/>
      <c r="AL5" s="1910"/>
      <c r="AM5" s="2964"/>
      <c r="AN5" s="2963"/>
      <c r="AO5" s="2963"/>
      <c r="AP5" s="2963"/>
      <c r="AQ5" s="2963"/>
    </row>
    <row r="6" spans="1:46" ht="12" customHeight="1" thickBot="1" x14ac:dyDescent="0.25">
      <c r="A6" s="45"/>
      <c r="B6" s="2569"/>
      <c r="C6" s="3160"/>
      <c r="D6" s="3160"/>
      <c r="E6" s="3160"/>
      <c r="F6" s="3160"/>
      <c r="G6" s="3160"/>
      <c r="H6" s="3160"/>
      <c r="I6" s="52"/>
      <c r="J6" s="3207" t="s">
        <v>1673</v>
      </c>
      <c r="K6" s="3207"/>
      <c r="L6" s="2737">
        <f>MIN(IF(Raza="Criatura",99,IF(Raza="Jayán",24,22)),AS21)</f>
        <v>1</v>
      </c>
      <c r="M6" s="3208" t="str">
        <f>IF(Raza="Criatura",VLOOKUP($L$6,Tablas!F90:G97,2),IF(AND(Raza="Jayán",Tamaño&gt;22),"Grande","Medio"))</f>
        <v>Medio</v>
      </c>
      <c r="N6" s="3208"/>
      <c r="O6" s="56"/>
      <c r="P6" s="56"/>
      <c r="Q6" s="55"/>
      <c r="R6" s="1892"/>
      <c r="S6" s="2904"/>
      <c r="T6" s="2905"/>
      <c r="U6" s="2978"/>
      <c r="V6" s="3210"/>
      <c r="W6" s="3210"/>
      <c r="X6" s="3210"/>
      <c r="Y6" s="3210"/>
      <c r="Z6" s="3210"/>
      <c r="AA6" s="3210"/>
      <c r="AB6" s="12"/>
      <c r="AC6" s="3209" t="s">
        <v>1674</v>
      </c>
      <c r="AD6" s="3209"/>
      <c r="AE6" s="3209"/>
      <c r="AF6" s="3209"/>
      <c r="AG6" s="3209"/>
      <c r="AH6" s="3209"/>
      <c r="AI6" s="3209"/>
      <c r="AJ6" s="16"/>
      <c r="AK6" s="2961"/>
      <c r="AL6" s="1910"/>
      <c r="AM6" s="2962"/>
      <c r="AN6" s="2963"/>
      <c r="AO6" s="2963"/>
      <c r="AP6" s="2965"/>
      <c r="AQ6" s="2965"/>
    </row>
    <row r="7" spans="1:46" ht="12" customHeight="1" thickBot="1" x14ac:dyDescent="0.25">
      <c r="A7" s="45"/>
      <c r="B7" s="2569"/>
      <c r="C7" s="3160"/>
      <c r="D7" s="3160"/>
      <c r="E7" s="3160"/>
      <c r="F7" s="3160"/>
      <c r="G7" s="3160"/>
      <c r="H7" s="3160"/>
      <c r="I7" s="52"/>
      <c r="J7" s="2744" t="s">
        <v>1675</v>
      </c>
      <c r="K7" s="3208" t="str">
        <f>TipoDeCriatura&amp;IF(AND(TipoDeCriatura="Natural",NOT(Raza=0)),", "&amp;Raza&amp;" ","")&amp;IF(Nephilim="",""," ("&amp;Nephilim&amp;")")&amp;" "&amp;Principal!AB13</f>
        <v>Natural 10</v>
      </c>
      <c r="L7" s="3208"/>
      <c r="M7" s="3208"/>
      <c r="N7" s="3208"/>
      <c r="O7" s="3208"/>
      <c r="P7" s="3208"/>
      <c r="Q7" s="55"/>
      <c r="R7" s="1892"/>
      <c r="S7" s="2904"/>
      <c r="T7" s="2905"/>
      <c r="U7" s="2978"/>
      <c r="V7" s="3210"/>
      <c r="W7" s="3210"/>
      <c r="X7" s="3210"/>
      <c r="Y7" s="3210"/>
      <c r="Z7" s="3210"/>
      <c r="AA7" s="3210"/>
      <c r="AB7" s="12"/>
      <c r="AC7" s="3209"/>
      <c r="AD7" s="3209"/>
      <c r="AE7" s="3209"/>
      <c r="AF7" s="3209"/>
      <c r="AG7" s="3209"/>
      <c r="AH7" s="3209"/>
      <c r="AI7" s="3209"/>
      <c r="AJ7" s="16"/>
      <c r="AK7" s="2961"/>
      <c r="AL7" s="1910"/>
      <c r="AM7" s="2962"/>
      <c r="AN7" s="2963"/>
      <c r="AO7" s="2963"/>
      <c r="AP7" s="2963"/>
      <c r="AQ7" s="2963"/>
    </row>
    <row r="8" spans="1:46" ht="12" customHeight="1" thickBot="1" x14ac:dyDescent="0.25">
      <c r="A8" s="45"/>
      <c r="B8" s="2569"/>
      <c r="C8" s="3160"/>
      <c r="D8" s="3160"/>
      <c r="E8" s="3160"/>
      <c r="F8" s="3160"/>
      <c r="G8" s="3160"/>
      <c r="H8" s="3160"/>
      <c r="I8" s="59"/>
      <c r="J8" s="59"/>
      <c r="K8" s="1883"/>
      <c r="L8" s="59"/>
      <c r="M8" s="59"/>
      <c r="N8" s="59"/>
      <c r="O8" s="59"/>
      <c r="P8" s="59"/>
      <c r="Q8" s="60"/>
      <c r="R8" s="1892"/>
      <c r="S8" s="2904"/>
      <c r="T8" s="2905"/>
      <c r="U8" s="2978"/>
      <c r="V8" s="3210"/>
      <c r="W8" s="3210"/>
      <c r="X8" s="3210"/>
      <c r="Y8" s="3210"/>
      <c r="Z8" s="3210"/>
      <c r="AA8" s="3210"/>
      <c r="AB8" s="17"/>
      <c r="AC8" s="61"/>
      <c r="AD8" s="61"/>
      <c r="AE8" s="61"/>
      <c r="AF8" s="61"/>
      <c r="AG8" s="61"/>
      <c r="AH8" s="61"/>
      <c r="AI8" s="61"/>
      <c r="AJ8" s="62"/>
      <c r="AK8" s="2961"/>
      <c r="AL8" s="1910"/>
      <c r="AO8" s="2964"/>
      <c r="AQ8" s="2966" t="s">
        <v>9322</v>
      </c>
      <c r="AR8" s="2001"/>
      <c r="AS8" s="2001"/>
    </row>
    <row r="9" spans="1:46" ht="12" customHeight="1" thickBot="1" x14ac:dyDescent="0.25">
      <c r="A9" s="45"/>
      <c r="B9" s="2570"/>
      <c r="C9" s="63"/>
      <c r="D9" s="63"/>
      <c r="E9" s="63"/>
      <c r="F9" s="63"/>
      <c r="G9" s="63"/>
      <c r="H9" s="63"/>
      <c r="I9" s="2493"/>
      <c r="J9" s="63"/>
      <c r="K9" s="1884"/>
      <c r="L9" s="63"/>
      <c r="M9" s="2493"/>
      <c r="N9" s="63"/>
      <c r="O9" s="63"/>
      <c r="P9" s="63"/>
      <c r="Q9" s="63"/>
      <c r="R9" s="1892"/>
      <c r="S9" s="2904"/>
      <c r="T9" s="2905"/>
      <c r="U9" s="2978"/>
      <c r="V9" s="7"/>
      <c r="W9" s="7"/>
      <c r="X9" s="7"/>
      <c r="Y9" s="64"/>
      <c r="Z9" s="64"/>
      <c r="AA9" s="64"/>
      <c r="AB9" s="64"/>
      <c r="AC9" s="64"/>
      <c r="AD9" s="64"/>
      <c r="AE9" s="64"/>
      <c r="AF9" s="64"/>
      <c r="AG9" s="64"/>
      <c r="AH9" s="7"/>
      <c r="AI9" s="7"/>
      <c r="AJ9" s="7"/>
      <c r="AK9" s="2961"/>
      <c r="AL9" s="1910"/>
      <c r="AO9" s="2967"/>
      <c r="AP9" s="2963" t="s">
        <v>9319</v>
      </c>
      <c r="AQ9" s="2968" t="s">
        <v>9316</v>
      </c>
      <c r="AR9" s="2001" t="s">
        <v>9324</v>
      </c>
      <c r="AS9" s="2001" t="s">
        <v>9325</v>
      </c>
    </row>
    <row r="10" spans="1:46" ht="12" customHeight="1" thickBot="1" x14ac:dyDescent="0.25">
      <c r="A10" s="45"/>
      <c r="B10" s="2571"/>
      <c r="C10" s="3360" t="s">
        <v>1676</v>
      </c>
      <c r="D10" s="2332" t="str">
        <f>SUM(E11:E18)+COUNTIF(E11:E18,10)&amp;" pts"</f>
        <v>0 pts</v>
      </c>
      <c r="E10" s="2748" t="s">
        <v>1677</v>
      </c>
      <c r="F10" s="2733" t="s">
        <v>1678</v>
      </c>
      <c r="G10" s="67" t="s">
        <v>1661</v>
      </c>
      <c r="H10" s="25" t="s">
        <v>1679</v>
      </c>
      <c r="I10" s="100"/>
      <c r="J10" s="3169" t="s">
        <v>1680</v>
      </c>
      <c r="K10" s="3169"/>
      <c r="L10" s="3169"/>
      <c r="M10" s="100"/>
      <c r="N10" s="3169" t="s">
        <v>1681</v>
      </c>
      <c r="O10" s="3169"/>
      <c r="P10" s="3169"/>
      <c r="Q10" s="3169"/>
      <c r="R10" s="2575"/>
      <c r="S10" s="2904"/>
      <c r="T10" s="2905"/>
      <c r="U10" s="2979"/>
      <c r="V10" s="3462" t="s">
        <v>1682</v>
      </c>
      <c r="W10" s="3463"/>
      <c r="X10" s="3463"/>
      <c r="Y10" s="3463"/>
      <c r="Z10" s="3463"/>
      <c r="AA10" s="3463"/>
      <c r="AB10" s="3465"/>
      <c r="AC10" s="68"/>
      <c r="AD10" s="3462" t="s">
        <v>1683</v>
      </c>
      <c r="AE10" s="3463"/>
      <c r="AF10" s="3463"/>
      <c r="AG10" s="3463"/>
      <c r="AH10" s="3464" t="s">
        <v>1684</v>
      </c>
      <c r="AI10" s="3464"/>
      <c r="AJ10" s="2739">
        <f>SUM(AJ12:AJ23)+IF(OR(TipoDeCriatura="Ánima",TipoDeCriatura="Ánima, Elemental",TipoDeCriatura="No muerto, Espectro"),100,0)+AJ27</f>
        <v>15</v>
      </c>
      <c r="AK10" s="2105"/>
      <c r="AL10" s="1910"/>
      <c r="AO10" s="2963"/>
      <c r="AP10" s="2968" t="s">
        <v>9318</v>
      </c>
      <c r="AQ10" s="2966" t="s">
        <v>9321</v>
      </c>
      <c r="AR10" s="2966" t="s">
        <v>9323</v>
      </c>
      <c r="AS10" s="2966" t="s">
        <v>9317</v>
      </c>
      <c r="AT10" s="2963" t="s">
        <v>9336</v>
      </c>
    </row>
    <row r="11" spans="1:46" ht="12" customHeight="1" thickBot="1" x14ac:dyDescent="0.25">
      <c r="A11" s="45"/>
      <c r="B11" s="2571"/>
      <c r="C11" s="3360"/>
      <c r="D11" s="70" t="s">
        <v>1685</v>
      </c>
      <c r="E11" s="2750"/>
      <c r="F11" s="72"/>
      <c r="G11" s="73">
        <f>MIN(20,MAX(0,AS11+F11))</f>
        <v>0</v>
      </c>
      <c r="H11" s="2760">
        <f>IF(G11&lt;1,0,VLOOKUP(G11,Tablas!$C$14:$D$33,2))</f>
        <v>0</v>
      </c>
      <c r="I11" s="68"/>
      <c r="J11" s="3467">
        <f>AS19</f>
        <v>0</v>
      </c>
      <c r="K11" s="3447" t="str">
        <f>VLOOKUP(J11,Tablas!D38:F65,2)</f>
        <v>Ninguna</v>
      </c>
      <c r="L11" s="3447"/>
      <c r="M11" s="100"/>
      <c r="N11" s="3448">
        <f>PDs!Z185</f>
        <v>25</v>
      </c>
      <c r="O11" s="3448"/>
      <c r="P11" s="3422"/>
      <c r="Q11" s="3422"/>
      <c r="R11" s="2575"/>
      <c r="S11" s="2904"/>
      <c r="T11" s="2905"/>
      <c r="U11" s="2979"/>
      <c r="V11" s="3456" t="s">
        <v>1686</v>
      </c>
      <c r="W11" s="3457"/>
      <c r="X11" s="3458"/>
      <c r="Y11" s="3439" t="s">
        <v>2412</v>
      </c>
      <c r="Z11" s="3439"/>
      <c r="AA11" s="3439"/>
      <c r="AB11" s="3440"/>
      <c r="AC11" s="68"/>
      <c r="AD11" s="3214" t="s">
        <v>1754</v>
      </c>
      <c r="AE11" s="3215"/>
      <c r="AF11" s="3215"/>
      <c r="AG11" s="3215" t="s">
        <v>1679</v>
      </c>
      <c r="AH11" s="3256"/>
      <c r="AI11" s="2833" t="s">
        <v>1688</v>
      </c>
      <c r="AJ11" s="2863" t="s">
        <v>1689</v>
      </c>
      <c r="AK11" s="2105"/>
      <c r="AL11" s="1910"/>
      <c r="AM11" s="2960" t="s">
        <v>10501</v>
      </c>
      <c r="AO11" s="2963" t="s">
        <v>1685</v>
      </c>
      <c r="AP11" s="2969">
        <f t="shared" ref="AP11:AP18" si="0">E11+HLOOKUP(D11,Bonos_Raza_Base,2,FALSE)</f>
        <v>0</v>
      </c>
      <c r="AQ11" s="2969">
        <f>AP11+Tablas!G242-2*Tablas!G492+Tablas!J1829</f>
        <v>0</v>
      </c>
      <c r="AR11" s="2969">
        <f>Bono_IncremTotal+IF(ISNUMBER(FIND(D11,PodPsi_IncremHab)),'Tablas psiquica'!$AH$70,FALSE)</f>
        <v>0</v>
      </c>
      <c r="AS11" s="2969">
        <f t="shared" ref="AS11:AS18" si="1">IF(AQ11&lt;10,MIN(10,AR11+AQ11)+TRUNC(MAX(0,(AR11+AQ11-10)/2,0)),AQ11+TRUNC(AR11/2,0))</f>
        <v>0</v>
      </c>
      <c r="AT11" s="296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1"/>
      <c r="C12" s="3360"/>
      <c r="D12" s="70" t="str">
        <f>IF(OR($Y$11="Ánima",$Y$11="Ánima, Elemental",$Y$11="No muerto, Espectro"),"-","CON")</f>
        <v>CON</v>
      </c>
      <c r="E12" s="2750"/>
      <c r="F12" s="76"/>
      <c r="G12" s="73">
        <f>MIN(20,MAX(0,IF(OR(TipoDeCriatura="Ánima",TipoDeCriatura="Ánima, Elemental",TipoDeCriatura="No muerto, Espectro"),POD,AS12+F12)))</f>
        <v>0</v>
      </c>
      <c r="H12" s="2760">
        <f>IF(G12&lt;1,0,VLOOKUP(G12,Tablas!$C$14:$D$33,2))</f>
        <v>0</v>
      </c>
      <c r="I12" s="583"/>
      <c r="J12" s="3467"/>
      <c r="K12" s="3446" t="str">
        <f>IF(Tablas!S2022="",VLOOKUP(J11,Tablas!D38:G65,4),Tablas!S2022&amp;" PV al día")</f>
        <v>0 PV al día</v>
      </c>
      <c r="L12" s="3446"/>
      <c r="M12" s="100"/>
      <c r="N12" s="3448"/>
      <c r="O12" s="3448"/>
      <c r="P12" s="3422"/>
      <c r="Q12" s="3422"/>
      <c r="R12" s="2575"/>
      <c r="S12" s="2904"/>
      <c r="T12" s="2905"/>
      <c r="U12" s="2979"/>
      <c r="V12" s="3459"/>
      <c r="W12" s="3460"/>
      <c r="X12" s="3461"/>
      <c r="Y12" s="3441"/>
      <c r="Z12" s="3441"/>
      <c r="AA12" s="3441"/>
      <c r="AB12" s="3442"/>
      <c r="AC12" s="68"/>
      <c r="AD12" s="3257" t="s">
        <v>1556</v>
      </c>
      <c r="AE12" s="3258"/>
      <c r="AF12" s="3258"/>
      <c r="AG12" s="3255"/>
      <c r="AH12" s="3255"/>
      <c r="AI12" s="2704">
        <f t="shared" ref="AI12:AI23" si="2">IF(AD12="","",VLOOKUP(AD12&amp;IF(AG12="",""," "&amp;AG12),Tabla_HabEsenciales,2,FALSE))</f>
        <v>5</v>
      </c>
      <c r="AJ12" s="1671">
        <f t="shared" ref="AJ12:AJ23" si="3">IF(AD12="","",VLOOKUP(AD12&amp;IF(AG12="",""," "&amp;AG12),Tabla_HabEsenciales,3,FALSE))</f>
        <v>15</v>
      </c>
      <c r="AK12" s="2961" t="str">
        <f t="shared" ref="AK12:AK23" si="4">SUBSTITUTE(IF(AD12="","",VLOOKUP(AD12,Tabla_Listas_PodHabMonstruo,3,FALSE)),".","")</f>
        <v/>
      </c>
      <c r="AL12" s="1910"/>
      <c r="AM12" s="2960" t="str">
        <f>AD12&amp;IF(AG12="",""," "&amp;AG12)</f>
        <v>Acceso a 1 disciplina psíquica</v>
      </c>
      <c r="AO12" s="2963" t="str">
        <f>IF(OR($Y$11="Ánima",$Y$11="Ánima, Elemental",$Y$11="No muerto, Espectro"),"-","CON")</f>
        <v>CON</v>
      </c>
      <c r="AP12" s="2969">
        <f t="shared" si="0"/>
        <v>0</v>
      </c>
      <c r="AQ12" s="2969">
        <f>AP12+Tablas!G243-2*Tablas!G493+Tablas!J1830</f>
        <v>0</v>
      </c>
      <c r="AR12" s="2969">
        <f>Bono_IncremTotal</f>
        <v>0</v>
      </c>
      <c r="AS12" s="2969">
        <f t="shared" si="1"/>
        <v>0</v>
      </c>
      <c r="AT12" s="2969"/>
    </row>
    <row r="13" spans="1:46" ht="12" customHeight="1" thickBot="1" x14ac:dyDescent="0.25">
      <c r="A13" s="45"/>
      <c r="B13" s="2571"/>
      <c r="C13" s="3360"/>
      <c r="D13" s="70" t="s">
        <v>1690</v>
      </c>
      <c r="E13" s="2750"/>
      <c r="F13" s="76"/>
      <c r="G13" s="73">
        <f t="shared" ref="G13:G18" si="5">MIN(20,MAX(0,AS13+F13))</f>
        <v>0</v>
      </c>
      <c r="H13" s="2760">
        <f>IF(G13&lt;1,0,VLOOKUP(G13,Tablas!$C$14:$D$33,2))</f>
        <v>0</v>
      </c>
      <c r="I13" s="583"/>
      <c r="J13" s="3197" t="s">
        <v>1691</v>
      </c>
      <c r="K13" s="3197"/>
      <c r="L13" s="78"/>
      <c r="M13" s="100"/>
      <c r="N13" s="3448"/>
      <c r="O13" s="3448"/>
      <c r="P13" s="3422"/>
      <c r="Q13" s="3422"/>
      <c r="R13" s="2575"/>
      <c r="S13" s="2904"/>
      <c r="T13" s="2905"/>
      <c r="U13" s="2979"/>
      <c r="V13" s="3449" t="s">
        <v>1692</v>
      </c>
      <c r="W13" s="3450"/>
      <c r="X13" s="3450"/>
      <c r="Y13" s="1364" t="s">
        <v>1693</v>
      </c>
      <c r="Z13" s="56"/>
      <c r="AA13" s="79" t="s">
        <v>1694</v>
      </c>
      <c r="AB13" s="2315">
        <v>10</v>
      </c>
      <c r="AC13" s="68"/>
      <c r="AD13" s="3253"/>
      <c r="AE13" s="3254"/>
      <c r="AF13" s="3254"/>
      <c r="AG13" s="3255"/>
      <c r="AH13" s="3255"/>
      <c r="AI13" s="2861" t="str">
        <f t="shared" si="2"/>
        <v/>
      </c>
      <c r="AJ13" s="1671" t="str">
        <f t="shared" si="3"/>
        <v/>
      </c>
      <c r="AK13" s="2961" t="str">
        <f t="shared" si="4"/>
        <v/>
      </c>
      <c r="AL13" s="1910"/>
      <c r="AM13" s="2960" t="str">
        <f t="shared" ref="AM13:AM23" si="6">AD13&amp;IF(AG13="",""," "&amp;AG13)</f>
        <v/>
      </c>
      <c r="AO13" s="2963" t="s">
        <v>1690</v>
      </c>
      <c r="AP13" s="2969">
        <f t="shared" si="0"/>
        <v>0</v>
      </c>
      <c r="AQ13" s="2969">
        <f>AP13+Tablas!G244-2*Tablas!G494+Tablas!J1831+Tablas!K2361+Tablas!$K$2441</f>
        <v>0</v>
      </c>
      <c r="AR13" s="2969">
        <f>Bono_IncremTotal+IF(ISNUMBER(FIND(D11,PodPsi_IncremHab)),'Tablas psiquica'!$AH$70,FALSE)</f>
        <v>0</v>
      </c>
      <c r="AS13" s="2969">
        <f t="shared" si="1"/>
        <v>0</v>
      </c>
      <c r="AT13" s="2969"/>
    </row>
    <row r="14" spans="1:46" ht="12" customHeight="1" thickBot="1" x14ac:dyDescent="0.25">
      <c r="A14" s="45"/>
      <c r="B14" s="2571"/>
      <c r="C14" s="3360"/>
      <c r="D14" s="70" t="s">
        <v>1695</v>
      </c>
      <c r="E14" s="2750"/>
      <c r="F14" s="76"/>
      <c r="G14" s="73">
        <f t="shared" si="5"/>
        <v>0</v>
      </c>
      <c r="H14" s="2760">
        <f>IF(G14&lt;1,0,VLOOKUP(G14,Tablas!$C$14:$D$33,2))</f>
        <v>0</v>
      </c>
      <c r="I14" s="583"/>
      <c r="J14" s="583"/>
      <c r="K14" s="1885"/>
      <c r="L14" s="68"/>
      <c r="M14" s="100"/>
      <c r="N14" s="80"/>
      <c r="O14" s="68"/>
      <c r="P14" s="68"/>
      <c r="Q14" s="2741"/>
      <c r="R14" s="2576"/>
      <c r="S14" s="2904"/>
      <c r="T14" s="2905"/>
      <c r="U14" s="2979"/>
      <c r="V14" s="3451" t="s">
        <v>1696</v>
      </c>
      <c r="W14" s="3452"/>
      <c r="X14" s="3452"/>
      <c r="Y14" s="1365" t="s">
        <v>1693</v>
      </c>
      <c r="Z14" s="83"/>
      <c r="AA14" s="84" t="s">
        <v>1697</v>
      </c>
      <c r="AB14" s="2736">
        <f>IF(TipoDeCriatura="Natural",MAX(Principal!AB13-IF(Raza=0,0,VLOOKUP(Raza,Tablas!$J$109:$AB$129,19,FALSE)),0),"-")</f>
        <v>10</v>
      </c>
      <c r="AC14" s="68"/>
      <c r="AD14" s="3253"/>
      <c r="AE14" s="3254"/>
      <c r="AF14" s="3254"/>
      <c r="AG14" s="3255"/>
      <c r="AH14" s="3255"/>
      <c r="AI14" s="2861" t="str">
        <f t="shared" si="2"/>
        <v/>
      </c>
      <c r="AJ14" s="1671" t="str">
        <f t="shared" si="3"/>
        <v/>
      </c>
      <c r="AK14" s="2961" t="str">
        <f t="shared" si="4"/>
        <v/>
      </c>
      <c r="AL14" s="1910"/>
      <c r="AM14" s="2960" t="str">
        <f t="shared" si="6"/>
        <v/>
      </c>
      <c r="AO14" s="2963" t="s">
        <v>1695</v>
      </c>
      <c r="AP14" s="2969">
        <f t="shared" si="0"/>
        <v>0</v>
      </c>
      <c r="AQ14" s="2969">
        <f>AP14+Tablas!G245-2*Tablas!G495+Tablas!J1832+Tablas!$K$2441</f>
        <v>0</v>
      </c>
      <c r="AR14" s="2969">
        <f>Bono_IncremTotal+'Tablas psiquica'!$AH$67</f>
        <v>0</v>
      </c>
      <c r="AS14" s="2969">
        <f t="shared" si="1"/>
        <v>0</v>
      </c>
      <c r="AT14" s="2969"/>
    </row>
    <row r="15" spans="1:46" ht="12" customHeight="1" thickBot="1" x14ac:dyDescent="0.25">
      <c r="A15" s="45"/>
      <c r="B15" s="2571"/>
      <c r="C15" s="3360"/>
      <c r="D15" s="70" t="s">
        <v>1698</v>
      </c>
      <c r="E15" s="2750"/>
      <c r="F15" s="76"/>
      <c r="G15" s="73">
        <f t="shared" si="5"/>
        <v>0</v>
      </c>
      <c r="H15" s="2760">
        <f>IF(G15&lt;1,0,VLOOKUP(G15,Tablas!$C$14:$D$33,2))</f>
        <v>0</v>
      </c>
      <c r="I15" s="2573"/>
      <c r="J15" s="3453" t="s">
        <v>1699</v>
      </c>
      <c r="K15" s="3454"/>
      <c r="L15" s="3455"/>
      <c r="M15" s="100"/>
      <c r="N15" s="3169" t="s">
        <v>1700</v>
      </c>
      <c r="O15" s="3169"/>
      <c r="P15" s="3169"/>
      <c r="Q15" s="3169"/>
      <c r="R15" s="2575"/>
      <c r="S15" s="2904"/>
      <c r="T15" s="2905"/>
      <c r="U15" s="2979"/>
      <c r="V15" s="3443" t="str">
        <f>IF(TipoDeCriatura="Natural",IF(AB14=0,"Sin tirada abierta",IF(AB14&gt;14,"Tirada abierta adicional","")),"")&amp;IF(TipoDeCriatura="Natural",IF(AB14&gt;19,", Núcleo trascendental",""),"")</f>
        <v/>
      </c>
      <c r="W15" s="3444"/>
      <c r="X15" s="3444"/>
      <c r="Y15" s="3444"/>
      <c r="Z15" s="3444"/>
      <c r="AA15" s="3444"/>
      <c r="AB15" s="3445"/>
      <c r="AC15" s="19"/>
      <c r="AD15" s="3253"/>
      <c r="AE15" s="3254"/>
      <c r="AF15" s="3254"/>
      <c r="AG15" s="3255"/>
      <c r="AH15" s="3255"/>
      <c r="AI15" s="2861" t="str">
        <f t="shared" si="2"/>
        <v/>
      </c>
      <c r="AJ15" s="1671" t="str">
        <f t="shared" si="3"/>
        <v/>
      </c>
      <c r="AK15" s="2961" t="str">
        <f t="shared" si="4"/>
        <v/>
      </c>
      <c r="AL15" s="1910"/>
      <c r="AM15" s="2960" t="str">
        <f t="shared" si="6"/>
        <v/>
      </c>
      <c r="AO15" s="2963" t="s">
        <v>1698</v>
      </c>
      <c r="AP15" s="2969">
        <f t="shared" si="0"/>
        <v>0</v>
      </c>
      <c r="AQ15" s="2969">
        <f>AP15+Tablas!G246-2*Tablas!G496+Tablas!J1833+Tablas!$K$2374+Personalización!$N$41</f>
        <v>0</v>
      </c>
      <c r="AR15" s="2969"/>
      <c r="AS15" s="2969">
        <f t="shared" si="1"/>
        <v>0</v>
      </c>
      <c r="AT15" s="2969"/>
    </row>
    <row r="16" spans="1:46" ht="12" customHeight="1" thickBot="1" x14ac:dyDescent="0.25">
      <c r="A16" s="45"/>
      <c r="B16" s="2571"/>
      <c r="C16" s="3360"/>
      <c r="D16" s="70" t="s">
        <v>1701</v>
      </c>
      <c r="E16" s="2750"/>
      <c r="F16" s="76"/>
      <c r="G16" s="73">
        <f t="shared" si="5"/>
        <v>0</v>
      </c>
      <c r="H16" s="2760">
        <f>IF(G16&lt;1,0,VLOOKUP(G16,Tablas!$C$14:$D$33,2))</f>
        <v>0</v>
      </c>
      <c r="I16" s="210"/>
      <c r="J16" s="3487">
        <f>MIN(20,IF(OR(MovimientodeVacío,Zen),AS20,IF(Inhumanidad,MIN(13,AS20),MIN(10,AS20))))</f>
        <v>0</v>
      </c>
      <c r="K16" s="1919" t="s">
        <v>1702</v>
      </c>
      <c r="L16" s="2494">
        <f>MAX(Combate!E16-TRUNC(IF((H25-Combate!H16)/50&lt;0,0,(H25-Combate!H16)/50),0),0)+IF(AND(General!AJ32&gt;IF(G14=0,0,VLOOKUP(G14,Tabla_Fuerza,3)),General!AJ32&lt;IF(G14=0,0,VLOOKUP(G14,Tabla_Fuerza,4))),2,0)+IF(General!AJ32&gt;IF(G14=0,0,VLOOKUP(G14,Tabla_Fuerza,4)),5,0)</f>
        <v>0</v>
      </c>
      <c r="M16" s="100"/>
      <c r="N16" s="3488">
        <f>IF(OR(Tablas!H1884&gt;0,Tablas!H1891&gt;0,Y11="Ánima",Y11="Ánima, Elemental",Y11="No muerto, Espectro",Tablas!J2462=1),0,G12+O18+IF(Raza=0,0,VLOOKUP(Raza,Tablas!$J$109:$AA$129,18,FALSE))+3*Tablas!G332+6*Tablas!G333+9*Tablas!G334-Tablas!G526+2*Tablas!H1817)</f>
        <v>0</v>
      </c>
      <c r="O16" s="3488"/>
      <c r="P16" s="3422"/>
      <c r="Q16" s="3422"/>
      <c r="R16" s="2575"/>
      <c r="S16" s="2904"/>
      <c r="T16" s="2905"/>
      <c r="U16" s="2979"/>
      <c r="V16" s="343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4"/>
      <c r="X16" s="3434"/>
      <c r="Y16" s="3434"/>
      <c r="Z16" s="3434"/>
      <c r="AA16" s="3434"/>
      <c r="AB16" s="3435"/>
      <c r="AC16" s="68"/>
      <c r="AD16" s="3253"/>
      <c r="AE16" s="3254"/>
      <c r="AF16" s="3254"/>
      <c r="AG16" s="3255"/>
      <c r="AH16" s="3255"/>
      <c r="AI16" s="2861" t="str">
        <f t="shared" si="2"/>
        <v/>
      </c>
      <c r="AJ16" s="1671" t="str">
        <f t="shared" si="3"/>
        <v/>
      </c>
      <c r="AK16" s="2961" t="str">
        <f t="shared" si="4"/>
        <v/>
      </c>
      <c r="AL16" s="1910"/>
      <c r="AM16" s="2960" t="str">
        <f t="shared" si="6"/>
        <v/>
      </c>
      <c r="AO16" s="2963" t="s">
        <v>1701</v>
      </c>
      <c r="AP16" s="2969">
        <f t="shared" si="0"/>
        <v>0</v>
      </c>
      <c r="AQ16" s="2969">
        <f>AP16+Tablas!G247-2*Tablas!G497+Tablas!J1834</f>
        <v>0</v>
      </c>
      <c r="AR16" s="2969">
        <f>'Tablas psiquica'!$AH$72</f>
        <v>0</v>
      </c>
      <c r="AS16" s="2969">
        <f t="shared" si="1"/>
        <v>0</v>
      </c>
      <c r="AT16" s="2969"/>
    </row>
    <row r="17" spans="1:46" ht="12" customHeight="1" thickBot="1" x14ac:dyDescent="0.25">
      <c r="A17" s="45"/>
      <c r="B17" s="2405"/>
      <c r="C17" s="3360"/>
      <c r="D17" s="70" t="s">
        <v>1703</v>
      </c>
      <c r="E17" s="2750"/>
      <c r="F17" s="76"/>
      <c r="G17" s="73">
        <f t="shared" si="5"/>
        <v>0</v>
      </c>
      <c r="H17" s="2760">
        <f>IF(G17&lt;1,0,VLOOKUP(G17,Tablas!$C$14:$D$33,2))</f>
        <v>0</v>
      </c>
      <c r="I17" s="210"/>
      <c r="J17" s="3487"/>
      <c r="K17" s="3404" t="str">
        <f>IF(J16&lt;1,"",VLOOKUP(J16,TablaTipoMovimiento,2))</f>
        <v/>
      </c>
      <c r="L17" s="3405"/>
      <c r="M17" s="109"/>
      <c r="N17" s="3488"/>
      <c r="O17" s="3488"/>
      <c r="P17" s="3422"/>
      <c r="Q17" s="3422"/>
      <c r="R17" s="2575"/>
      <c r="S17" s="2904"/>
      <c r="T17" s="2905"/>
      <c r="U17" s="2979"/>
      <c r="V17" s="3433"/>
      <c r="W17" s="3434"/>
      <c r="X17" s="3434"/>
      <c r="Y17" s="3434"/>
      <c r="Z17" s="3434"/>
      <c r="AA17" s="3434"/>
      <c r="AB17" s="3435"/>
      <c r="AC17" s="68"/>
      <c r="AD17" s="3253"/>
      <c r="AE17" s="3254"/>
      <c r="AF17" s="3254"/>
      <c r="AG17" s="3255"/>
      <c r="AH17" s="3255"/>
      <c r="AI17" s="2861" t="str">
        <f t="shared" si="2"/>
        <v/>
      </c>
      <c r="AJ17" s="1671" t="str">
        <f t="shared" si="3"/>
        <v/>
      </c>
      <c r="AK17" s="2961" t="str">
        <f t="shared" si="4"/>
        <v/>
      </c>
      <c r="AL17" s="1910"/>
      <c r="AM17" s="2960" t="str">
        <f t="shared" si="6"/>
        <v/>
      </c>
      <c r="AO17" s="2963" t="s">
        <v>1703</v>
      </c>
      <c r="AP17" s="2969">
        <f t="shared" si="0"/>
        <v>0</v>
      </c>
      <c r="AQ17" s="2969">
        <f>AP17+IF(Sheele!F5="No","0",-1)+Tablas!$G$248-2*Tablas!$G$498+Tablas!$J$1835+Tablas!$K$2361+Tablas!$K$2374+Personalización!$O$41</f>
        <v>0</v>
      </c>
      <c r="AR17" s="2969"/>
      <c r="AS17" s="2969">
        <f t="shared" si="1"/>
        <v>0</v>
      </c>
      <c r="AT17" s="2969"/>
    </row>
    <row r="18" spans="1:46" ht="12" customHeight="1" thickBot="1" x14ac:dyDescent="0.25">
      <c r="A18" s="45"/>
      <c r="B18" s="1585"/>
      <c r="C18" s="3360"/>
      <c r="D18" s="86" t="s">
        <v>1704</v>
      </c>
      <c r="E18" s="2752"/>
      <c r="F18" s="88"/>
      <c r="G18" s="89">
        <f t="shared" si="5"/>
        <v>0</v>
      </c>
      <c r="H18" s="2755">
        <f>IF(G18&lt;1,0,VLOOKUP(G18,Tablas!$C$14:$D$33,2))</f>
        <v>0</v>
      </c>
      <c r="I18" s="100"/>
      <c r="J18" s="3485" t="s">
        <v>1691</v>
      </c>
      <c r="K18" s="3486"/>
      <c r="L18" s="2495"/>
      <c r="M18" s="210"/>
      <c r="N18" s="2759" t="s">
        <v>1691</v>
      </c>
      <c r="O18" s="92"/>
      <c r="P18" s="3422"/>
      <c r="Q18" s="3422"/>
      <c r="R18" s="2575"/>
      <c r="S18" s="2904"/>
      <c r="T18" s="2905"/>
      <c r="U18" s="2979"/>
      <c r="V18" s="3436"/>
      <c r="W18" s="3437"/>
      <c r="X18" s="3437"/>
      <c r="Y18" s="3437"/>
      <c r="Z18" s="3437"/>
      <c r="AA18" s="3437"/>
      <c r="AB18" s="3438"/>
      <c r="AC18" s="68"/>
      <c r="AD18" s="3253"/>
      <c r="AE18" s="3254"/>
      <c r="AF18" s="3254"/>
      <c r="AG18" s="3255"/>
      <c r="AH18" s="3255"/>
      <c r="AI18" s="2861" t="str">
        <f t="shared" si="2"/>
        <v/>
      </c>
      <c r="AJ18" s="1671" t="str">
        <f t="shared" si="3"/>
        <v/>
      </c>
      <c r="AK18" s="2961" t="str">
        <f t="shared" si="4"/>
        <v/>
      </c>
      <c r="AL18" s="1910"/>
      <c r="AM18" s="2960" t="str">
        <f t="shared" si="6"/>
        <v/>
      </c>
      <c r="AO18" s="2963" t="s">
        <v>1704</v>
      </c>
      <c r="AP18" s="2969">
        <f t="shared" si="0"/>
        <v>0</v>
      </c>
      <c r="AQ18" s="2969">
        <f>AP18+Tablas!G249-2*Tablas!G499+Tablas!J1836+Tablas!$K$2361+Tablas!$K$2374+Personalización!$P$41</f>
        <v>0</v>
      </c>
      <c r="AR18" s="2969"/>
      <c r="AS18" s="2969">
        <f t="shared" si="1"/>
        <v>0</v>
      </c>
      <c r="AT18" s="2969"/>
    </row>
    <row r="19" spans="1:46" ht="12" customHeight="1" thickBot="1" x14ac:dyDescent="0.25">
      <c r="A19" s="45"/>
      <c r="B19" s="2569"/>
      <c r="C19" s="3466"/>
      <c r="D19" s="3466"/>
      <c r="E19" s="3466"/>
      <c r="F19" s="3466"/>
      <c r="G19" s="3466"/>
      <c r="H19" s="2518" t="str">
        <f>IF(Combate!AB15=0,"",TRUNC(Combate!AB15/20,0))</f>
        <v/>
      </c>
      <c r="I19" s="2493"/>
      <c r="J19" s="68"/>
      <c r="K19" s="1884"/>
      <c r="L19" s="68"/>
      <c r="M19" s="179"/>
      <c r="N19" s="1668"/>
      <c r="O19" s="1668"/>
      <c r="P19" s="1668"/>
      <c r="Q19" s="1668"/>
      <c r="R19" s="1892"/>
      <c r="S19" s="2904"/>
      <c r="T19" s="2905"/>
      <c r="U19" s="2979"/>
      <c r="V19" s="68"/>
      <c r="W19" s="68"/>
      <c r="X19" s="68"/>
      <c r="Y19" s="68"/>
      <c r="Z19" s="68"/>
      <c r="AA19" s="68"/>
      <c r="AB19" s="68"/>
      <c r="AC19" s="68"/>
      <c r="AD19" s="3253"/>
      <c r="AE19" s="3254"/>
      <c r="AF19" s="3254"/>
      <c r="AG19" s="3255"/>
      <c r="AH19" s="3255"/>
      <c r="AI19" s="2861" t="str">
        <f t="shared" si="2"/>
        <v/>
      </c>
      <c r="AJ19" s="1671" t="str">
        <f t="shared" si="3"/>
        <v/>
      </c>
      <c r="AK19" s="2961" t="str">
        <f t="shared" si="4"/>
        <v/>
      </c>
      <c r="AL19" s="1910"/>
      <c r="AM19" s="2960" t="str">
        <f t="shared" si="6"/>
        <v/>
      </c>
      <c r="AO19" s="2963" t="s">
        <v>9326</v>
      </c>
      <c r="AP19" s="2969">
        <f>L13+IF(NOT(ISNA(Tablas!S2008)),Tablas!S2008,IF(G12=0,0,VLOOKUP(G12,Tabla_Regen,2))+HLOOKUP("Regeneración",Bonos_Raza_Base,2,FALSE))</f>
        <v>0</v>
      </c>
      <c r="AQ19" s="2969">
        <f>AP19+Tablas!G268*2+Tablas!G269*4+Tablas!G270*6+Tablas!P241</f>
        <v>0</v>
      </c>
      <c r="AR19" s="2969">
        <f>'Tablas psiquica'!AH74</f>
        <v>0</v>
      </c>
      <c r="AS19" s="2969">
        <f>IF(AQ19+AR19&gt;18,MAX(18,AQ19),AQ19+AR19)</f>
        <v>0</v>
      </c>
      <c r="AT19" s="2969"/>
    </row>
    <row r="20" spans="1:46" ht="12" customHeight="1" thickBot="1" x14ac:dyDescent="0.25">
      <c r="A20" s="45"/>
      <c r="B20" s="2569"/>
      <c r="C20" s="3169" t="s">
        <v>1705</v>
      </c>
      <c r="D20" s="3169"/>
      <c r="E20" s="68"/>
      <c r="F20" s="3475" t="s">
        <v>1706</v>
      </c>
      <c r="G20" s="3476"/>
      <c r="H20" s="3476"/>
      <c r="I20" s="3476"/>
      <c r="J20" s="3477"/>
      <c r="K20" s="1884"/>
      <c r="L20" s="3475" t="s">
        <v>1707</v>
      </c>
      <c r="M20" s="3476"/>
      <c r="N20" s="3476"/>
      <c r="O20" s="3476"/>
      <c r="P20" s="3476"/>
      <c r="Q20" s="3477"/>
      <c r="R20" s="1892"/>
      <c r="S20" s="2904"/>
      <c r="T20" s="2905"/>
      <c r="U20" s="2979"/>
      <c r="V20" s="3169" t="s">
        <v>1708</v>
      </c>
      <c r="W20" s="3169"/>
      <c r="X20" s="3169"/>
      <c r="Y20" s="3169"/>
      <c r="Z20" s="3169"/>
      <c r="AA20" s="3169"/>
      <c r="AB20" s="3169"/>
      <c r="AC20" s="68"/>
      <c r="AD20" s="3253"/>
      <c r="AE20" s="3254"/>
      <c r="AF20" s="3254"/>
      <c r="AG20" s="3255"/>
      <c r="AH20" s="3255"/>
      <c r="AI20" s="2861" t="str">
        <f t="shared" si="2"/>
        <v/>
      </c>
      <c r="AJ20" s="1671" t="str">
        <f t="shared" si="3"/>
        <v/>
      </c>
      <c r="AK20" s="2961" t="str">
        <f t="shared" si="4"/>
        <v/>
      </c>
      <c r="AL20" s="1910"/>
      <c r="AM20" s="2960" t="str">
        <f t="shared" si="6"/>
        <v/>
      </c>
      <c r="AO20" s="2962" t="s">
        <v>9327</v>
      </c>
      <c r="AP20" s="2969">
        <f>IF(MovimientodeVacío,MAX(POD,AT11),AT11)+L18-L16</f>
        <v>0</v>
      </c>
      <c r="AQ20" s="2969">
        <f>AP20+Tablas!$S$1963</f>
        <v>0</v>
      </c>
      <c r="AR20" s="2965">
        <f>'Tablas psiquica'!AH69</f>
        <v>0</v>
      </c>
      <c r="AS20" s="2969">
        <f>IF(AQ20&lt;10,MIN(10,AR20+AQ20)+TRUNC(MAX(0,(AR20+AQ20-10)/2,0)),AQ20+TRUNC(AR20/2,0))</f>
        <v>0</v>
      </c>
      <c r="AT20" s="1985"/>
    </row>
    <row r="21" spans="1:46" ht="12" customHeight="1" thickBot="1" x14ac:dyDescent="0.25">
      <c r="A21" s="45"/>
      <c r="B21" s="2569"/>
      <c r="C21" s="93" t="s">
        <v>1677</v>
      </c>
      <c r="D21" s="94">
        <f>IF(Raza="Criatura",VLOOKUP(Tamaño,Tabla_CreaciónSeres,3),20)</f>
        <v>20</v>
      </c>
      <c r="E21" s="68"/>
      <c r="F21" s="3468" t="s">
        <v>1709</v>
      </c>
      <c r="G21" s="3469"/>
      <c r="H21" s="3470">
        <f>MAX(HA_final,HA_SinArmas_final)</f>
        <v>0</v>
      </c>
      <c r="I21" s="3478" t="s">
        <v>1710</v>
      </c>
      <c r="J21" s="3479"/>
      <c r="K21" s="1884"/>
      <c r="L21" s="2758" t="s">
        <v>1711</v>
      </c>
      <c r="M21" s="3474" t="s">
        <v>1687</v>
      </c>
      <c r="N21" s="3474"/>
      <c r="O21" s="3431" t="s">
        <v>1712</v>
      </c>
      <c r="P21" s="3431"/>
      <c r="Q21" s="1669" t="s">
        <v>1661</v>
      </c>
      <c r="R21" s="1892"/>
      <c r="S21" s="2904"/>
      <c r="T21" s="2905"/>
      <c r="U21" s="2979"/>
      <c r="V21" s="3179" t="s">
        <v>1713</v>
      </c>
      <c r="W21" s="3179"/>
      <c r="X21" s="3179"/>
      <c r="Y21" s="3432" t="s">
        <v>1714</v>
      </c>
      <c r="Z21" s="3432"/>
      <c r="AA21" s="97" t="s">
        <v>1715</v>
      </c>
      <c r="AB21" s="25" t="s">
        <v>1689</v>
      </c>
      <c r="AC21" s="68"/>
      <c r="AD21" s="3253"/>
      <c r="AE21" s="3254"/>
      <c r="AF21" s="3254"/>
      <c r="AG21" s="3255"/>
      <c r="AH21" s="3255"/>
      <c r="AI21" s="2861" t="str">
        <f t="shared" si="2"/>
        <v/>
      </c>
      <c r="AJ21" s="1671" t="str">
        <f t="shared" si="3"/>
        <v/>
      </c>
      <c r="AK21" s="2961" t="str">
        <f t="shared" si="4"/>
        <v/>
      </c>
      <c r="AL21" s="1910"/>
      <c r="AM21" s="2960" t="str">
        <f t="shared" si="6"/>
        <v/>
      </c>
      <c r="AN21" s="2969"/>
      <c r="AO21" s="2970" t="s">
        <v>2246</v>
      </c>
      <c r="AP21" s="2969">
        <f>MAX(1,E12+E14-IF(Sexo="Mujer",1,0))+HLOOKUP(AO21,Bonos_Raza_Base,2,FALSE)</f>
        <v>1</v>
      </c>
      <c r="AQ21" s="2969">
        <f>Tablas!$J$1870</f>
        <v>0</v>
      </c>
      <c r="AS21" s="3109">
        <f>AP21+AQ21</f>
        <v>1</v>
      </c>
    </row>
    <row r="22" spans="1:46" ht="12" customHeight="1" x14ac:dyDescent="0.2">
      <c r="A22" s="45"/>
      <c r="B22" s="2569"/>
      <c r="C22" s="98" t="s">
        <v>1685</v>
      </c>
      <c r="D22" s="2760">
        <f>AGI</f>
        <v>0</v>
      </c>
      <c r="E22" s="68"/>
      <c r="F22" s="3468"/>
      <c r="G22" s="3469"/>
      <c r="H22" s="3470"/>
      <c r="I22" s="3480" t="str">
        <f>IF(Combate!AB15=0,"",Combate!AB15)</f>
        <v/>
      </c>
      <c r="J22" s="3481"/>
      <c r="K22" s="1884"/>
      <c r="L22" s="3367" t="s">
        <v>1716</v>
      </c>
      <c r="M22" s="3305" t="s">
        <v>1717</v>
      </c>
      <c r="N22" s="3305"/>
      <c r="O22" s="3286">
        <f>Combate!$R$17</f>
        <v>0</v>
      </c>
      <c r="P22" s="3286"/>
      <c r="Q22" s="1670">
        <f>IF(Acrobacias_final="-","-",Acrobacias_final+O22)</f>
        <v>-30</v>
      </c>
      <c r="R22" s="1892"/>
      <c r="S22" s="2904"/>
      <c r="T22" s="2905"/>
      <c r="U22" s="2979"/>
      <c r="V22" s="3406" t="s">
        <v>1718</v>
      </c>
      <c r="W22" s="3406"/>
      <c r="X22" s="3407"/>
      <c r="Y22" s="3429" t="str">
        <f>IF(AA22=0,"",Raza)</f>
        <v/>
      </c>
      <c r="Z22" s="3430"/>
      <c r="AA22" s="2746">
        <f>IF(Raza=0,0,VLOOKUP(Raza,Tablas!$J$109:$P$129,7,FALSE))</f>
        <v>0</v>
      </c>
      <c r="AB22" s="99">
        <v>0</v>
      </c>
      <c r="AC22" s="68"/>
      <c r="AD22" s="3253"/>
      <c r="AE22" s="3254"/>
      <c r="AF22" s="3254"/>
      <c r="AG22" s="3255"/>
      <c r="AH22" s="3255"/>
      <c r="AI22" s="2861" t="str">
        <f t="shared" si="2"/>
        <v/>
      </c>
      <c r="AJ22" s="1671" t="str">
        <f t="shared" si="3"/>
        <v/>
      </c>
      <c r="AK22" s="2961" t="str">
        <f t="shared" si="4"/>
        <v/>
      </c>
      <c r="AL22" s="1910"/>
      <c r="AM22" s="2960" t="str">
        <f t="shared" si="6"/>
        <v/>
      </c>
      <c r="AN22" s="2970"/>
      <c r="AO22" s="2970"/>
      <c r="AP22" s="2970"/>
    </row>
    <row r="23" spans="1:46" ht="12" customHeight="1" x14ac:dyDescent="0.2">
      <c r="A23" s="45"/>
      <c r="B23" s="2569"/>
      <c r="C23" s="98" t="s">
        <v>1690</v>
      </c>
      <c r="D23" s="2760">
        <f>DES</f>
        <v>0</v>
      </c>
      <c r="E23" s="68"/>
      <c r="F23" s="3471" t="str">
        <f>IF(HP_final&gt;HE_final,"H. Parada:","H. Esquiva:")</f>
        <v>H. Esquiva:</v>
      </c>
      <c r="G23" s="3472"/>
      <c r="H23" s="3473">
        <f>MAX(HP_final,HE_final,HD_SinArmas_final)</f>
        <v>0</v>
      </c>
      <c r="I23" s="3480"/>
      <c r="J23" s="3481"/>
      <c r="K23" s="1884"/>
      <c r="L23" s="3293"/>
      <c r="M23" s="3283" t="s">
        <v>1719</v>
      </c>
      <c r="N23" s="3283"/>
      <c r="O23" s="3295">
        <f>Combate!$R$17</f>
        <v>0</v>
      </c>
      <c r="P23" s="3295"/>
      <c r="Q23" s="1671">
        <f>IF(Atletismo_final="-","-",Atletismo_final+O23)</f>
        <v>-30</v>
      </c>
      <c r="R23" s="1892"/>
      <c r="S23" s="2904"/>
      <c r="T23" s="2905"/>
      <c r="U23" s="2979"/>
      <c r="V23" s="3406" t="s">
        <v>1720</v>
      </c>
      <c r="W23" s="3406"/>
      <c r="X23" s="3407"/>
      <c r="Y23" s="3408" t="s">
        <v>1689</v>
      </c>
      <c r="Z23" s="3409"/>
      <c r="AA23" s="2746">
        <v>0</v>
      </c>
      <c r="AB23" s="99">
        <f>IF(Y23="PDs",VLOOKUP(Principal!$AB$13,Tablas!F70:G80,2),0)</f>
        <v>0</v>
      </c>
      <c r="AC23" s="68"/>
      <c r="AD23" s="3418"/>
      <c r="AE23" s="3419"/>
      <c r="AF23" s="3419"/>
      <c r="AG23" s="3420"/>
      <c r="AH23" s="3420"/>
      <c r="AI23" s="2862" t="str">
        <f t="shared" si="2"/>
        <v/>
      </c>
      <c r="AJ23" s="1672" t="str">
        <f t="shared" si="3"/>
        <v/>
      </c>
      <c r="AK23" s="2961" t="str">
        <f t="shared" si="4"/>
        <v/>
      </c>
      <c r="AL23" s="1910"/>
      <c r="AM23" s="2960" t="str">
        <f t="shared" si="6"/>
        <v/>
      </c>
      <c r="AN23" s="2970"/>
      <c r="AO23" s="2970"/>
      <c r="AP23" s="2970"/>
    </row>
    <row r="24" spans="1:46" ht="12" customHeight="1" x14ac:dyDescent="0.2">
      <c r="A24" s="45"/>
      <c r="B24" s="2569"/>
      <c r="C24" s="98" t="s">
        <v>1721</v>
      </c>
      <c r="D24" s="2760">
        <f>HLOOKUP("Turno",Bonos_Cat_Base,2,FALSE)</f>
        <v>5</v>
      </c>
      <c r="E24" s="68"/>
      <c r="F24" s="3471"/>
      <c r="G24" s="3472"/>
      <c r="H24" s="3473"/>
      <c r="I24" s="3480"/>
      <c r="J24" s="3481"/>
      <c r="K24" s="1884"/>
      <c r="L24" s="3293"/>
      <c r="M24" s="3283" t="s">
        <v>1722</v>
      </c>
      <c r="N24" s="3283"/>
      <c r="O24" s="3295"/>
      <c r="P24" s="3295"/>
      <c r="Q24" s="1671">
        <f>IF(Montar_final="-","-",Montar_final+O24)</f>
        <v>-10</v>
      </c>
      <c r="R24" s="1892"/>
      <c r="S24" s="2904"/>
      <c r="T24" s="2905"/>
      <c r="U24" s="2978"/>
      <c r="V24" s="3406" t="s">
        <v>1723</v>
      </c>
      <c r="W24" s="3406"/>
      <c r="X24" s="3407"/>
      <c r="Y24" s="3427" t="s">
        <v>2549</v>
      </c>
      <c r="Z24" s="3428"/>
      <c r="AA24" s="2746">
        <f>IF(Principal!Y24="No",0,IF(SUM(Tablas!P236:P261)&gt;0,1,0))</f>
        <v>0</v>
      </c>
      <c r="AB24" s="2749">
        <f>40*Tablas!P248+80*Tablas!P249+120*Tablas!P250</f>
        <v>0</v>
      </c>
      <c r="AC24" s="100"/>
      <c r="AD24" s="341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11"/>
      <c r="AF24" s="3411"/>
      <c r="AG24" s="3411"/>
      <c r="AH24" s="3411"/>
      <c r="AI24" s="3411"/>
      <c r="AJ24" s="3412"/>
      <c r="AK24" s="2961"/>
      <c r="AL24" s="1910"/>
      <c r="AM24" s="2962"/>
      <c r="AN24" s="2970"/>
      <c r="AO24" s="2970"/>
      <c r="AP24" s="2970"/>
    </row>
    <row r="25" spans="1:46" ht="12" customHeight="1" x14ac:dyDescent="0.2">
      <c r="A25" s="45"/>
      <c r="B25" s="2569"/>
      <c r="C25" s="98" t="s">
        <v>1724</v>
      </c>
      <c r="D25" s="2760">
        <f>Combate!R17</f>
        <v>0</v>
      </c>
      <c r="E25" s="68"/>
      <c r="F25" s="3482" t="s">
        <v>1725</v>
      </c>
      <c r="G25" s="3483"/>
      <c r="H25" s="3484">
        <f>LlevarArmadura_final</f>
        <v>0</v>
      </c>
      <c r="I25" s="3480"/>
      <c r="J25" s="3481"/>
      <c r="K25" s="1884"/>
      <c r="L25" s="3293"/>
      <c r="M25" s="3283" t="s">
        <v>1726</v>
      </c>
      <c r="N25" s="3283"/>
      <c r="O25" s="3295">
        <f>Combate!$H$17+MAX(MIN(-20*IF(OR(Combate!C12=0,Combate!B12="Natural"),0,1)-20*IF(OR(Combate!C13=0,Combate!B13="Natural"),0,1)-20*IF(OR(Combate!C14=0,Combate!B14="Natural"),0,1)+20,0),-40)</f>
        <v>0</v>
      </c>
      <c r="P25" s="3295"/>
      <c r="Q25" s="1671">
        <f>IF(Nadar_final="-","-",Nadar_final+O25)</f>
        <v>-30</v>
      </c>
      <c r="R25" s="1892"/>
      <c r="S25" s="2904"/>
      <c r="T25" s="2905"/>
      <c r="U25" s="2978"/>
      <c r="V25" s="3416" t="s">
        <v>1727</v>
      </c>
      <c r="W25" s="3416"/>
      <c r="X25" s="3417"/>
      <c r="Y25" s="3427"/>
      <c r="Z25" s="3428"/>
      <c r="AA25" s="2314">
        <f>IF(Y25="Si",1,0)</f>
        <v>0</v>
      </c>
      <c r="AB25" s="102">
        <v>0</v>
      </c>
      <c r="AC25" s="100"/>
      <c r="AD25" s="3413"/>
      <c r="AE25" s="3414"/>
      <c r="AF25" s="3414"/>
      <c r="AG25" s="3414"/>
      <c r="AH25" s="3414"/>
      <c r="AI25" s="3414"/>
      <c r="AJ25" s="3415"/>
      <c r="AK25" s="2961"/>
      <c r="AL25" s="1910"/>
      <c r="AM25" s="2962"/>
      <c r="AN25" s="2970"/>
      <c r="AO25" s="2970"/>
      <c r="AP25" s="2970"/>
    </row>
    <row r="26" spans="1:46" ht="12" customHeight="1" x14ac:dyDescent="0.2">
      <c r="A26" s="45"/>
      <c r="B26" s="2569"/>
      <c r="C26" s="98" t="s">
        <v>9350</v>
      </c>
      <c r="D26" s="2760">
        <f>20+Tablas!$S$1835</f>
        <v>20</v>
      </c>
      <c r="E26" s="68"/>
      <c r="F26" s="3482"/>
      <c r="G26" s="3483"/>
      <c r="H26" s="3484"/>
      <c r="I26" s="3480"/>
      <c r="J26" s="3481"/>
      <c r="K26" s="1884"/>
      <c r="L26" s="3293"/>
      <c r="M26" s="3283" t="s">
        <v>1729</v>
      </c>
      <c r="N26" s="3283"/>
      <c r="O26" s="3295">
        <f>Combate!$R$17</f>
        <v>0</v>
      </c>
      <c r="P26" s="3295"/>
      <c r="Q26" s="1671">
        <f>IF(Trepar_final="-","-",Trepar_final+O26)</f>
        <v>-30</v>
      </c>
      <c r="R26" s="1892"/>
      <c r="S26" s="2904"/>
      <c r="T26" s="2905"/>
      <c r="U26" s="2978"/>
      <c r="V26" s="3423" t="s">
        <v>1730</v>
      </c>
      <c r="W26" s="3423"/>
      <c r="X26" s="3424"/>
      <c r="Y26" s="3425"/>
      <c r="Z26" s="3426"/>
      <c r="AA26" s="105">
        <f>ROUNDUP((Principal!$AB$26)/100,0)</f>
        <v>0</v>
      </c>
      <c r="AB26" s="2915"/>
      <c r="AC26" s="68"/>
      <c r="AD26" s="3413"/>
      <c r="AE26" s="3414"/>
      <c r="AF26" s="3414"/>
      <c r="AG26" s="3414"/>
      <c r="AH26" s="3414"/>
      <c r="AI26" s="3414"/>
      <c r="AJ26" s="3415"/>
      <c r="AK26" s="2961"/>
      <c r="AL26" s="1910"/>
      <c r="AM26" s="2962"/>
      <c r="AN26" s="2970"/>
      <c r="AO26" s="2970"/>
      <c r="AP26" s="2970"/>
    </row>
    <row r="27" spans="1:46" ht="12" customHeight="1" thickBot="1" x14ac:dyDescent="0.25">
      <c r="A27" s="45"/>
      <c r="B27" s="2569"/>
      <c r="C27" s="103" t="s">
        <v>1731</v>
      </c>
      <c r="D27" s="104"/>
      <c r="E27" s="68"/>
      <c r="F27" s="3489" t="str">
        <f>IF(Tablas!G519&gt;0,"Arma exclusiva:","Arma desarrollada:")</f>
        <v>Arma desarrollada:</v>
      </c>
      <c r="G27" s="3327"/>
      <c r="H27" s="3327"/>
      <c r="I27" s="3490"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491"/>
      <c r="K27" s="1884"/>
      <c r="L27" s="3293"/>
      <c r="M27" s="3283" t="s">
        <v>1732</v>
      </c>
      <c r="N27" s="3283"/>
      <c r="O27" s="3295">
        <f>Combate!$R$17</f>
        <v>0</v>
      </c>
      <c r="P27" s="3295"/>
      <c r="Q27" s="1671">
        <f>IF(Saltar_final="-","-",Saltar_final+O27)</f>
        <v>-30</v>
      </c>
      <c r="R27" s="1892"/>
      <c r="S27" s="2904"/>
      <c r="T27" s="2905"/>
      <c r="U27" s="2978"/>
      <c r="V27" s="3378" t="s">
        <v>1733</v>
      </c>
      <c r="W27" s="3378"/>
      <c r="X27" s="3378"/>
      <c r="Y27" s="3378"/>
      <c r="Z27" s="3378"/>
      <c r="AA27" s="2747">
        <f>SUM(AA22:AA26)</f>
        <v>0</v>
      </c>
      <c r="AB27" s="2745">
        <f>SUM(AB22:AB26)+50*Tablas!G345+100*Tablas!G346+150*Tablas!G347</f>
        <v>0</v>
      </c>
      <c r="AC27" s="68"/>
      <c r="AD27" s="2834"/>
      <c r="AE27" s="3383" t="s">
        <v>1734</v>
      </c>
      <c r="AF27" s="3383"/>
      <c r="AG27" s="3383"/>
      <c r="AH27" s="3383"/>
      <c r="AI27" s="3383"/>
      <c r="AJ27" s="283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1"/>
      <c r="AL27" s="1910"/>
      <c r="AM27" s="2962"/>
      <c r="AN27" s="2970"/>
      <c r="AO27" s="2970"/>
      <c r="AP27" s="2970"/>
    </row>
    <row r="28" spans="1:46" ht="12" customHeight="1" thickBot="1" x14ac:dyDescent="0.25">
      <c r="A28" s="45"/>
      <c r="B28" s="2569"/>
      <c r="C28" s="3384" t="s">
        <v>1661</v>
      </c>
      <c r="D28" s="3385">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86" t="s">
        <v>2570</v>
      </c>
      <c r="G28" s="3387"/>
      <c r="H28" s="3387"/>
      <c r="I28" s="3490"/>
      <c r="J28" s="3491"/>
      <c r="K28" s="1886"/>
      <c r="L28" s="3368"/>
      <c r="M28" s="3376" t="s">
        <v>8229</v>
      </c>
      <c r="N28" s="3376"/>
      <c r="O28" s="3306"/>
      <c r="P28" s="3306"/>
      <c r="Q28" s="1672">
        <f>IF(Pilotar_final="-","-",Pilotar_final+O28)</f>
        <v>-30</v>
      </c>
      <c r="R28" s="1892"/>
      <c r="S28" s="2904"/>
      <c r="T28" s="2905"/>
      <c r="U28" s="2978"/>
      <c r="V28" s="68"/>
      <c r="W28" s="107"/>
      <c r="X28" s="107"/>
      <c r="Y28" s="107"/>
      <c r="Z28" s="107"/>
      <c r="AA28" s="107"/>
      <c r="AB28" s="107"/>
      <c r="AC28" s="107"/>
      <c r="AD28" s="107"/>
      <c r="AE28" s="107"/>
      <c r="AF28" s="68"/>
      <c r="AG28" s="68"/>
      <c r="AH28" s="68"/>
      <c r="AI28" s="68"/>
      <c r="AJ28" s="68"/>
      <c r="AK28" s="2961"/>
      <c r="AL28" s="1910"/>
      <c r="AM28" s="2962"/>
      <c r="AN28" s="2970"/>
      <c r="AO28" s="2970"/>
      <c r="AP28" s="2970"/>
    </row>
    <row r="29" spans="1:46" ht="12" customHeight="1" thickBot="1" x14ac:dyDescent="0.25">
      <c r="A29" s="45"/>
      <c r="B29" s="2569"/>
      <c r="C29" s="3384"/>
      <c r="D29" s="3385"/>
      <c r="E29" s="68"/>
      <c r="F29" s="3388" t="s">
        <v>1737</v>
      </c>
      <c r="G29" s="3389"/>
      <c r="H29" s="3389"/>
      <c r="I29" s="3389"/>
      <c r="J29" s="2740">
        <f>VLOOKUP(G13+G11,Tabla_NumAcciones,2)</f>
        <v>1</v>
      </c>
      <c r="K29" s="1884"/>
      <c r="L29" s="3293" t="s">
        <v>1735</v>
      </c>
      <c r="M29" s="3283" t="s">
        <v>1736</v>
      </c>
      <c r="N29" s="3283"/>
      <c r="O29" s="3295"/>
      <c r="P29" s="3295"/>
      <c r="Q29" s="1671">
        <f>IF(Estilo_final="-","-",Estilo_final+O29)</f>
        <v>-10</v>
      </c>
      <c r="R29" s="1892"/>
      <c r="S29" s="2904"/>
      <c r="T29" s="2905"/>
      <c r="U29" s="2978"/>
      <c r="V29" s="3169" t="s">
        <v>1739</v>
      </c>
      <c r="W29" s="3169"/>
      <c r="X29" s="3169"/>
      <c r="Y29" s="3169"/>
      <c r="Z29" s="3169"/>
      <c r="AA29" s="3169"/>
      <c r="AB29" s="3169"/>
      <c r="AC29" s="3169"/>
      <c r="AD29" s="3169"/>
      <c r="AE29" s="3169"/>
      <c r="AF29" s="3421" t="s">
        <v>1740</v>
      </c>
      <c r="AG29" s="3421"/>
      <c r="AH29" s="3421"/>
      <c r="AI29" s="3421"/>
      <c r="AJ29" s="3421"/>
      <c r="AK29" s="2961"/>
      <c r="AL29" s="1910"/>
      <c r="AM29" s="2964"/>
      <c r="AO29" s="2970"/>
      <c r="AP29" s="2970"/>
    </row>
    <row r="30" spans="1:46" ht="12" customHeight="1" thickBot="1" x14ac:dyDescent="0.25">
      <c r="A30" s="45"/>
      <c r="B30" s="2569"/>
      <c r="C30" s="68"/>
      <c r="D30" s="68"/>
      <c r="E30" s="68"/>
      <c r="F30" s="68"/>
      <c r="G30" s="68"/>
      <c r="H30" s="68"/>
      <c r="I30" s="68"/>
      <c r="J30" s="68"/>
      <c r="K30" s="1884"/>
      <c r="L30" s="3293"/>
      <c r="M30" s="3283" t="s">
        <v>1738</v>
      </c>
      <c r="N30" s="3283"/>
      <c r="O30" s="3295"/>
      <c r="P30" s="3295"/>
      <c r="Q30" s="1671">
        <f>IF(Intimidar_final="-","-",Intimidar_final+O30)</f>
        <v>-30</v>
      </c>
      <c r="R30" s="1892"/>
      <c r="S30" s="2904"/>
      <c r="T30" s="2905"/>
      <c r="U30" s="2978"/>
      <c r="V30" s="3296">
        <f>IF(Raza=0,0,VLOOKUP(Raza,Tabla_Razas,20,FALSE))</f>
        <v>0</v>
      </c>
      <c r="W30" s="3296"/>
      <c r="X30" s="3296"/>
      <c r="Y30" s="3296"/>
      <c r="Z30" s="3296"/>
      <c r="AA30" s="3297">
        <f>IF(Raza=0,0,VLOOKUP(Raza,Tabla_Razas,38,FALSE))</f>
        <v>0</v>
      </c>
      <c r="AB30" s="3297"/>
      <c r="AC30" s="3297"/>
      <c r="AD30" s="3297"/>
      <c r="AE30" s="3297"/>
      <c r="AF30" s="3393"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94"/>
      <c r="AH30" s="3394"/>
      <c r="AI30" s="3394"/>
      <c r="AJ30" s="3395"/>
      <c r="AK30" s="2971">
        <f>IF($G$45=0,0,VLOOKUP($G$45,Ventajas_Legados,7,FALSE))</f>
        <v>0</v>
      </c>
      <c r="AL30" s="1910"/>
      <c r="AM30" s="2972"/>
      <c r="AO30" s="2970"/>
      <c r="AP30" s="2970"/>
    </row>
    <row r="31" spans="1:46" ht="12" customHeight="1" x14ac:dyDescent="0.2">
      <c r="A31" s="45"/>
      <c r="B31" s="2569"/>
      <c r="C31" s="3380" t="s">
        <v>1742</v>
      </c>
      <c r="D31" s="3381"/>
      <c r="E31" s="3381"/>
      <c r="F31" s="3381"/>
      <c r="G31" s="3381"/>
      <c r="H31" s="3381"/>
      <c r="I31" s="3382"/>
      <c r="J31" s="2000">
        <f>IF(Raza="Criatura",0,3)+TRUNC((PDs!X5+PDs!X7+PDs!X9+PDs!X11+PDs!X13)/2,0)-Tablas!C234+IF(Y23="PDs",0,IF($AB$13=0,0,VLOOKUP($AB$13,Tabla_Gnosis,3,FALSE)))</f>
        <v>3</v>
      </c>
      <c r="K31" s="1884"/>
      <c r="L31" s="3293"/>
      <c r="M31" s="3283" t="s">
        <v>1741</v>
      </c>
      <c r="N31" s="3283"/>
      <c r="O31" s="3295"/>
      <c r="P31" s="3295"/>
      <c r="Q31" s="1671">
        <f>IF(Liderazgo_final="-","-",Liderazgo_final+O31)</f>
        <v>10</v>
      </c>
      <c r="R31" s="1892"/>
      <c r="S31" s="2904"/>
      <c r="T31" s="2905"/>
      <c r="U31" s="2978"/>
      <c r="V31" s="3296">
        <f>IF(Raza=0,0,VLOOKUP(Raza,Tabla_Razas,23,FALSE))</f>
        <v>0</v>
      </c>
      <c r="W31" s="3390"/>
      <c r="X31" s="3390"/>
      <c r="Y31" s="3390"/>
      <c r="Z31" s="3391"/>
      <c r="AA31" s="3392">
        <f>IF(Raza=0,0,VLOOKUP(Raza,Tabla_Razas,41,FALSE))</f>
        <v>0</v>
      </c>
      <c r="AB31" s="3390"/>
      <c r="AC31" s="3390"/>
      <c r="AD31" s="3390"/>
      <c r="AE31" s="3391"/>
      <c r="AF31" s="3392"/>
      <c r="AG31" s="3390"/>
      <c r="AH31" s="3390"/>
      <c r="AI31" s="3390"/>
      <c r="AJ31" s="3396"/>
      <c r="AK31" s="2971"/>
      <c r="AL31" s="1910"/>
      <c r="AM31" s="2960" t="s">
        <v>9315</v>
      </c>
      <c r="AO31" s="2970"/>
      <c r="AP31" s="2970"/>
    </row>
    <row r="32" spans="1:46" ht="12" customHeight="1" x14ac:dyDescent="0.2">
      <c r="A32" s="45"/>
      <c r="B32" s="2569"/>
      <c r="C32" s="3317"/>
      <c r="D32" s="3269"/>
      <c r="E32" s="3269"/>
      <c r="F32" s="3270"/>
      <c r="G32" s="3400"/>
      <c r="H32" s="3401"/>
      <c r="I32" s="3402"/>
      <c r="J32" s="3403"/>
      <c r="K32" s="1884"/>
      <c r="L32" s="3293"/>
      <c r="M32" s="3283" t="s">
        <v>1743</v>
      </c>
      <c r="N32" s="3283"/>
      <c r="O32" s="3295"/>
      <c r="P32" s="3295"/>
      <c r="Q32" s="1671">
        <f>IF(Persuasión_final="-","-",Persuasión_final+O32)</f>
        <v>-10</v>
      </c>
      <c r="R32" s="1892"/>
      <c r="S32" s="2904"/>
      <c r="T32" s="2905"/>
      <c r="U32" s="2978"/>
      <c r="V32" s="3296">
        <f>IF(Raza=0,0,VLOOKUP(Raza,Tabla_Razas,26,FALSE))</f>
        <v>0</v>
      </c>
      <c r="W32" s="3390"/>
      <c r="X32" s="3390"/>
      <c r="Y32" s="3390"/>
      <c r="Z32" s="3391"/>
      <c r="AA32" s="3392">
        <f>IF(Raza=0,0,VLOOKUP(Raza,Tabla_Razas,44,FALSE))</f>
        <v>0</v>
      </c>
      <c r="AB32" s="3390"/>
      <c r="AC32" s="3390"/>
      <c r="AD32" s="3390"/>
      <c r="AE32" s="3391"/>
      <c r="AF32" s="3392"/>
      <c r="AG32" s="3390"/>
      <c r="AH32" s="3390"/>
      <c r="AI32" s="3390"/>
      <c r="AJ32" s="3396"/>
      <c r="AK32" s="2971"/>
      <c r="AL32" s="1910"/>
      <c r="AM32" s="2962" t="s">
        <v>8547</v>
      </c>
      <c r="AN32" s="2970" t="str">
        <f>IF(Raza="Criatura","$AO$36","V_Comunes")</f>
        <v>V_Comunes</v>
      </c>
      <c r="AO32" s="2970"/>
      <c r="AP32" s="2970"/>
    </row>
    <row r="33" spans="1:51" ht="12" customHeight="1" x14ac:dyDescent="0.2">
      <c r="A33" s="45"/>
      <c r="B33" s="2569"/>
      <c r="C33" s="3317"/>
      <c r="D33" s="3269"/>
      <c r="E33" s="3269"/>
      <c r="F33" s="3270"/>
      <c r="G33" s="3259"/>
      <c r="H33" s="3260"/>
      <c r="I33" s="3261"/>
      <c r="J33" s="3262"/>
      <c r="K33" s="1884"/>
      <c r="L33" s="3293"/>
      <c r="M33" s="3283" t="s">
        <v>1088</v>
      </c>
      <c r="N33" s="3283"/>
      <c r="O33" s="3295"/>
      <c r="P33" s="3295"/>
      <c r="Q33" s="1671">
        <f>IF(Comercio_final="-","-",Comercio_final+O33)</f>
        <v>-30</v>
      </c>
      <c r="R33" s="1892"/>
      <c r="S33" s="2904"/>
      <c r="T33" s="2905"/>
      <c r="U33" s="2978"/>
      <c r="V33" s="3296">
        <f>IF(Raza=0,0,VLOOKUP(Raza,Tabla_Razas,29,FALSE))</f>
        <v>0</v>
      </c>
      <c r="W33" s="3296"/>
      <c r="X33" s="3296"/>
      <c r="Y33" s="3296"/>
      <c r="Z33" s="3296"/>
      <c r="AA33" s="3379">
        <f>IF(Raza=0,0,VLOOKUP(Raza,Tabla_Razas,47,FALSE))</f>
        <v>0</v>
      </c>
      <c r="AB33" s="3379"/>
      <c r="AC33" s="3379"/>
      <c r="AD33" s="3379"/>
      <c r="AE33" s="3379"/>
      <c r="AF33" s="3392"/>
      <c r="AG33" s="3390"/>
      <c r="AH33" s="3390"/>
      <c r="AI33" s="3390"/>
      <c r="AJ33" s="3396"/>
      <c r="AK33" s="2971"/>
      <c r="AL33" s="1910"/>
      <c r="AM33" s="2962" t="s">
        <v>8548</v>
      </c>
      <c r="AN33" s="2970" t="str">
        <f>IF(Raza="Criatura","$AO$36",IF($AN$38,"V_Don_Y_Psi",IF($AN$36,"V_Don",IF($AN$37,"V_Psiquicos","$AO$37"))))</f>
        <v>$AO$37</v>
      </c>
      <c r="AP33" s="2970"/>
    </row>
    <row r="34" spans="1:51" ht="12" customHeight="1" x14ac:dyDescent="0.2">
      <c r="A34" s="45"/>
      <c r="B34" s="2569"/>
      <c r="C34" s="3317"/>
      <c r="D34" s="3269"/>
      <c r="E34" s="3269"/>
      <c r="F34" s="3270"/>
      <c r="G34" s="3259"/>
      <c r="H34" s="3260"/>
      <c r="I34" s="3261"/>
      <c r="J34" s="3262"/>
      <c r="K34" s="1998"/>
      <c r="L34" s="3293"/>
      <c r="M34" s="3283" t="s">
        <v>1089</v>
      </c>
      <c r="N34" s="3283"/>
      <c r="O34" s="3294"/>
      <c r="P34" s="3294"/>
      <c r="Q34" s="1671">
        <f>IF(Callejeo_final="-","-",Callejeo_final+O34)</f>
        <v>-30</v>
      </c>
      <c r="R34" s="1892"/>
      <c r="S34" s="2904"/>
      <c r="T34" s="2905"/>
      <c r="U34" s="2978"/>
      <c r="V34" s="3296">
        <f>IF(Raza=0,0,VLOOKUP(Raza,Tabla_Razas,32,FALSE))</f>
        <v>0</v>
      </c>
      <c r="W34" s="3296"/>
      <c r="X34" s="3296"/>
      <c r="Y34" s="3296"/>
      <c r="Z34" s="3296"/>
      <c r="AA34" s="3379">
        <f>IF(Raza=0,0,VLOOKUP(Raza,Tabla_Razas,50,FALSE))</f>
        <v>0</v>
      </c>
      <c r="AB34" s="3379"/>
      <c r="AC34" s="3379"/>
      <c r="AD34" s="3379"/>
      <c r="AE34" s="3379"/>
      <c r="AF34" s="3397"/>
      <c r="AG34" s="3398"/>
      <c r="AH34" s="3398"/>
      <c r="AI34" s="3398"/>
      <c r="AJ34" s="3399"/>
      <c r="AK34" s="2971">
        <f>IF($G$45=0,0,VLOOKUP($G$45,Ventajas_Legados,10,FALSE))</f>
        <v>0</v>
      </c>
      <c r="AL34" s="1910"/>
      <c r="AM34" s="2962" t="s">
        <v>8549</v>
      </c>
      <c r="AN34" s="2496" t="str">
        <f>IF(Raza="Criatura","$AO$36","V_Trasfondo")</f>
        <v>V_Trasfondo</v>
      </c>
      <c r="AO34" s="2970"/>
      <c r="AP34" s="2970"/>
    </row>
    <row r="35" spans="1:51" ht="12" customHeight="1" thickBot="1" x14ac:dyDescent="0.25">
      <c r="A35" s="45"/>
      <c r="B35" s="2569"/>
      <c r="C35" s="3317"/>
      <c r="D35" s="3269"/>
      <c r="E35" s="3269"/>
      <c r="F35" s="3270"/>
      <c r="G35" s="3259"/>
      <c r="H35" s="3260"/>
      <c r="I35" s="3261"/>
      <c r="J35" s="3262"/>
      <c r="K35" s="1998"/>
      <c r="L35" s="3293"/>
      <c r="M35" s="3283" t="s">
        <v>1090</v>
      </c>
      <c r="N35" s="3283"/>
      <c r="O35" s="3294"/>
      <c r="P35" s="3294"/>
      <c r="Q35" s="1671">
        <f>IF(Etiqueta_final="-","-",Etiqueta_final+O35)</f>
        <v>-30</v>
      </c>
      <c r="R35" s="1892"/>
      <c r="S35" s="2904"/>
      <c r="T35" s="2905"/>
      <c r="U35" s="2978"/>
      <c r="V35" s="3296">
        <f>IF(Raza=0,0,VLOOKUP(Raza,Tabla_Razas,35,FALSE))</f>
        <v>0</v>
      </c>
      <c r="W35" s="3296"/>
      <c r="X35" s="3296"/>
      <c r="Y35" s="3296"/>
      <c r="Z35" s="3296"/>
      <c r="AA35" s="3379">
        <f>IF(Raza=0,0,VLOOKUP(Raza,Tabla_Razas,53,FALSE))</f>
        <v>0</v>
      </c>
      <c r="AB35" s="3379"/>
      <c r="AC35" s="3379"/>
      <c r="AD35" s="3379"/>
      <c r="AE35" s="3379"/>
      <c r="AF35" s="3292" t="str">
        <f>IF(SUM(Tablas!P236:P261)=0,"",IF(Tablas!P236+Tablas!P237+Tablas!P242+Tablas!P243+Tablas!P239+Tablas!P238+Tablas!P241&gt;0,"+10 Daño base ataques elemento afín",""))</f>
        <v/>
      </c>
      <c r="AG35" s="3292"/>
      <c r="AH35" s="3292"/>
      <c r="AI35" s="3292"/>
      <c r="AJ35" s="3292"/>
      <c r="AK35" s="2971">
        <f>IF($G$45=0,0,VLOOKUP($G$45,Ventajas_Legados,13,FALSE))</f>
        <v>0</v>
      </c>
      <c r="AL35" s="1910"/>
      <c r="AM35" s="2962" t="s">
        <v>8550</v>
      </c>
      <c r="AN35" s="2970" t="str">
        <f>IF(Raza="Criatura","$AO$36","Legados_de_Sangre")</f>
        <v>Legados_de_Sangre</v>
      </c>
      <c r="AO35" s="2970"/>
      <c r="AP35" s="2970"/>
    </row>
    <row r="36" spans="1:51" ht="12" customHeight="1" thickBot="1" x14ac:dyDescent="0.25">
      <c r="A36" s="45"/>
      <c r="B36" s="2569"/>
      <c r="C36" s="3317"/>
      <c r="D36" s="3269"/>
      <c r="E36" s="3269"/>
      <c r="F36" s="3270"/>
      <c r="G36" s="3259"/>
      <c r="H36" s="3260"/>
      <c r="I36" s="3261"/>
      <c r="J36" s="3262"/>
      <c r="K36" s="1998"/>
      <c r="L36" s="3367" t="s">
        <v>1744</v>
      </c>
      <c r="M36" s="3305" t="s">
        <v>1745</v>
      </c>
      <c r="N36" s="3305"/>
      <c r="O36" s="3286">
        <f>IF(Combate!C15=0,0,VLOOKUP(Combate!C15,Tablas!$D$613:$Q$620,3))</f>
        <v>0</v>
      </c>
      <c r="P36" s="3286"/>
      <c r="Q36" s="1670">
        <f>IF(Advertir_final="-","-",Advertir_final+O36)</f>
        <v>-30</v>
      </c>
      <c r="R36" s="1892"/>
      <c r="S36" s="2904"/>
      <c r="T36" s="2905"/>
      <c r="U36" s="2978"/>
      <c r="V36" s="3287" t="s">
        <v>9166</v>
      </c>
      <c r="W36" s="3288"/>
      <c r="X36" s="3288"/>
      <c r="Y36" s="3288"/>
      <c r="Z36" s="3288"/>
      <c r="AA36" s="3288"/>
      <c r="AB36" s="3288"/>
      <c r="AC36" s="3288"/>
      <c r="AD36" s="3288"/>
      <c r="AE36" s="3289" t="str">
        <f>IF(Nephilim=0,"",IF(VLOOKUP(Nephilim,Tabla_Razas,20,FALSE)=0,"",VLOOKUP(Nephilim,Tabla_Razas,20,FALSE)))</f>
        <v/>
      </c>
      <c r="AF36" s="3290"/>
      <c r="AG36" s="3291"/>
      <c r="AH36" s="3374" t="str">
        <f>IF(Nephilim=0,"",IF(VLOOKUP(Nephilim,Tabla_Razas,23,FALSE)=0,"",VLOOKUP(Nephilim,Tabla_Razas,23,FALSE)))</f>
        <v/>
      </c>
      <c r="AI36" s="3290"/>
      <c r="AJ36" s="3375"/>
      <c r="AK36" s="2971">
        <f>IF($G$41=0,0,VLOOKUP($G$41,Ventajas_Legados,7,FALSE))</f>
        <v>0</v>
      </c>
      <c r="AL36" s="1910"/>
      <c r="AM36" s="2962" t="s">
        <v>8551</v>
      </c>
      <c r="AN36" s="2970" t="b">
        <f>ISNUMBER(SEARCH("Don",$C32&amp;$C33&amp;$C34&amp;$C35&amp;$C36&amp;$C37&amp;$C38&amp;$C39))</f>
        <v>0</v>
      </c>
      <c r="AO36" s="2970" t="s">
        <v>9313</v>
      </c>
      <c r="AP36" s="2970"/>
    </row>
    <row r="37" spans="1:51" ht="12" customHeight="1" x14ac:dyDescent="0.2">
      <c r="A37" s="45"/>
      <c r="B37" s="2569"/>
      <c r="C37" s="3317"/>
      <c r="D37" s="3269"/>
      <c r="E37" s="3269"/>
      <c r="F37" s="3270"/>
      <c r="G37" s="3259"/>
      <c r="H37" s="3260"/>
      <c r="I37" s="3261"/>
      <c r="J37" s="3262"/>
      <c r="K37" s="1998"/>
      <c r="L37" s="3293"/>
      <c r="M37" s="3283" t="s">
        <v>1746</v>
      </c>
      <c r="N37" s="3283"/>
      <c r="O37" s="3295">
        <f>IF(Combate!C15=0,0,VLOOKUP(Combate!C15,Tablas!$D$613:$Q$620,3))</f>
        <v>0</v>
      </c>
      <c r="P37" s="3295"/>
      <c r="Q37" s="1671">
        <f>IF(Buscar_final="-","-",Buscar_final+O37)</f>
        <v>-30</v>
      </c>
      <c r="R37" s="1892"/>
      <c r="S37" s="2904"/>
      <c r="T37" s="2905"/>
      <c r="U37" s="2978"/>
      <c r="V37" s="3301" t="str">
        <f>IF(Nephilim=0,"",IF(VLOOKUP(Nephilim,Tabla_Razas,26,FALSE)=0,"",VLOOKUP(Nephilim,Tabla_Razas,26,FALSE)))</f>
        <v/>
      </c>
      <c r="W37" s="3302"/>
      <c r="X37" s="3303"/>
      <c r="Y37" s="3304" t="str">
        <f>IF(Nephilim=0,"",IF(VLOOKUP(Nephilim,Tabla_Razas,29,FALSE)=0,"",VLOOKUP(Nephilim,Tabla_Razas,29,FALSE)))</f>
        <v/>
      </c>
      <c r="Z37" s="3302"/>
      <c r="AA37" s="3303"/>
      <c r="AB37" s="3304" t="str">
        <f>IF(Nephilim=0,"",IF(VLOOKUP(Nephilim,Tabla_Razas,32,FALSE)=0,"",VLOOKUP(Nephilim,Tabla_Razas,32,FALSE)))</f>
        <v/>
      </c>
      <c r="AC37" s="3302"/>
      <c r="AD37" s="3303"/>
      <c r="AE37" s="3298" t="str">
        <f>IF(Nephilim=0,"",IF(VLOOKUP(Nephilim,Tabla_Razas,35,FALSE)=0,"",VLOOKUP(Nephilim,Tabla_Razas,35,FALSE)))</f>
        <v/>
      </c>
      <c r="AF37" s="3299"/>
      <c r="AG37" s="3377"/>
      <c r="AH37" s="3298" t="str">
        <f>IF(Nephilim=0,"",IF(VLOOKUP(Nephilim,Tabla_Razas,38,FALSE)=0,"",VLOOKUP(Nephilim,Tabla_Razas,38,FALSE)))</f>
        <v/>
      </c>
      <c r="AI37" s="3299"/>
      <c r="AJ37" s="3300"/>
      <c r="AK37" s="2971">
        <f>IF($G$41=0,0,VLOOKUP($G$41,Ventajas_Legados,10,FALSE))</f>
        <v>0</v>
      </c>
      <c r="AL37" s="1910"/>
      <c r="AM37" s="2962" t="s">
        <v>8552</v>
      </c>
      <c r="AN37" s="2970" t="b">
        <f>ISNUMBER(SEARCH("psiquica",$C32&amp;$C33&amp;$C34&amp;$C35&amp;$C36&amp;$C37&amp;$C38&amp;$C39))</f>
        <v>0</v>
      </c>
      <c r="AO37" s="2970" t="s">
        <v>9314</v>
      </c>
      <c r="AP37" s="2970"/>
    </row>
    <row r="38" spans="1:51" ht="12" customHeight="1" thickBot="1" x14ac:dyDescent="0.25">
      <c r="A38" s="45"/>
      <c r="B38" s="1585"/>
      <c r="C38" s="3317"/>
      <c r="D38" s="3269"/>
      <c r="E38" s="3269"/>
      <c r="F38" s="3270"/>
      <c r="G38" s="3259"/>
      <c r="H38" s="3260"/>
      <c r="I38" s="3261"/>
      <c r="J38" s="3262"/>
      <c r="K38" s="1998"/>
      <c r="L38" s="3368"/>
      <c r="M38" s="3376" t="s">
        <v>1747</v>
      </c>
      <c r="N38" s="3376"/>
      <c r="O38" s="3306"/>
      <c r="P38" s="3306"/>
      <c r="Q38" s="1672">
        <f>IF(Rastrear_final="-","-",Rastrear_final+O38)</f>
        <v>-30</v>
      </c>
      <c r="R38" s="1892"/>
      <c r="S38" s="2904"/>
      <c r="T38" s="2905"/>
      <c r="U38" s="2978"/>
      <c r="V38" s="3278" t="str">
        <f>IF(Nephilim=0,"",IF(VLOOKUP(Nephilim,Tabla_Razas,41,FALSE)=0,"",VLOOKUP(Nephilim,Tabla_Razas,41,FALSE)))</f>
        <v/>
      </c>
      <c r="W38" s="3279"/>
      <c r="X38" s="3280"/>
      <c r="Y38" s="3281" t="str">
        <f>IF(Nephilim=0,"",IF(VLOOKUP(Nephilim,Tabla_Razas,44,FALSE)=0,"",VLOOKUP(Nephilim,Tabla_Razas,44,FALSE)))</f>
        <v/>
      </c>
      <c r="Z38" s="3279"/>
      <c r="AA38" s="3280"/>
      <c r="AB38" s="3281" t="str">
        <f>IF(Nephilim="","",IF(VLOOKUP(Nephilim,Tabla_Razas,47,FALSE)=0,"",VLOOKUP(Nephilim,Tabla_Razas,47,FALSE)))</f>
        <v/>
      </c>
      <c r="AC38" s="3279"/>
      <c r="AD38" s="3280"/>
      <c r="AE38" s="3281" t="str">
        <f>IF(Nephilim=0,"",IF(VLOOKUP(Nephilim,Tabla_Razas,50,FALSE)=0,"",VLOOKUP(Nephilim,Tabla_Razas,50,FALSE)))</f>
        <v/>
      </c>
      <c r="AF38" s="3279"/>
      <c r="AG38" s="3280"/>
      <c r="AH38" s="3281" t="str">
        <f>IF(Nephilim=0,"",IF(VLOOKUP(Nephilim,Tabla_Razas,53,FALSE)=0,"",VLOOKUP(Nephilim,Tabla_Razas,53,FALSE)))</f>
        <v/>
      </c>
      <c r="AI38" s="3279"/>
      <c r="AJ38" s="3282"/>
      <c r="AK38" s="2105"/>
      <c r="AL38" s="1910"/>
      <c r="AM38" s="2962" t="s">
        <v>8553</v>
      </c>
      <c r="AN38" s="2970" t="b">
        <f>AND($AN$37,$AN$36)</f>
        <v>0</v>
      </c>
      <c r="AO38" s="2970"/>
      <c r="AP38" s="2970"/>
    </row>
    <row r="39" spans="1:51" ht="12" customHeight="1" x14ac:dyDescent="0.2">
      <c r="A39" s="45"/>
      <c r="B39" s="1585"/>
      <c r="C39" s="3317"/>
      <c r="D39" s="3269"/>
      <c r="E39" s="3269"/>
      <c r="F39" s="3270"/>
      <c r="G39" s="3259"/>
      <c r="H39" s="3260"/>
      <c r="I39" s="3261"/>
      <c r="J39" s="3262"/>
      <c r="K39" s="1998"/>
      <c r="L39" s="3293" t="s">
        <v>1748</v>
      </c>
      <c r="M39" s="3283" t="s">
        <v>1749</v>
      </c>
      <c r="N39" s="3283"/>
      <c r="O39" s="3295"/>
      <c r="P39" s="3295"/>
      <c r="Q39" s="1671">
        <f>IF(Animales_final="-","-",Animales_final+O39)</f>
        <v>-30</v>
      </c>
      <c r="R39" s="1892"/>
      <c r="S39" s="2904"/>
      <c r="T39" s="2905"/>
      <c r="U39" s="2978"/>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62"/>
      <c r="AN39" s="2970"/>
      <c r="AO39" s="2970"/>
      <c r="AP39" s="2970"/>
    </row>
    <row r="40" spans="1:51" ht="12" customHeight="1" x14ac:dyDescent="0.2">
      <c r="A40" s="45"/>
      <c r="B40" s="1585"/>
      <c r="C40" s="3372"/>
      <c r="D40" s="3267"/>
      <c r="E40" s="3267"/>
      <c r="F40" s="3268"/>
      <c r="G40" s="3314"/>
      <c r="H40" s="3315"/>
      <c r="I40" s="3315"/>
      <c r="J40" s="3316"/>
      <c r="K40" s="1998"/>
      <c r="L40" s="3293"/>
      <c r="M40" s="3283" t="s">
        <v>1750</v>
      </c>
      <c r="N40" s="3283"/>
      <c r="O40" s="3295"/>
      <c r="P40" s="3295"/>
      <c r="Q40" s="1671" t="str">
        <f>IF(Ciencia_final="-","-",Ciencia_final+O40)</f>
        <v>-</v>
      </c>
      <c r="R40" s="1892"/>
      <c r="S40" s="2904"/>
      <c r="T40" s="2905"/>
      <c r="U40" s="2978"/>
      <c r="V40" s="3273" t="s">
        <v>1752</v>
      </c>
      <c r="W40" s="3274"/>
      <c r="X40" s="3274"/>
      <c r="Y40" s="3274"/>
      <c r="Z40" s="3274"/>
      <c r="AA40" s="3274"/>
      <c r="AB40" s="3274"/>
      <c r="AC40" s="3274"/>
      <c r="AD40" s="3274"/>
      <c r="AE40" s="3274"/>
      <c r="AF40" s="3274"/>
      <c r="AG40" s="3275"/>
      <c r="AH40" s="3276" t="s">
        <v>1684</v>
      </c>
      <c r="AI40" s="3277"/>
      <c r="AJ40" s="2880">
        <f>IF(ISNUMBER(SUM(AJ42:AJ69)+AJ70),SUM(AJ42:AJ69)+AJ70,0)</f>
        <v>0</v>
      </c>
      <c r="AK40" s="2961"/>
      <c r="AL40" s="1910"/>
      <c r="AM40" s="2962"/>
      <c r="AN40" s="2970"/>
      <c r="AO40" s="2970"/>
      <c r="AP40" s="2973"/>
    </row>
    <row r="41" spans="1:51" ht="12" customHeight="1" x14ac:dyDescent="0.2">
      <c r="A41" s="45"/>
      <c r="B41" s="1585"/>
      <c r="C41" s="3317"/>
      <c r="D41" s="3269"/>
      <c r="E41" s="3269"/>
      <c r="F41" s="3269"/>
      <c r="G41" s="3321"/>
      <c r="H41" s="3322"/>
      <c r="I41" s="3322"/>
      <c r="J41" s="3323"/>
      <c r="K41" s="1998"/>
      <c r="L41" s="3293"/>
      <c r="M41" s="3283" t="s">
        <v>3126</v>
      </c>
      <c r="N41" s="3283"/>
      <c r="O41" s="3295"/>
      <c r="P41" s="3295"/>
      <c r="Q41" s="1671">
        <f>IF(Ley_final="-","-",Ley_final+O41)</f>
        <v>-30</v>
      </c>
      <c r="R41" s="1892"/>
      <c r="S41" s="2906"/>
      <c r="T41" s="2905"/>
      <c r="U41" s="2978"/>
      <c r="V41" s="3327" t="s">
        <v>10519</v>
      </c>
      <c r="W41" s="3327"/>
      <c r="X41" s="3327"/>
      <c r="Y41" s="3327"/>
      <c r="Z41" s="3327"/>
      <c r="AA41" s="3328"/>
      <c r="AB41" s="3263" t="s">
        <v>1755</v>
      </c>
      <c r="AC41" s="3264"/>
      <c r="AD41" s="3264"/>
      <c r="AE41" s="3265"/>
      <c r="AF41" s="3264" t="s">
        <v>9461</v>
      </c>
      <c r="AG41" s="3264"/>
      <c r="AH41" s="3266"/>
      <c r="AI41" s="2879" t="s">
        <v>1688</v>
      </c>
      <c r="AJ41" s="2727" t="s">
        <v>1689</v>
      </c>
      <c r="AK41" s="2961"/>
      <c r="AL41" s="1910"/>
      <c r="AM41" s="2962" t="s">
        <v>10517</v>
      </c>
      <c r="AN41" s="2970"/>
      <c r="AO41" s="2970" t="s">
        <v>10518</v>
      </c>
      <c r="AP41" s="2963"/>
    </row>
    <row r="42" spans="1:51" ht="12" customHeight="1" x14ac:dyDescent="0.2">
      <c r="A42" s="45"/>
      <c r="B42" s="1585"/>
      <c r="C42" s="3317"/>
      <c r="D42" s="3269"/>
      <c r="E42" s="3269"/>
      <c r="F42" s="3269"/>
      <c r="G42" s="3321"/>
      <c r="H42" s="3322"/>
      <c r="I42" s="3322"/>
      <c r="J42" s="3323"/>
      <c r="K42" s="1998"/>
      <c r="L42" s="3293"/>
      <c r="M42" s="3283" t="s">
        <v>1751</v>
      </c>
      <c r="N42" s="3283"/>
      <c r="O42" s="3295"/>
      <c r="P42" s="3295"/>
      <c r="Q42" s="1671">
        <f>IF(Herbolaria_final="-","-",Herbolaria_final+O42)</f>
        <v>-30</v>
      </c>
      <c r="R42" s="1892"/>
      <c r="S42" s="2906">
        <f>IF(V42="",MAX($S$41:S41)+1,0)</f>
        <v>1</v>
      </c>
      <c r="T42" s="2905">
        <f>IF(V42="",0,MAX($T$41:T41)+1)</f>
        <v>0</v>
      </c>
      <c r="U42" s="2979">
        <f>IF(V42="",Tablas!A1,V42&amp;1)</f>
        <v>1</v>
      </c>
      <c r="V42" s="3284"/>
      <c r="W42" s="3285"/>
      <c r="X42" s="3285"/>
      <c r="Y42" s="3285"/>
      <c r="Z42" s="3285"/>
      <c r="AA42" s="3285"/>
      <c r="AB42" s="3257"/>
      <c r="AC42" s="3258"/>
      <c r="AD42" s="3258"/>
      <c r="AE42" s="3258"/>
      <c r="AF42" s="3267"/>
      <c r="AG42" s="3267"/>
      <c r="AH42" s="3268"/>
      <c r="AI42" s="2704" t="str">
        <f t="shared" ref="AI42:AI69" si="7">IF(AB42="","",VLOOKUP(AB42&amp;IF(AF42="",""," "&amp;AF42),Tabla_PodCriatura,2,FALSE))</f>
        <v/>
      </c>
      <c r="AJ42" s="274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1" t="str">
        <f>SUBSTITUTE(IF(AB42="","",VLOOKUP(AB42,Tabla_Listas_PodHabMonstruo,3,FALSE)),".","")</f>
        <v/>
      </c>
      <c r="AL42" s="1910"/>
      <c r="AM42" s="2962" t="str">
        <f>AB42&amp;IF(AF42="",""," "&amp;AF42)</f>
        <v/>
      </c>
      <c r="AN42" s="2970"/>
      <c r="AO42" s="1803">
        <f>COUNTIF($AB$41:AB41,AB42&amp;"*")</f>
        <v>1</v>
      </c>
      <c r="AP42" s="2963"/>
      <c r="AQ42" s="2962" t="s">
        <v>8546</v>
      </c>
      <c r="AS42" s="2962" t="s">
        <v>8546</v>
      </c>
    </row>
    <row r="43" spans="1:51" ht="12" customHeight="1" x14ac:dyDescent="0.2">
      <c r="A43" s="45"/>
      <c r="B43" s="1585"/>
      <c r="C43" s="3317"/>
      <c r="D43" s="3269"/>
      <c r="E43" s="3269"/>
      <c r="F43" s="3269"/>
      <c r="G43" s="3318"/>
      <c r="H43" s="3319"/>
      <c r="I43" s="3319"/>
      <c r="J43" s="3320"/>
      <c r="K43" s="1998"/>
      <c r="L43" s="3293"/>
      <c r="M43" s="3283" t="s">
        <v>1753</v>
      </c>
      <c r="N43" s="3283"/>
      <c r="O43" s="3295"/>
      <c r="P43" s="3295"/>
      <c r="Q43" s="1671" t="str">
        <f>IF(Historia_final="-","-",Historia_final+O43)</f>
        <v>-</v>
      </c>
      <c r="R43" s="1892"/>
      <c r="S43" s="2906">
        <f>IF(V43="",MAX($S$41:S42)+1,0)</f>
        <v>2</v>
      </c>
      <c r="T43" s="2905">
        <f>IF(V43="",0,MAX($T$41:T42)+1)</f>
        <v>0</v>
      </c>
      <c r="U43" s="2979">
        <f>IF(V43="",Tablas!A2,IF(COUNTIF(V$42:V42,V43)&gt;0,V43&amp;COUNTIF(V$42:V42,V43)+1,V43&amp;1))</f>
        <v>2</v>
      </c>
      <c r="V43" s="3271"/>
      <c r="W43" s="3272"/>
      <c r="X43" s="3272"/>
      <c r="Y43" s="3272"/>
      <c r="Z43" s="3272"/>
      <c r="AA43" s="3272"/>
      <c r="AB43" s="3247"/>
      <c r="AC43" s="3248"/>
      <c r="AD43" s="3248"/>
      <c r="AE43" s="3248"/>
      <c r="AF43" s="3245"/>
      <c r="AG43" s="3245"/>
      <c r="AH43" s="3246"/>
      <c r="AI43" s="2705" t="str">
        <f t="shared" si="7"/>
        <v/>
      </c>
      <c r="AJ43" s="274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1" t="str">
        <f>SUBSTITUTE(IF(AB43="","",VLOOKUP(AB43,Tabla_Listas_PodHabMonstruo,3,FALSE)),".","")</f>
        <v/>
      </c>
      <c r="AL43" s="1910"/>
      <c r="AM43" s="2962" t="str">
        <f t="shared" ref="AM43:AM69" si="8">AB43&amp;IF(AF43="",""," "&amp;AF43)</f>
        <v/>
      </c>
      <c r="AN43" s="2970"/>
      <c r="AO43" s="1803">
        <f>COUNTIF($AB$41:AB42,AB43&amp;"*")</f>
        <v>1</v>
      </c>
      <c r="AP43" s="2963"/>
      <c r="AQ43" s="2964" t="str">
        <f>IF(A48="","",VLOOKUP(A48,Tablas!$E$491:$J$557,6,FALSE))</f>
        <v/>
      </c>
      <c r="AS43" s="2964" t="str">
        <f>IF(C48="","",VLOOKUP(C48,Tablas!$E$491:$J$557,6,FALSE))</f>
        <v/>
      </c>
    </row>
    <row r="44" spans="1:51" ht="12" customHeight="1" x14ac:dyDescent="0.2">
      <c r="A44" s="45"/>
      <c r="B44" s="1585"/>
      <c r="C44" s="3317"/>
      <c r="D44" s="3269"/>
      <c r="E44" s="3269"/>
      <c r="F44" s="3269"/>
      <c r="G44" s="3314"/>
      <c r="H44" s="3315"/>
      <c r="I44" s="3315"/>
      <c r="J44" s="3316"/>
      <c r="K44" s="1887"/>
      <c r="L44" s="3293"/>
      <c r="M44" s="3283" t="s">
        <v>1091</v>
      </c>
      <c r="N44" s="3283"/>
      <c r="O44" s="3295"/>
      <c r="P44" s="3295"/>
      <c r="Q44" s="1671">
        <f>IF(Tactica_final="-","-",Tactica_final+O44)</f>
        <v>-30</v>
      </c>
      <c r="R44" s="1892"/>
      <c r="S44" s="2906">
        <f>IF(V44="",MAX($S$41:S43)+1,0)</f>
        <v>3</v>
      </c>
      <c r="T44" s="2905">
        <f>IF(V44="",0,MAX($T$41:T43)+1)</f>
        <v>0</v>
      </c>
      <c r="U44" s="2979">
        <f>IF(V44="",Tablas!A3,IF(COUNTIF(V$42:V43,V44)&gt;0,V44&amp;COUNTIF(V$42:V43,V44)+1,V44&amp;1))</f>
        <v>3</v>
      </c>
      <c r="V44" s="3271"/>
      <c r="W44" s="3272"/>
      <c r="X44" s="3272"/>
      <c r="Y44" s="3272"/>
      <c r="Z44" s="3272"/>
      <c r="AA44" s="3272"/>
      <c r="AB44" s="3247"/>
      <c r="AC44" s="3248"/>
      <c r="AD44" s="3248"/>
      <c r="AE44" s="3248"/>
      <c r="AF44" s="3269"/>
      <c r="AG44" s="3269"/>
      <c r="AH44" s="3270"/>
      <c r="AI44" s="2705" t="str">
        <f t="shared" si="7"/>
        <v/>
      </c>
      <c r="AJ44" s="274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1" t="str">
        <f>SUBSTITUTE(IF(AB44="","",VLOOKUP(AB44,Tabla_Listas_PodHabMonstruo,3,FALSE)),".","")</f>
        <v/>
      </c>
      <c r="AL44" s="1910"/>
      <c r="AM44" s="2962" t="str">
        <f t="shared" si="8"/>
        <v/>
      </c>
      <c r="AN44" s="2970"/>
      <c r="AO44" s="1803">
        <f>COUNTIF($AB$41:AB43,AB44&amp;"*")</f>
        <v>1</v>
      </c>
      <c r="AP44" s="2970"/>
      <c r="AQ44" s="2964" t="str">
        <f>IF(A49="","",VLOOKUP(A49,Tablas!$E$491:$J$557,6,FALSE))</f>
        <v/>
      </c>
      <c r="AS44" s="2964" t="str">
        <f>IF(C49="","",VLOOKUP(C49,Tablas!$E$491:$J$557,6,FALSE))</f>
        <v/>
      </c>
      <c r="AY44" s="3110"/>
    </row>
    <row r="45" spans="1:51" ht="12" customHeight="1" x14ac:dyDescent="0.2">
      <c r="A45" s="45"/>
      <c r="B45" s="2569"/>
      <c r="C45" s="3317"/>
      <c r="D45" s="3269"/>
      <c r="E45" s="3269"/>
      <c r="F45" s="3269"/>
      <c r="G45" s="3311"/>
      <c r="H45" s="3312"/>
      <c r="I45" s="3312"/>
      <c r="J45" s="3313"/>
      <c r="K45" s="1887"/>
      <c r="L45" s="3293"/>
      <c r="M45" s="3283" t="s">
        <v>1756</v>
      </c>
      <c r="N45" s="3283"/>
      <c r="O45" s="3295"/>
      <c r="P45" s="3295"/>
      <c r="Q45" s="1671" t="str">
        <f>IF(Medicina_final="-","-",Medicina_final+O45)</f>
        <v>-</v>
      </c>
      <c r="R45" s="1892"/>
      <c r="S45" s="2906">
        <f>IF(V45="",MAX($S$41:S44)+1,0)</f>
        <v>4</v>
      </c>
      <c r="T45" s="2905">
        <f>IF(V45="",0,MAX($T$41:T44)+1)</f>
        <v>0</v>
      </c>
      <c r="U45" s="2979">
        <f>IF(V45="",Tablas!A4,IF(COUNTIF(V$42:V44,V45)&gt;0,V45&amp;COUNTIF(V$42:V44,V45)+1,V45&amp;1))</f>
        <v>4</v>
      </c>
      <c r="V45" s="3271"/>
      <c r="W45" s="3272"/>
      <c r="X45" s="3272"/>
      <c r="Y45" s="3272"/>
      <c r="Z45" s="3272"/>
      <c r="AA45" s="3272"/>
      <c r="AB45" s="3247"/>
      <c r="AC45" s="3248"/>
      <c r="AD45" s="3248"/>
      <c r="AE45" s="3248"/>
      <c r="AF45" s="3245"/>
      <c r="AG45" s="3245"/>
      <c r="AH45" s="3246"/>
      <c r="AI45" s="2705" t="str">
        <f t="shared" si="7"/>
        <v/>
      </c>
      <c r="AJ45" s="274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1" t="str">
        <f t="shared" ref="AK45:AK69" si="9">IF(AB45="","",VLOOKUP(AB45,Tabla_Listas_PodHabMonstruo,3,FALSE))</f>
        <v/>
      </c>
      <c r="AL45" s="1910"/>
      <c r="AM45" s="2962" t="str">
        <f t="shared" si="8"/>
        <v/>
      </c>
      <c r="AN45" s="2970"/>
      <c r="AO45" s="1803">
        <f>COUNTIF($AB$41:AB44,AB45&amp;"*")</f>
        <v>1</v>
      </c>
      <c r="AP45" s="2970"/>
      <c r="AS45" s="2964" t="str">
        <f>IF(C50="","",VLOOKUP(C50,Tablas!$E$491:$J$557,6,FALSE))</f>
        <v/>
      </c>
      <c r="AY45" s="3110"/>
    </row>
    <row r="46" spans="1:51" ht="12" customHeight="1" x14ac:dyDescent="0.2">
      <c r="A46" s="45"/>
      <c r="B46" s="2569"/>
      <c r="C46" s="3370"/>
      <c r="D46" s="3371"/>
      <c r="E46" s="3371"/>
      <c r="F46" s="3371"/>
      <c r="G46" s="3311"/>
      <c r="H46" s="3312"/>
      <c r="I46" s="3312"/>
      <c r="J46" s="3313"/>
      <c r="K46" s="1887"/>
      <c r="L46" s="3293"/>
      <c r="M46" s="3283" t="s">
        <v>1757</v>
      </c>
      <c r="N46" s="3283"/>
      <c r="O46" s="3295"/>
      <c r="P46" s="3295"/>
      <c r="Q46" s="1671">
        <f>IF(Memorizar_final="-","-",Memorizar_final+O46)</f>
        <v>-30</v>
      </c>
      <c r="R46" s="1892"/>
      <c r="S46" s="2906">
        <f>IF(V46="",MAX($S$41:S45)+1,0)</f>
        <v>5</v>
      </c>
      <c r="T46" s="2905">
        <f>IF(V46="",0,MAX($T$41:T45)+1)</f>
        <v>0</v>
      </c>
      <c r="U46" s="2979">
        <f>IF(V46="",Tablas!A5,IF(COUNTIF(V$42:V45,V46)&gt;0,V46&amp;COUNTIF(V$42:V45,V46)+1,V46&amp;1))</f>
        <v>5</v>
      </c>
      <c r="V46" s="3271"/>
      <c r="W46" s="3272"/>
      <c r="X46" s="3272"/>
      <c r="Y46" s="3272"/>
      <c r="Z46" s="3272"/>
      <c r="AA46" s="3272"/>
      <c r="AB46" s="3247"/>
      <c r="AC46" s="3248"/>
      <c r="AD46" s="3248"/>
      <c r="AE46" s="3248"/>
      <c r="AF46" s="3245"/>
      <c r="AG46" s="3245"/>
      <c r="AH46" s="3246"/>
      <c r="AI46" s="2705" t="str">
        <f t="shared" si="7"/>
        <v/>
      </c>
      <c r="AJ46" s="274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1" t="str">
        <f t="shared" si="9"/>
        <v/>
      </c>
      <c r="AL46" s="1910"/>
      <c r="AM46" s="2962" t="str">
        <f t="shared" si="8"/>
        <v/>
      </c>
      <c r="AN46" s="2970"/>
      <c r="AO46" s="2970"/>
      <c r="AP46" s="2970"/>
    </row>
    <row r="47" spans="1:51" ht="12" customHeight="1" x14ac:dyDescent="0.2">
      <c r="A47" s="45"/>
      <c r="B47" s="2569"/>
      <c r="C47" s="3307" t="s">
        <v>3434</v>
      </c>
      <c r="D47" s="3308"/>
      <c r="E47" s="3308"/>
      <c r="F47" s="3308"/>
      <c r="G47" s="3311"/>
      <c r="H47" s="3312"/>
      <c r="I47" s="3312"/>
      <c r="J47" s="3313"/>
      <c r="K47" s="1885"/>
      <c r="L47" s="3293"/>
      <c r="M47" s="3283" t="s">
        <v>1758</v>
      </c>
      <c r="N47" s="3283"/>
      <c r="O47" s="3295"/>
      <c r="P47" s="3295"/>
      <c r="Q47" s="1671">
        <f>IF(Navegación_final="-","-",Navegación_final+O47)</f>
        <v>-30</v>
      </c>
      <c r="R47" s="1892"/>
      <c r="S47" s="2906">
        <f>IF(V47="",MAX($S$41:S46)+1,0)</f>
        <v>6</v>
      </c>
      <c r="T47" s="2905">
        <f>IF(V47="",0,MAX($T$41:T46)+1)</f>
        <v>0</v>
      </c>
      <c r="U47" s="2979">
        <f>IF(V47="",Tablas!A6,IF(COUNTIF(V$42:V46,V47)&gt;0,V47&amp;COUNTIF(V$42:V46,V47)+1,V47&amp;1))</f>
        <v>6</v>
      </c>
      <c r="V47" s="3271"/>
      <c r="W47" s="3272"/>
      <c r="X47" s="3272"/>
      <c r="Y47" s="3272"/>
      <c r="Z47" s="3272"/>
      <c r="AA47" s="3272"/>
      <c r="AB47" s="3247"/>
      <c r="AC47" s="3248"/>
      <c r="AD47" s="3248"/>
      <c r="AE47" s="3248"/>
      <c r="AF47" s="3245"/>
      <c r="AG47" s="3245"/>
      <c r="AH47" s="3246"/>
      <c r="AI47" s="2705" t="str">
        <f t="shared" si="7"/>
        <v/>
      </c>
      <c r="AJ47" s="274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1" t="str">
        <f t="shared" si="9"/>
        <v/>
      </c>
      <c r="AL47" s="1910"/>
      <c r="AM47" s="2962" t="str">
        <f t="shared" si="8"/>
        <v/>
      </c>
      <c r="AN47" s="2974"/>
      <c r="AP47" s="2970"/>
    </row>
    <row r="48" spans="1:51" ht="12" customHeight="1" x14ac:dyDescent="0.2">
      <c r="A48" s="45"/>
      <c r="B48" s="2569"/>
      <c r="C48" s="3309"/>
      <c r="D48" s="3310"/>
      <c r="E48" s="3310"/>
      <c r="F48" s="3310"/>
      <c r="G48" s="3311"/>
      <c r="H48" s="3312"/>
      <c r="I48" s="3312"/>
      <c r="J48" s="3313"/>
      <c r="K48" s="1887"/>
      <c r="L48" s="3293"/>
      <c r="M48" s="3283" t="s">
        <v>1759</v>
      </c>
      <c r="N48" s="3283"/>
      <c r="O48" s="3295"/>
      <c r="P48" s="3295"/>
      <c r="Q48" s="1671">
        <f>IF(Ocultismo_final="-","-",Ocultismo_final+O48)</f>
        <v>-25</v>
      </c>
      <c r="R48" s="1892"/>
      <c r="S48" s="2906">
        <f>IF(V48="",MAX($S$41:S47)+1,0)</f>
        <v>7</v>
      </c>
      <c r="T48" s="2905">
        <f>IF(V48="",0,MAX($T$41:T47)+1)</f>
        <v>0</v>
      </c>
      <c r="U48" s="2979">
        <f>IF(V48="",Tablas!A7,IF(COUNTIF(V$42:V47,V48)&gt;0,V48&amp;COUNTIF(V$42:V47,V48)+1,V48&amp;1))</f>
        <v>7</v>
      </c>
      <c r="V48" s="3271"/>
      <c r="W48" s="3272"/>
      <c r="X48" s="3272"/>
      <c r="Y48" s="3272"/>
      <c r="Z48" s="3272"/>
      <c r="AA48" s="3272"/>
      <c r="AB48" s="3247"/>
      <c r="AC48" s="3248"/>
      <c r="AD48" s="3248"/>
      <c r="AE48" s="3248"/>
      <c r="AF48" s="3245"/>
      <c r="AG48" s="3245"/>
      <c r="AH48" s="3246"/>
      <c r="AI48" s="2705" t="str">
        <f t="shared" si="7"/>
        <v/>
      </c>
      <c r="AJ48" s="274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1" t="str">
        <f t="shared" si="9"/>
        <v/>
      </c>
      <c r="AL48" s="1910"/>
      <c r="AM48" s="2962" t="str">
        <f t="shared" si="8"/>
        <v/>
      </c>
      <c r="AN48" s="2974"/>
      <c r="AP48" s="2970"/>
    </row>
    <row r="49" spans="1:51" ht="12" customHeight="1" x14ac:dyDescent="0.2">
      <c r="A49" s="45"/>
      <c r="B49" s="2569"/>
      <c r="C49" s="3362"/>
      <c r="D49" s="3363"/>
      <c r="E49" s="3363"/>
      <c r="F49" s="3363"/>
      <c r="G49" s="3311"/>
      <c r="H49" s="3312"/>
      <c r="I49" s="3312"/>
      <c r="J49" s="3313"/>
      <c r="K49" s="1884"/>
      <c r="L49" s="3293"/>
      <c r="M49" s="3283" t="s">
        <v>1760</v>
      </c>
      <c r="N49" s="3283"/>
      <c r="O49" s="3295"/>
      <c r="P49" s="3295"/>
      <c r="Q49" s="1671" t="str">
        <f>IF(Tasación_final="-","-",Tasación_final+O49)</f>
        <v>-</v>
      </c>
      <c r="R49" s="1892"/>
      <c r="S49" s="2906">
        <f>IF(V49="",MAX($S$41:S48)+1,0)</f>
        <v>8</v>
      </c>
      <c r="T49" s="2905">
        <f>IF(V49="",0,MAX($T$41:T48)+1)</f>
        <v>0</v>
      </c>
      <c r="U49" s="2979">
        <f>IF(V49="",Tablas!A8,IF(COUNTIF(V$42:V48,V49)&gt;0,V49&amp;COUNTIF(V$42:V48,V49)+1,V49&amp;1))</f>
        <v>8</v>
      </c>
      <c r="V49" s="3271"/>
      <c r="W49" s="3272"/>
      <c r="X49" s="3272"/>
      <c r="Y49" s="3272"/>
      <c r="Z49" s="3272"/>
      <c r="AA49" s="3272"/>
      <c r="AB49" s="3247"/>
      <c r="AC49" s="3248"/>
      <c r="AD49" s="3248"/>
      <c r="AE49" s="3248"/>
      <c r="AF49" s="3245"/>
      <c r="AG49" s="3245"/>
      <c r="AH49" s="3246"/>
      <c r="AI49" s="2705" t="str">
        <f t="shared" si="7"/>
        <v/>
      </c>
      <c r="AJ49" s="274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1" t="str">
        <f t="shared" si="9"/>
        <v/>
      </c>
      <c r="AL49" s="1910"/>
      <c r="AM49" s="2962" t="str">
        <f t="shared" si="8"/>
        <v/>
      </c>
      <c r="AN49" s="2970"/>
      <c r="AP49" s="2970"/>
    </row>
    <row r="50" spans="1:51" ht="12" customHeight="1" thickBot="1" x14ac:dyDescent="0.25">
      <c r="A50" s="45"/>
      <c r="B50" s="2569"/>
      <c r="C50" s="3364"/>
      <c r="D50" s="3365"/>
      <c r="E50" s="3365"/>
      <c r="F50" s="3365"/>
      <c r="G50" s="3324"/>
      <c r="H50" s="3325"/>
      <c r="I50" s="3325"/>
      <c r="J50" s="3326"/>
      <c r="K50" s="1884"/>
      <c r="L50" s="3293"/>
      <c r="M50" s="3283" t="s">
        <v>1761</v>
      </c>
      <c r="N50" s="3283"/>
      <c r="O50" s="3295"/>
      <c r="P50" s="3295"/>
      <c r="Q50" s="1671" t="str">
        <f>IF(V.Mágica_final="-","-",V.Mágica_final+O50)</f>
        <v>-</v>
      </c>
      <c r="R50" s="1892"/>
      <c r="S50" s="2906">
        <f>IF(V50="",MAX($S$41:S49)+1,0)</f>
        <v>9</v>
      </c>
      <c r="T50" s="2905">
        <f>IF(V50="",0,MAX($T$41:T49)+1)</f>
        <v>0</v>
      </c>
      <c r="U50" s="2979">
        <f>IF(V50="",Tablas!A9,IF(COUNTIF(V$42:V49,V50)&gt;0,V50&amp;COUNTIF(V$42:V49,V50)+1,V50&amp;1))</f>
        <v>9</v>
      </c>
      <c r="V50" s="3271"/>
      <c r="W50" s="3272"/>
      <c r="X50" s="3272"/>
      <c r="Y50" s="3272"/>
      <c r="Z50" s="3272"/>
      <c r="AA50" s="3272"/>
      <c r="AB50" s="3247"/>
      <c r="AC50" s="3248"/>
      <c r="AD50" s="3248"/>
      <c r="AE50" s="3248"/>
      <c r="AF50" s="3245"/>
      <c r="AG50" s="3245"/>
      <c r="AH50" s="3246"/>
      <c r="AI50" s="2705" t="str">
        <f t="shared" si="7"/>
        <v/>
      </c>
      <c r="AJ50" s="274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1" t="str">
        <f t="shared" si="9"/>
        <v/>
      </c>
      <c r="AL50" s="1910"/>
      <c r="AM50" s="2962" t="str">
        <f t="shared" si="8"/>
        <v/>
      </c>
      <c r="AN50" s="2970"/>
      <c r="AP50" s="2970"/>
    </row>
    <row r="51" spans="1:51" ht="12" customHeight="1" x14ac:dyDescent="0.2">
      <c r="A51" s="45"/>
      <c r="B51" s="2569"/>
      <c r="C51" s="3357" t="str">
        <f>IF(COUNTIF(Principal!$AS$43:$AS$45,"Trasfondo")&gt;0,"PC exclusivos trasfondo","")</f>
        <v/>
      </c>
      <c r="D51" s="3357"/>
      <c r="E51" s="3357"/>
      <c r="F51" s="2517">
        <f>-Tablas!$F$234</f>
        <v>0</v>
      </c>
      <c r="G51" s="3358" t="str">
        <f>IF(AND(COUNTIF(Principal!$AS$43:$AS$45,"Don")&gt;0,COUNTIF(Principal!$AS$43:$AS$45,"Psiquicos")&gt;0),"PC exclusivos Don/Psíquicos",IF(COUNTIF(Principal!$AS$43:$AS$45,"Don")&gt;0,"PC exclusivos Don",IF(COUNTIF(Principal!$AS$43:$AS$45,"Psiquicos")&gt;0,"PC exclusivos Psíquica","")))</f>
        <v/>
      </c>
      <c r="H51" s="3359"/>
      <c r="I51" s="3359"/>
      <c r="J51" s="1999">
        <f>-Tablas!E234</f>
        <v>0</v>
      </c>
      <c r="K51" s="1884"/>
      <c r="L51" s="3367" t="s">
        <v>1762</v>
      </c>
      <c r="M51" s="3305" t="s">
        <v>1763</v>
      </c>
      <c r="N51" s="3305"/>
      <c r="O51" s="3286"/>
      <c r="P51" s="3286"/>
      <c r="Q51" s="1670">
        <f>IF(Frialdad_final="-","-",Frialdad_final+O51)</f>
        <v>-30</v>
      </c>
      <c r="R51" s="1892"/>
      <c r="S51" s="2906">
        <f>IF(V51="",MAX($S$41:S50)+1,0)</f>
        <v>10</v>
      </c>
      <c r="T51" s="2905">
        <f>IF(V51="",0,MAX($T$41:T50)+1)</f>
        <v>0</v>
      </c>
      <c r="U51" s="2979">
        <f>IF(V51="",Tablas!A10,IF(COUNTIF(V$42:V50,V51)&gt;0,V51&amp;COUNTIF(V$42:V50,V51)+1,V51&amp;1))</f>
        <v>10</v>
      </c>
      <c r="V51" s="3271"/>
      <c r="W51" s="3272"/>
      <c r="X51" s="3272"/>
      <c r="Y51" s="3272"/>
      <c r="Z51" s="3272"/>
      <c r="AA51" s="3272"/>
      <c r="AB51" s="3247"/>
      <c r="AC51" s="3248"/>
      <c r="AD51" s="3248"/>
      <c r="AE51" s="3248"/>
      <c r="AF51" s="3245"/>
      <c r="AG51" s="3245"/>
      <c r="AH51" s="3246"/>
      <c r="AI51" s="2705" t="str">
        <f t="shared" si="7"/>
        <v/>
      </c>
      <c r="AJ51" s="274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1" t="str">
        <f t="shared" si="9"/>
        <v/>
      </c>
      <c r="AL51" s="1910"/>
      <c r="AM51" s="2962" t="str">
        <f t="shared" si="8"/>
        <v/>
      </c>
      <c r="AN51" s="2970"/>
      <c r="AO51" s="2970"/>
      <c r="AP51" s="2970"/>
    </row>
    <row r="52" spans="1:51" ht="12" customHeight="1" x14ac:dyDescent="0.2">
      <c r="A52" s="45"/>
      <c r="B52" s="2569"/>
      <c r="C52" s="68"/>
      <c r="D52" s="68"/>
      <c r="E52" s="68"/>
      <c r="F52" s="68"/>
      <c r="G52" s="68"/>
      <c r="H52" s="68"/>
      <c r="I52" s="68"/>
      <c r="J52" s="68"/>
      <c r="K52" s="2311"/>
      <c r="L52" s="3293"/>
      <c r="M52" s="3283" t="s">
        <v>1764</v>
      </c>
      <c r="N52" s="3283"/>
      <c r="O52" s="3295">
        <f>Combate!$R$17</f>
        <v>0</v>
      </c>
      <c r="P52" s="3295"/>
      <c r="Q52" s="1671">
        <f>IF(P.Fuerza_final="-","-",P.Fuerza_final+O52)</f>
        <v>-30</v>
      </c>
      <c r="R52" s="1892"/>
      <c r="S52" s="2906">
        <f>IF(V52="",MAX($S$41:S51)+1,0)</f>
        <v>11</v>
      </c>
      <c r="T52" s="2905">
        <f>IF(V52="",0,MAX($T$41:T51)+1)</f>
        <v>0</v>
      </c>
      <c r="U52" s="2979">
        <f>IF(V52="",Tablas!A11,IF(COUNTIF(V$42:V51,V52)&gt;0,V52&amp;COUNTIF(V$42:V51,V52)+1,V52&amp;1))</f>
        <v>11</v>
      </c>
      <c r="V52" s="3271"/>
      <c r="W52" s="3272"/>
      <c r="X52" s="3272"/>
      <c r="Y52" s="3272"/>
      <c r="Z52" s="3272"/>
      <c r="AA52" s="3272"/>
      <c r="AB52" s="3247"/>
      <c r="AC52" s="3248"/>
      <c r="AD52" s="3248"/>
      <c r="AE52" s="3248"/>
      <c r="AF52" s="3245"/>
      <c r="AG52" s="3245"/>
      <c r="AH52" s="3246"/>
      <c r="AI52" s="2705" t="str">
        <f t="shared" si="7"/>
        <v/>
      </c>
      <c r="AJ52" s="274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1" t="str">
        <f t="shared" si="9"/>
        <v/>
      </c>
      <c r="AL52" s="1910"/>
      <c r="AM52" s="2962" t="str">
        <f t="shared" si="8"/>
        <v/>
      </c>
      <c r="AN52" s="2970"/>
      <c r="AO52" s="2970"/>
      <c r="AP52" s="2970"/>
    </row>
    <row r="53" spans="1:51" ht="12" customHeight="1" thickBot="1" x14ac:dyDescent="0.25">
      <c r="A53" s="45"/>
      <c r="B53" s="2569"/>
      <c r="C53" s="68"/>
      <c r="D53" s="68"/>
      <c r="E53" s="68"/>
      <c r="F53" s="68"/>
      <c r="G53" s="68"/>
      <c r="H53" s="68"/>
      <c r="I53" s="68"/>
      <c r="J53" s="68"/>
      <c r="K53" s="2311"/>
      <c r="L53" s="3368"/>
      <c r="M53" s="3376" t="s">
        <v>1767</v>
      </c>
      <c r="N53" s="3376"/>
      <c r="O53" s="3306"/>
      <c r="P53" s="3306"/>
      <c r="Q53" s="1672">
        <f>IF(Res.Dolor_final="-","-",Res.Dolor_final+O53)</f>
        <v>-30</v>
      </c>
      <c r="R53" s="1892"/>
      <c r="S53" s="2906">
        <f>IF(V53="",MAX($S$41:S52)+1,0)</f>
        <v>12</v>
      </c>
      <c r="T53" s="2905">
        <f>IF(V53="",0,MAX($T$41:T52)+1)</f>
        <v>0</v>
      </c>
      <c r="U53" s="2979">
        <f>IF(V53="",Tablas!A12,IF(COUNTIF(V$42:V52,V53)&gt;0,V53&amp;COUNTIF(V$42:V52,V53)+1,V53&amp;1))</f>
        <v>12</v>
      </c>
      <c r="V53" s="3271"/>
      <c r="W53" s="3272"/>
      <c r="X53" s="3272"/>
      <c r="Y53" s="3272"/>
      <c r="Z53" s="3272"/>
      <c r="AA53" s="3272"/>
      <c r="AB53" s="3247"/>
      <c r="AC53" s="3248"/>
      <c r="AD53" s="3248"/>
      <c r="AE53" s="3248"/>
      <c r="AF53" s="3245"/>
      <c r="AG53" s="3245"/>
      <c r="AH53" s="3246"/>
      <c r="AI53" s="2705" t="str">
        <f t="shared" si="7"/>
        <v/>
      </c>
      <c r="AJ53" s="274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1" t="str">
        <f t="shared" si="9"/>
        <v/>
      </c>
      <c r="AL53" s="1910"/>
      <c r="AM53" s="2962" t="str">
        <f t="shared" si="8"/>
        <v/>
      </c>
    </row>
    <row r="54" spans="1:51" ht="12" customHeight="1" thickBot="1" x14ac:dyDescent="0.25">
      <c r="A54" s="45"/>
      <c r="B54" s="2569"/>
      <c r="C54" s="3360" t="s">
        <v>1765</v>
      </c>
      <c r="D54" s="3216"/>
      <c r="E54" s="3216"/>
      <c r="F54" s="2748" t="s">
        <v>1677</v>
      </c>
      <c r="G54" s="2748" t="s">
        <v>1679</v>
      </c>
      <c r="H54" s="2748" t="s">
        <v>1766</v>
      </c>
      <c r="I54" s="2748" t="s">
        <v>1731</v>
      </c>
      <c r="J54" s="21" t="s">
        <v>1661</v>
      </c>
      <c r="K54" s="1884"/>
      <c r="L54" s="3293" t="s">
        <v>1770</v>
      </c>
      <c r="M54" s="3283" t="s">
        <v>1771</v>
      </c>
      <c r="N54" s="3283"/>
      <c r="O54" s="3295"/>
      <c r="P54" s="3295"/>
      <c r="Q54" s="1671">
        <f>IF(Cerrajería_final="-","-",Cerrajería_final+O54)</f>
        <v>-30</v>
      </c>
      <c r="R54" s="1892"/>
      <c r="S54" s="2906">
        <f>IF(V54="",MAX($S$41:S53)+1,0)</f>
        <v>13</v>
      </c>
      <c r="T54" s="2905">
        <f>IF(V54="",0,MAX($T$41:T53)+1)</f>
        <v>0</v>
      </c>
      <c r="U54" s="2979">
        <f>IF(V54="",Tablas!A13,IF(COUNTIF(V$42:V53,V54)&gt;0,V54&amp;COUNTIF(V$42:V53,V54)+1,V54&amp;1))</f>
        <v>13</v>
      </c>
      <c r="V54" s="3271"/>
      <c r="W54" s="3272"/>
      <c r="X54" s="3272"/>
      <c r="Y54" s="3272"/>
      <c r="Z54" s="3272"/>
      <c r="AA54" s="3272"/>
      <c r="AB54" s="3247"/>
      <c r="AC54" s="3248"/>
      <c r="AD54" s="3248"/>
      <c r="AE54" s="3248"/>
      <c r="AF54" s="3245"/>
      <c r="AG54" s="3245"/>
      <c r="AH54" s="3246"/>
      <c r="AI54" s="2705" t="str">
        <f t="shared" si="7"/>
        <v/>
      </c>
      <c r="AJ54" s="274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1" t="str">
        <f t="shared" si="9"/>
        <v/>
      </c>
      <c r="AL54" s="1910"/>
      <c r="AM54" s="2962" t="str">
        <f t="shared" si="8"/>
        <v/>
      </c>
    </row>
    <row r="55" spans="1:51" ht="12" customHeight="1" thickBot="1" x14ac:dyDescent="0.25">
      <c r="A55" s="45"/>
      <c r="B55" s="2569"/>
      <c r="C55" s="3360"/>
      <c r="D55" s="3361" t="s">
        <v>1768</v>
      </c>
      <c r="E55" s="3361"/>
      <c r="F55" s="2735">
        <f>IF(SUM(PDs!$X$5:$X$14)=0,20,25+(SUM(PDs!$X$5:$X$14)*5))</f>
        <v>30</v>
      </c>
      <c r="G55" s="2735" t="s">
        <v>1769</v>
      </c>
      <c r="H55" s="2735" t="s">
        <v>1769</v>
      </c>
      <c r="I55" s="113"/>
      <c r="J55" s="99">
        <f>F55+I55</f>
        <v>30</v>
      </c>
      <c r="K55" s="1884"/>
      <c r="L55" s="3293"/>
      <c r="M55" s="3283" t="s">
        <v>1773</v>
      </c>
      <c r="N55" s="3283"/>
      <c r="O55" s="3295"/>
      <c r="P55" s="3295"/>
      <c r="Q55" s="1671">
        <f>IF(Disfraz_final="-","-",Disfraz_final+O55)</f>
        <v>-30</v>
      </c>
      <c r="R55" s="1892"/>
      <c r="S55" s="2906">
        <f>IF(V55="",MAX($S$41:S54)+1,0)</f>
        <v>14</v>
      </c>
      <c r="T55" s="2905">
        <f>IF(V55="",0,MAX($T$41:T54)+1)</f>
        <v>0</v>
      </c>
      <c r="U55" s="2979">
        <f>IF(V55="",Tablas!A14,IF(COUNTIF(V$42:V54,V55)&gt;0,V55&amp;COUNTIF(V$42:V54,V55)+1,V55&amp;1))</f>
        <v>14</v>
      </c>
      <c r="V55" s="3271"/>
      <c r="W55" s="3272"/>
      <c r="X55" s="3272"/>
      <c r="Y55" s="3272"/>
      <c r="Z55" s="3272"/>
      <c r="AA55" s="3272"/>
      <c r="AB55" s="3247"/>
      <c r="AC55" s="3248"/>
      <c r="AD55" s="3248"/>
      <c r="AE55" s="3248"/>
      <c r="AF55" s="3245"/>
      <c r="AG55" s="3245"/>
      <c r="AH55" s="3246"/>
      <c r="AI55" s="2705" t="str">
        <f t="shared" si="7"/>
        <v/>
      </c>
      <c r="AJ55" s="274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1" t="str">
        <f t="shared" si="9"/>
        <v/>
      </c>
      <c r="AL55" s="1910"/>
      <c r="AM55" s="2962" t="str">
        <f t="shared" si="8"/>
        <v/>
      </c>
    </row>
    <row r="56" spans="1:51" ht="12" customHeight="1" thickBot="1" x14ac:dyDescent="0.25">
      <c r="A56" s="45"/>
      <c r="B56" s="2569"/>
      <c r="C56" s="3360"/>
      <c r="D56" s="3361" t="s">
        <v>1772</v>
      </c>
      <c r="E56" s="3361"/>
      <c r="F56" s="2735">
        <f>$F$55</f>
        <v>30</v>
      </c>
      <c r="G56" s="2735">
        <f>$H$12</f>
        <v>0</v>
      </c>
      <c r="H56" s="27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293"/>
      <c r="M56" s="3283" t="s">
        <v>1775</v>
      </c>
      <c r="N56" s="3283"/>
      <c r="O56" s="3295">
        <f>Combate!$R$17</f>
        <v>0</v>
      </c>
      <c r="P56" s="3295"/>
      <c r="Q56" s="1671">
        <f>IF(Ocultarse_final="-","-",Ocultarse_final+O56)</f>
        <v>-30</v>
      </c>
      <c r="R56" s="1892"/>
      <c r="S56" s="2906">
        <f>IF(V56="",MAX($S$41:S55)+1,0)</f>
        <v>15</v>
      </c>
      <c r="T56" s="2905">
        <f>IF(V56="",0,MAX($T$41:T55)+1)</f>
        <v>0</v>
      </c>
      <c r="U56" s="2979">
        <f>IF(V56="",Tablas!A15,IF(COUNTIF(V$42:V55,V56)&gt;0,V56&amp;COUNTIF(V$42:V55,V56)+1,V56&amp;1))</f>
        <v>15</v>
      </c>
      <c r="V56" s="3271"/>
      <c r="W56" s="3272"/>
      <c r="X56" s="3272"/>
      <c r="Y56" s="3272"/>
      <c r="Z56" s="3272"/>
      <c r="AA56" s="3272"/>
      <c r="AB56" s="3247"/>
      <c r="AC56" s="3248"/>
      <c r="AD56" s="3248"/>
      <c r="AE56" s="3248"/>
      <c r="AF56" s="3245"/>
      <c r="AG56" s="3245"/>
      <c r="AH56" s="3246"/>
      <c r="AI56" s="2705" t="str">
        <f t="shared" si="7"/>
        <v/>
      </c>
      <c r="AJ56" s="274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1" t="str">
        <f t="shared" si="9"/>
        <v/>
      </c>
      <c r="AL56" s="1910"/>
      <c r="AM56" s="2962" t="str">
        <f t="shared" si="8"/>
        <v/>
      </c>
    </row>
    <row r="57" spans="1:51" ht="12" customHeight="1" thickBot="1" x14ac:dyDescent="0.25">
      <c r="A57" s="45"/>
      <c r="B57" s="2569"/>
      <c r="C57" s="3360"/>
      <c r="D57" s="3361" t="s">
        <v>1774</v>
      </c>
      <c r="E57" s="3361"/>
      <c r="F57" s="2735">
        <f>$F$55</f>
        <v>30</v>
      </c>
      <c r="G57" s="2735">
        <f>$H$12</f>
        <v>0</v>
      </c>
      <c r="H57" s="27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293"/>
      <c r="M57" s="3283" t="s">
        <v>1777</v>
      </c>
      <c r="N57" s="3283"/>
      <c r="O57" s="3295"/>
      <c r="P57" s="3295"/>
      <c r="Q57" s="1671">
        <f>IF(Robo_final="-","-",Robo_final+O57)</f>
        <v>-30</v>
      </c>
      <c r="R57" s="1892"/>
      <c r="S57" s="2906">
        <f>IF(V57="",MAX($S$41:S56)+1,0)</f>
        <v>16</v>
      </c>
      <c r="T57" s="2905">
        <f>IF(V57="",0,MAX($T$41:T56)+1)</f>
        <v>0</v>
      </c>
      <c r="U57" s="2979">
        <f>IF(V57="",Tablas!A16,IF(COUNTIF(V$42:V56,V57)&gt;0,V57&amp;COUNTIF(V$42:V56,V57)+1,V57&amp;1))</f>
        <v>16</v>
      </c>
      <c r="V57" s="3271"/>
      <c r="W57" s="3272"/>
      <c r="X57" s="3272"/>
      <c r="Y57" s="3272"/>
      <c r="Z57" s="3272"/>
      <c r="AA57" s="3272"/>
      <c r="AB57" s="3247"/>
      <c r="AC57" s="3248"/>
      <c r="AD57" s="3248"/>
      <c r="AE57" s="3248"/>
      <c r="AF57" s="3245"/>
      <c r="AG57" s="3245"/>
      <c r="AH57" s="3246"/>
      <c r="AI57" s="2705" t="str">
        <f t="shared" si="7"/>
        <v/>
      </c>
      <c r="AJ57" s="274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1" t="str">
        <f t="shared" si="9"/>
        <v/>
      </c>
      <c r="AL57" s="1910"/>
      <c r="AM57" s="2962" t="str">
        <f t="shared" si="8"/>
        <v/>
      </c>
    </row>
    <row r="58" spans="1:51" ht="12" customHeight="1" thickBot="1" x14ac:dyDescent="0.25">
      <c r="A58" s="45"/>
      <c r="B58" s="2569"/>
      <c r="C58" s="3360"/>
      <c r="D58" s="3361" t="s">
        <v>1776</v>
      </c>
      <c r="E58" s="3361"/>
      <c r="F58" s="2735">
        <f>$F$55</f>
        <v>30</v>
      </c>
      <c r="G58" s="2735">
        <f>$H$12</f>
        <v>0</v>
      </c>
      <c r="H58" s="27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293"/>
      <c r="M58" s="3283" t="s">
        <v>1779</v>
      </c>
      <c r="N58" s="3283"/>
      <c r="O58" s="3295">
        <f>MIN(MAX(Combate!H17-Combate!H16+Principal!H25,Combate!H17),TRUNC(Combate!H17/2,0))+MAX(MIN(-20*IF(OR(Combate!C12=0,Combate!B12="Natural"),0,1)-20*IF(OR(Combate!C13=0,Combate!B13="Natural"),0,1)-20*IF(OR(Combate!C14=0,Combate!B14="Natural"),0,1)+20,0),-40)</f>
        <v>0</v>
      </c>
      <c r="P58" s="3295"/>
      <c r="Q58" s="1671">
        <f>IF(Sigilo_final="-","-",Sigilo_final+O58)</f>
        <v>-30</v>
      </c>
      <c r="R58" s="1892"/>
      <c r="S58" s="2906">
        <f>IF(V58="",MAX($S$41:S57)+1,0)</f>
        <v>17</v>
      </c>
      <c r="T58" s="2905">
        <f>IF(V58="",0,MAX($T$41:T57)+1)</f>
        <v>0</v>
      </c>
      <c r="U58" s="2979">
        <f>IF(V58="",Tablas!A17,IF(COUNTIF(V$42:V57,V58)&gt;0,V58&amp;COUNTIF(V$42:V57,V58)+1,V58&amp;1))</f>
        <v>17</v>
      </c>
      <c r="V58" s="3271"/>
      <c r="W58" s="3272"/>
      <c r="X58" s="3272"/>
      <c r="Y58" s="3272"/>
      <c r="Z58" s="3272"/>
      <c r="AA58" s="3272"/>
      <c r="AB58" s="3247"/>
      <c r="AC58" s="3248"/>
      <c r="AD58" s="3248"/>
      <c r="AE58" s="3248"/>
      <c r="AF58" s="3245"/>
      <c r="AG58" s="3245"/>
      <c r="AH58" s="3246"/>
      <c r="AI58" s="2705" t="str">
        <f t="shared" si="7"/>
        <v/>
      </c>
      <c r="AJ58" s="274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1" t="str">
        <f t="shared" si="9"/>
        <v/>
      </c>
      <c r="AL58" s="1910"/>
      <c r="AM58" s="2962" t="str">
        <f t="shared" si="8"/>
        <v/>
      </c>
    </row>
    <row r="59" spans="1:51" ht="12" customHeight="1" thickBot="1" x14ac:dyDescent="0.25">
      <c r="A59" s="45"/>
      <c r="B59" s="2569"/>
      <c r="C59" s="3360"/>
      <c r="D59" s="3361" t="s">
        <v>1778</v>
      </c>
      <c r="E59" s="3361"/>
      <c r="F59" s="2735">
        <f>$F$55</f>
        <v>30</v>
      </c>
      <c r="G59" s="2735">
        <f>H17</f>
        <v>0</v>
      </c>
      <c r="H59" s="27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293"/>
      <c r="M59" s="3283" t="s">
        <v>1781</v>
      </c>
      <c r="N59" s="3283"/>
      <c r="O59" s="3295"/>
      <c r="P59" s="3295"/>
      <c r="Q59" s="1671">
        <f>IF(Trampería_final="-","-",Trampería_final+O59)</f>
        <v>-30</v>
      </c>
      <c r="R59" s="1892"/>
      <c r="S59" s="2906">
        <f>IF(V59="",MAX($S$41:S58)+1,0)</f>
        <v>18</v>
      </c>
      <c r="T59" s="2905">
        <f>IF(V59="",0,MAX($T$41:T58)+1)</f>
        <v>0</v>
      </c>
      <c r="U59" s="2979">
        <f>IF(V59="",Tablas!A18,IF(COUNTIF(V$42:V58,V59)&gt;0,V59&amp;COUNTIF(V$42:V58,V59)+1,V59&amp;1))</f>
        <v>18</v>
      </c>
      <c r="V59" s="3271"/>
      <c r="W59" s="3272"/>
      <c r="X59" s="3272"/>
      <c r="Y59" s="3272"/>
      <c r="Z59" s="3272"/>
      <c r="AA59" s="3272"/>
      <c r="AB59" s="3247"/>
      <c r="AC59" s="3248"/>
      <c r="AD59" s="3248"/>
      <c r="AE59" s="3248"/>
      <c r="AF59" s="3245"/>
      <c r="AG59" s="3245"/>
      <c r="AH59" s="3246"/>
      <c r="AI59" s="2705" t="str">
        <f t="shared" si="7"/>
        <v/>
      </c>
      <c r="AJ59" s="274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1" t="str">
        <f t="shared" si="9"/>
        <v/>
      </c>
      <c r="AL59" s="1910"/>
      <c r="AM59" s="2962" t="str">
        <f t="shared" si="8"/>
        <v/>
      </c>
    </row>
    <row r="60" spans="1:51" ht="12" customHeight="1" thickBot="1" x14ac:dyDescent="0.25">
      <c r="A60" s="45"/>
      <c r="B60" s="2569"/>
      <c r="C60" s="3360"/>
      <c r="D60" s="3366" t="s">
        <v>1780</v>
      </c>
      <c r="E60" s="3366"/>
      <c r="F60" s="2735">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3">
        <f>SUM(F60:I60)+IF(CuerpodeVacío,20,0)+Tablas!$G$263*25+Tablas!$G$264*50+Tablas!$K$2329+Tablas!$S$1988+Tablas!$K$2329+'Tablas psiquica'!AH8</f>
        <v>30</v>
      </c>
      <c r="K60" s="1884"/>
      <c r="L60" s="3293"/>
      <c r="M60" s="3283" t="s">
        <v>1782</v>
      </c>
      <c r="N60" s="3283"/>
      <c r="O60" s="3295"/>
      <c r="P60" s="3295"/>
      <c r="Q60" s="1671">
        <f>IF(Venenos_final="-","-",Venenos_final+O60)</f>
        <v>-30</v>
      </c>
      <c r="R60" s="1892"/>
      <c r="S60" s="2906">
        <f>IF(V60="",MAX($S$41:S59)+1,0)</f>
        <v>19</v>
      </c>
      <c r="T60" s="2905">
        <f>IF(V60="",0,MAX($T$41:T59)+1)</f>
        <v>0</v>
      </c>
      <c r="U60" s="2979">
        <f>IF(V60="",Tablas!A19,IF(COUNTIF(V$42:V59,V60)&gt;0,V60&amp;COUNTIF(V$42:V59,V60)+1,V60&amp;1))</f>
        <v>19</v>
      </c>
      <c r="V60" s="3271"/>
      <c r="W60" s="3272"/>
      <c r="X60" s="3272"/>
      <c r="Y60" s="3272"/>
      <c r="Z60" s="3272"/>
      <c r="AA60" s="3272"/>
      <c r="AB60" s="3247"/>
      <c r="AC60" s="3248"/>
      <c r="AD60" s="3248"/>
      <c r="AE60" s="3248"/>
      <c r="AF60" s="3245"/>
      <c r="AG60" s="3245"/>
      <c r="AH60" s="3246"/>
      <c r="AI60" s="2705" t="str">
        <f t="shared" si="7"/>
        <v/>
      </c>
      <c r="AJ60" s="274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1" t="str">
        <f t="shared" si="9"/>
        <v/>
      </c>
      <c r="AL60" s="1910"/>
      <c r="AM60" s="2962" t="str">
        <f t="shared" si="8"/>
        <v/>
      </c>
    </row>
    <row r="61" spans="1:51" ht="12" customHeight="1" thickBot="1" x14ac:dyDescent="0.25">
      <c r="A61" s="45"/>
      <c r="B61" s="2569"/>
      <c r="C61" s="3360"/>
      <c r="D61" s="2734" t="s">
        <v>1691</v>
      </c>
      <c r="E61" s="3373"/>
      <c r="F61" s="3373"/>
      <c r="G61" s="3373"/>
      <c r="H61" s="3373"/>
      <c r="I61" s="3373"/>
      <c r="J61" s="3373"/>
      <c r="K61" s="1884"/>
      <c r="L61" s="3367" t="s">
        <v>1783</v>
      </c>
      <c r="M61" s="3305" t="s">
        <v>1784</v>
      </c>
      <c r="N61" s="3305"/>
      <c r="O61" s="3286"/>
      <c r="P61" s="3286"/>
      <c r="Q61" s="1670">
        <f>IF(Arte_final="-","-",Arte_final+O61)</f>
        <v>-30</v>
      </c>
      <c r="R61" s="1892"/>
      <c r="S61" s="2906">
        <f>IF(V61="",MAX($S$41:S60)+1,0)</f>
        <v>20</v>
      </c>
      <c r="T61" s="2905">
        <f>IF(V61="",0,MAX($T$41:T60)+1)</f>
        <v>0</v>
      </c>
      <c r="U61" s="2979">
        <f>IF(V61="",Tablas!A20,IF(COUNTIF(V$42:V60,V61)&gt;0,V61&amp;COUNTIF(V$42:V60,V61)+1,V61&amp;1))</f>
        <v>20</v>
      </c>
      <c r="V61" s="3271"/>
      <c r="W61" s="3272"/>
      <c r="X61" s="3272"/>
      <c r="Y61" s="3272"/>
      <c r="Z61" s="3272"/>
      <c r="AA61" s="3272"/>
      <c r="AB61" s="3247"/>
      <c r="AC61" s="3248"/>
      <c r="AD61" s="3248"/>
      <c r="AE61" s="3248"/>
      <c r="AF61" s="3245"/>
      <c r="AG61" s="3245"/>
      <c r="AH61" s="3246"/>
      <c r="AI61" s="2705" t="str">
        <f t="shared" si="7"/>
        <v/>
      </c>
      <c r="AJ61" s="274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1" t="str">
        <f t="shared" si="9"/>
        <v/>
      </c>
      <c r="AL61" s="1910"/>
      <c r="AM61" s="2962" t="str">
        <f t="shared" si="8"/>
        <v/>
      </c>
    </row>
    <row r="62" spans="1:51" ht="12" customHeight="1" thickBot="1" x14ac:dyDescent="0.25">
      <c r="A62" s="45"/>
      <c r="B62" s="2569"/>
      <c r="C62" s="3360"/>
      <c r="D62" s="56"/>
      <c r="E62" s="3373"/>
      <c r="F62" s="3373"/>
      <c r="G62" s="3373"/>
      <c r="H62" s="3373"/>
      <c r="I62" s="3373"/>
      <c r="J62" s="3373"/>
      <c r="K62" s="1884"/>
      <c r="L62" s="3293"/>
      <c r="M62" s="3283" t="s">
        <v>1785</v>
      </c>
      <c r="N62" s="3283"/>
      <c r="O62" s="3295">
        <f>Combate!$R$17</f>
        <v>0</v>
      </c>
      <c r="P62" s="3295"/>
      <c r="Q62" s="1671">
        <f>IF(Baile_final="-","-",Baile_final+O62)</f>
        <v>-10</v>
      </c>
      <c r="R62" s="1892"/>
      <c r="S62" s="2906">
        <f>IF(V62="",MAX($S$41:S61)+1,0)</f>
        <v>21</v>
      </c>
      <c r="T62" s="2905">
        <f>IF(V62="",0,MAX($T$41:T61)+1)</f>
        <v>0</v>
      </c>
      <c r="U62" s="2979">
        <f>IF(V62="",Tablas!A21,IF(COUNTIF(V$42:V61,V62)&gt;0,V62&amp;COUNTIF(V$42:V61,V62)+1,V62&amp;1))</f>
        <v>21</v>
      </c>
      <c r="V62" s="3271"/>
      <c r="W62" s="3272"/>
      <c r="X62" s="3272"/>
      <c r="Y62" s="3272"/>
      <c r="Z62" s="3272"/>
      <c r="AA62" s="3272"/>
      <c r="AB62" s="3247"/>
      <c r="AC62" s="3248"/>
      <c r="AD62" s="3248"/>
      <c r="AE62" s="3248"/>
      <c r="AF62" s="3245"/>
      <c r="AG62" s="3245"/>
      <c r="AH62" s="3246"/>
      <c r="AI62" s="2705" t="str">
        <f t="shared" si="7"/>
        <v/>
      </c>
      <c r="AJ62" s="274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1" t="str">
        <f t="shared" si="9"/>
        <v/>
      </c>
      <c r="AL62" s="1910"/>
      <c r="AM62" s="2962" t="str">
        <f t="shared" si="8"/>
        <v/>
      </c>
    </row>
    <row r="63" spans="1:51" ht="12" customHeight="1" thickBot="1" x14ac:dyDescent="0.25">
      <c r="A63" s="45"/>
      <c r="B63" s="2569"/>
      <c r="C63" s="3360"/>
      <c r="D63" s="3369"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69"/>
      <c r="F63" s="3369"/>
      <c r="G63" s="3369"/>
      <c r="H63" s="3369"/>
      <c r="I63" s="3369"/>
      <c r="J63" s="3369"/>
      <c r="K63" s="1884"/>
      <c r="L63" s="3293"/>
      <c r="M63" s="3283" t="s">
        <v>1786</v>
      </c>
      <c r="N63" s="3283"/>
      <c r="O63" s="3295"/>
      <c r="P63" s="3295"/>
      <c r="Q63" s="1671" t="str">
        <f>IF(Forja_final="-","-",Forja_final+O63)</f>
        <v>-</v>
      </c>
      <c r="R63" s="1892"/>
      <c r="S63" s="2906">
        <f>IF(V63="",MAX($S$41:S62)+1,0)</f>
        <v>22</v>
      </c>
      <c r="T63" s="2905">
        <f>IF(V63="",0,MAX($T$41:T62)+1)</f>
        <v>0</v>
      </c>
      <c r="U63" s="2979">
        <f>IF(V63="",Tablas!A22,IF(COUNTIF(V$42:V62,V63)&gt;0,V63&amp;COUNTIF(V$42:V62,V63)+1,V63&amp;1))</f>
        <v>22</v>
      </c>
      <c r="V63" s="3271"/>
      <c r="W63" s="3272"/>
      <c r="X63" s="3272"/>
      <c r="Y63" s="3272"/>
      <c r="Z63" s="3272"/>
      <c r="AA63" s="3272"/>
      <c r="AB63" s="3247"/>
      <c r="AC63" s="3248"/>
      <c r="AD63" s="3248"/>
      <c r="AE63" s="3248"/>
      <c r="AF63" s="3245"/>
      <c r="AG63" s="3245"/>
      <c r="AH63" s="3246"/>
      <c r="AI63" s="2705" t="str">
        <f t="shared" si="7"/>
        <v/>
      </c>
      <c r="AJ63" s="274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1" t="str">
        <f t="shared" si="9"/>
        <v/>
      </c>
      <c r="AL63" s="1910"/>
      <c r="AM63" s="2962" t="str">
        <f t="shared" si="8"/>
        <v/>
      </c>
      <c r="AW63" s="1985"/>
      <c r="AX63" s="1985"/>
      <c r="AY63" s="3110"/>
    </row>
    <row r="64" spans="1:51" ht="12" customHeight="1" x14ac:dyDescent="0.2">
      <c r="A64" s="45"/>
      <c r="B64" s="2569"/>
      <c r="C64" s="68"/>
      <c r="D64" s="68"/>
      <c r="E64" s="68"/>
      <c r="F64" s="68"/>
      <c r="G64" s="68"/>
      <c r="H64" s="68"/>
      <c r="I64" s="68"/>
      <c r="J64" s="68"/>
      <c r="K64" s="1884"/>
      <c r="L64" s="3293"/>
      <c r="M64" s="3283" t="s">
        <v>1085</v>
      </c>
      <c r="N64" s="3283"/>
      <c r="O64" s="3295"/>
      <c r="P64" s="3295"/>
      <c r="Q64" s="1671" t="str">
        <f>IF(Runas_final="-","-",Runas_final+O64)</f>
        <v>-</v>
      </c>
      <c r="R64" s="1892"/>
      <c r="S64" s="2906">
        <f>IF(V64="",MAX($S$41:S63)+1,0)</f>
        <v>23</v>
      </c>
      <c r="T64" s="2905">
        <f>IF(V64="",0,MAX($T$41:T63)+1)</f>
        <v>0</v>
      </c>
      <c r="U64" s="2979">
        <f>IF(V64="",Tablas!A23,IF(COUNTIF(V$42:V63,V64)&gt;0,V64&amp;COUNTIF(V$42:V63,V64)+1,V64&amp;1))</f>
        <v>23</v>
      </c>
      <c r="V64" s="3271"/>
      <c r="W64" s="3272"/>
      <c r="X64" s="3272"/>
      <c r="Y64" s="3272"/>
      <c r="Z64" s="3272"/>
      <c r="AA64" s="3272"/>
      <c r="AB64" s="3247"/>
      <c r="AC64" s="3248"/>
      <c r="AD64" s="3248"/>
      <c r="AE64" s="3248"/>
      <c r="AF64" s="3245"/>
      <c r="AG64" s="3245"/>
      <c r="AH64" s="3246"/>
      <c r="AI64" s="2705" t="str">
        <f t="shared" si="7"/>
        <v/>
      </c>
      <c r="AJ64" s="274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1" t="str">
        <f t="shared" si="9"/>
        <v/>
      </c>
      <c r="AL64" s="1910"/>
      <c r="AM64" s="2962" t="str">
        <f t="shared" si="8"/>
        <v/>
      </c>
      <c r="AW64" s="1985"/>
      <c r="AX64" s="1985"/>
      <c r="AY64" s="3110"/>
    </row>
    <row r="65" spans="1:59" ht="12" customHeight="1" thickBot="1" x14ac:dyDescent="0.25">
      <c r="A65" s="45"/>
      <c r="B65" s="2569"/>
      <c r="C65" s="68"/>
      <c r="D65" s="68"/>
      <c r="E65" s="68"/>
      <c r="F65" s="68"/>
      <c r="G65" s="68"/>
      <c r="H65" s="68"/>
      <c r="I65" s="68"/>
      <c r="J65" s="68"/>
      <c r="K65" s="1884"/>
      <c r="L65" s="3293"/>
      <c r="M65" s="3283" t="s">
        <v>1086</v>
      </c>
      <c r="N65" s="3283"/>
      <c r="O65" s="3295"/>
      <c r="P65" s="3295"/>
      <c r="Q65" s="1671" t="str">
        <f>IF(Alquimia_final="-","-",Alquimia_final+O65)</f>
        <v>-</v>
      </c>
      <c r="R65" s="1892"/>
      <c r="S65" s="2906">
        <f>IF(V65="",MAX($S$41:S64)+1,0)</f>
        <v>24</v>
      </c>
      <c r="T65" s="2905">
        <f>IF(V65="",0,MAX($T$41:T64)+1)</f>
        <v>0</v>
      </c>
      <c r="U65" s="2979">
        <f>IF(V65="",Tablas!A24,IF(COUNTIF(V$42:V64,V65)&gt;0,V65&amp;COUNTIF(V$42:V64,V65)+1,V65&amp;1))</f>
        <v>24</v>
      </c>
      <c r="V65" s="3271"/>
      <c r="W65" s="3272"/>
      <c r="X65" s="3272"/>
      <c r="Y65" s="3272"/>
      <c r="Z65" s="3272"/>
      <c r="AA65" s="3272"/>
      <c r="AB65" s="3247"/>
      <c r="AC65" s="3248"/>
      <c r="AD65" s="3248"/>
      <c r="AE65" s="3248"/>
      <c r="AF65" s="3245"/>
      <c r="AG65" s="3245"/>
      <c r="AH65" s="3246"/>
      <c r="AI65" s="2705" t="str">
        <f t="shared" si="7"/>
        <v/>
      </c>
      <c r="AJ65" s="274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1" t="str">
        <f t="shared" si="9"/>
        <v/>
      </c>
      <c r="AL65" s="1910"/>
      <c r="AM65" s="2962" t="str">
        <f t="shared" si="8"/>
        <v/>
      </c>
      <c r="AW65" s="1985"/>
      <c r="AX65" s="1985"/>
      <c r="AY65" s="3110"/>
      <c r="AZ65" s="2757"/>
      <c r="BA65" s="2434"/>
      <c r="BB65" s="2422"/>
      <c r="BC65" s="2422"/>
      <c r="BD65" s="116"/>
      <c r="BE65" s="116"/>
      <c r="BF65" s="116"/>
      <c r="BG65" s="116"/>
    </row>
    <row r="66" spans="1:59" ht="12" customHeight="1" thickBot="1" x14ac:dyDescent="0.25">
      <c r="A66" s="45"/>
      <c r="B66" s="2569"/>
      <c r="C66" s="3330" t="s">
        <v>1788</v>
      </c>
      <c r="D66" s="3330"/>
      <c r="E66" s="117">
        <f>IF(INT=0,0,VLOOKUP(INT,Tabla_Idiomas,2))</f>
        <v>0</v>
      </c>
      <c r="F66" s="68"/>
      <c r="G66" s="3331" t="s">
        <v>1789</v>
      </c>
      <c r="H66" s="3331"/>
      <c r="I66" s="3331"/>
      <c r="J66" s="3331"/>
      <c r="K66" s="1884"/>
      <c r="L66" s="3293"/>
      <c r="M66" s="3283" t="s">
        <v>1087</v>
      </c>
      <c r="N66" s="3283"/>
      <c r="O66" s="3295"/>
      <c r="P66" s="3295"/>
      <c r="Q66" s="1671" t="str">
        <f>IF(Animismo_final="-","-",Animismo_final+O66)</f>
        <v>-</v>
      </c>
      <c r="R66" s="1892"/>
      <c r="S66" s="2906">
        <f>IF(V66="",MAX($S$41:S65)+1,0)</f>
        <v>25</v>
      </c>
      <c r="T66" s="2905">
        <f>IF(V66="",0,MAX($T$41:T65)+1)</f>
        <v>0</v>
      </c>
      <c r="U66" s="2979">
        <f>IF(V66="",Tablas!A25,IF(COUNTIF(V$42:V65,V66)&gt;0,V66&amp;COUNTIF(V$42:V65,V66)+1,V66&amp;1))</f>
        <v>25</v>
      </c>
      <c r="V66" s="3271"/>
      <c r="W66" s="3272"/>
      <c r="X66" s="3272"/>
      <c r="Y66" s="3272"/>
      <c r="Z66" s="3272"/>
      <c r="AA66" s="3272"/>
      <c r="AB66" s="3247"/>
      <c r="AC66" s="3248"/>
      <c r="AD66" s="3248"/>
      <c r="AE66" s="3248"/>
      <c r="AF66" s="3245"/>
      <c r="AG66" s="3245"/>
      <c r="AH66" s="3246"/>
      <c r="AI66" s="2705" t="str">
        <f t="shared" si="7"/>
        <v/>
      </c>
      <c r="AJ66" s="274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1" t="str">
        <f t="shared" si="9"/>
        <v/>
      </c>
      <c r="AL66" s="1910"/>
      <c r="AM66" s="2962" t="str">
        <f t="shared" si="8"/>
        <v/>
      </c>
      <c r="AW66" s="1985"/>
      <c r="AX66" s="1985"/>
      <c r="AY66" s="3110"/>
      <c r="AZ66" s="2757"/>
      <c r="BA66" s="2434"/>
      <c r="BB66" s="2422"/>
      <c r="BC66" s="2422"/>
      <c r="BD66" s="116"/>
      <c r="BE66" s="116"/>
      <c r="BF66" s="116"/>
      <c r="BG66" s="116"/>
    </row>
    <row r="67" spans="1:59" ht="12" customHeight="1" thickBot="1" x14ac:dyDescent="0.25">
      <c r="A67" s="45"/>
      <c r="B67" s="2569"/>
      <c r="C67" s="93" t="s">
        <v>1677</v>
      </c>
      <c r="D67" s="3335"/>
      <c r="E67" s="3335"/>
      <c r="F67" s="68"/>
      <c r="G67" s="3336"/>
      <c r="H67" s="3336"/>
      <c r="I67" s="3336"/>
      <c r="J67" s="3336"/>
      <c r="K67" s="1884"/>
      <c r="L67" s="3293"/>
      <c r="M67" s="3283" t="s">
        <v>1787</v>
      </c>
      <c r="N67" s="3283"/>
      <c r="O67" s="3295"/>
      <c r="P67" s="3295"/>
      <c r="Q67" s="1671" t="str">
        <f>IF(Música_final="-","-",Música_final+O67)</f>
        <v>-</v>
      </c>
      <c r="R67" s="1892"/>
      <c r="S67" s="2906">
        <f>IF(V67="",MAX($S$41:S66)+1,0)</f>
        <v>26</v>
      </c>
      <c r="T67" s="2905">
        <f>IF(V67="",0,MAX($T$41:T66)+1)</f>
        <v>0</v>
      </c>
      <c r="U67" s="2979">
        <f>IF(V67="",Tablas!A26,IF(COUNTIF(V$42:V66,V67)&gt;0,V67&amp;COUNTIF(V$42:V66,V67)+1,V67&amp;1))</f>
        <v>26</v>
      </c>
      <c r="V67" s="3271"/>
      <c r="W67" s="3272"/>
      <c r="X67" s="3272"/>
      <c r="Y67" s="3272"/>
      <c r="Z67" s="3272"/>
      <c r="AA67" s="3272"/>
      <c r="AB67" s="3247"/>
      <c r="AC67" s="3248"/>
      <c r="AD67" s="3248"/>
      <c r="AE67" s="3248"/>
      <c r="AF67" s="3245"/>
      <c r="AG67" s="3245"/>
      <c r="AH67" s="3246"/>
      <c r="AI67" s="2705" t="str">
        <f t="shared" si="7"/>
        <v/>
      </c>
      <c r="AJ67" s="274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1" t="str">
        <f t="shared" si="9"/>
        <v/>
      </c>
      <c r="AL67" s="1910"/>
      <c r="AM67" s="2962" t="str">
        <f t="shared" si="8"/>
        <v/>
      </c>
      <c r="AW67" s="1985"/>
      <c r="AX67" s="1985"/>
      <c r="AY67" s="3110"/>
      <c r="AZ67" s="2757"/>
      <c r="BA67" s="2434"/>
      <c r="BB67" s="2422"/>
      <c r="BC67" s="2422"/>
      <c r="BD67" s="116"/>
      <c r="BE67" s="116"/>
      <c r="BF67" s="116"/>
      <c r="BG67" s="116"/>
    </row>
    <row r="68" spans="1:59" ht="12" customHeight="1" thickBot="1" x14ac:dyDescent="0.25">
      <c r="A68" s="45"/>
      <c r="B68" s="2569"/>
      <c r="C68" s="118" t="s">
        <v>1792</v>
      </c>
      <c r="D68" s="3334"/>
      <c r="E68" s="3334"/>
      <c r="F68" s="68"/>
      <c r="G68" s="3336"/>
      <c r="H68" s="3336"/>
      <c r="I68" s="3336"/>
      <c r="J68" s="3336"/>
      <c r="K68" s="1884"/>
      <c r="L68" s="3293"/>
      <c r="M68" s="3283" t="s">
        <v>1790</v>
      </c>
      <c r="N68" s="3283"/>
      <c r="O68" s="3295"/>
      <c r="P68" s="3295"/>
      <c r="Q68" s="1671">
        <f>IF(T.Manos_final="-","-",T.Manos_final+O68)</f>
        <v>-30</v>
      </c>
      <c r="R68" s="1892"/>
      <c r="S68" s="2906">
        <f>IF(V68="",MAX($S$41:S67)+1,0)</f>
        <v>27</v>
      </c>
      <c r="T68" s="2905">
        <f>IF(V68="",0,MAX($T$41:T67)+1)</f>
        <v>0</v>
      </c>
      <c r="U68" s="2979">
        <f>IF(V68="",Tablas!A27,IF(COUNTIF(V$42:V67,V68)&gt;0,V68&amp;COUNTIF(V$42:V67,V68)+1,V68&amp;1))</f>
        <v>27</v>
      </c>
      <c r="V68" s="3271"/>
      <c r="W68" s="3272"/>
      <c r="X68" s="3272"/>
      <c r="Y68" s="3272"/>
      <c r="Z68" s="3272"/>
      <c r="AA68" s="3272"/>
      <c r="AB68" s="3247"/>
      <c r="AC68" s="3248"/>
      <c r="AD68" s="3248"/>
      <c r="AE68" s="3248"/>
      <c r="AF68" s="3245"/>
      <c r="AG68" s="3245"/>
      <c r="AH68" s="3246"/>
      <c r="AI68" s="2705" t="str">
        <f t="shared" si="7"/>
        <v/>
      </c>
      <c r="AJ68" s="274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1" t="str">
        <f t="shared" si="9"/>
        <v/>
      </c>
      <c r="AL68" s="1910"/>
      <c r="AM68" s="2962" t="str">
        <f t="shared" si="8"/>
        <v/>
      </c>
      <c r="AW68" s="1985"/>
      <c r="AX68" s="1985"/>
      <c r="AY68" s="3110"/>
      <c r="AZ68" s="2757"/>
      <c r="BA68" s="2434"/>
      <c r="BB68" s="2422"/>
      <c r="BC68" s="2422"/>
      <c r="BD68" s="116"/>
      <c r="BE68" s="116"/>
      <c r="BF68" s="116"/>
      <c r="BG68" s="116"/>
    </row>
    <row r="69" spans="1:59" ht="12" customHeight="1" thickBot="1" x14ac:dyDescent="0.25">
      <c r="A69" s="45"/>
      <c r="B69" s="2569"/>
      <c r="C69" s="98" t="s">
        <v>1793</v>
      </c>
      <c r="D69" s="3334"/>
      <c r="E69" s="3334"/>
      <c r="F69" s="68"/>
      <c r="G69" s="3336"/>
      <c r="H69" s="3336"/>
      <c r="I69" s="3336"/>
      <c r="J69" s="3336"/>
      <c r="K69" s="1884"/>
      <c r="L69" s="3293"/>
      <c r="M69" s="3283" t="s">
        <v>8230</v>
      </c>
      <c r="N69" s="3283"/>
      <c r="O69" s="3295"/>
      <c r="P69" s="3295"/>
      <c r="Q69" s="1671" t="str">
        <f>IF(Caligrafíaritual_final="-","-",Caligrafíaritual_final+O69)</f>
        <v>-</v>
      </c>
      <c r="R69" s="1892"/>
      <c r="S69" s="2906">
        <f>IF(V69="",MAX($S$41:S68)+1,0)</f>
        <v>28</v>
      </c>
      <c r="T69" s="2905">
        <f>IF(V69="",0,MAX($T$41:T68)+1)</f>
        <v>0</v>
      </c>
      <c r="U69" s="2979">
        <f>IF(V69="",Tablas!A28,IF(COUNTIF(V$42:V68,V69)&gt;0,V69&amp;COUNTIF(V$42:V68,V69)+1,V69&amp;1))</f>
        <v>28</v>
      </c>
      <c r="V69" s="3345"/>
      <c r="W69" s="3346"/>
      <c r="X69" s="3346"/>
      <c r="Y69" s="3346"/>
      <c r="Z69" s="3346"/>
      <c r="AA69" s="3346"/>
      <c r="AB69" s="3251"/>
      <c r="AC69" s="3252"/>
      <c r="AD69" s="3252"/>
      <c r="AE69" s="3252"/>
      <c r="AF69" s="3249"/>
      <c r="AG69" s="3249"/>
      <c r="AH69" s="3250"/>
      <c r="AI69" s="2860" t="str">
        <f t="shared" si="7"/>
        <v/>
      </c>
      <c r="AJ69" s="274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1" t="str">
        <f t="shared" si="9"/>
        <v/>
      </c>
      <c r="AL69" s="1910"/>
      <c r="AM69" s="2962" t="str">
        <f t="shared" si="8"/>
        <v/>
      </c>
      <c r="AW69" s="1985"/>
      <c r="AX69" s="1985"/>
      <c r="AY69" s="3110"/>
      <c r="AZ69" s="2757"/>
      <c r="BA69" s="2434"/>
      <c r="BB69" s="2422"/>
      <c r="BC69" s="2422"/>
      <c r="BD69" s="116"/>
      <c r="BE69" s="116"/>
      <c r="BF69" s="116"/>
      <c r="BG69" s="116"/>
    </row>
    <row r="70" spans="1:59" ht="12" customHeight="1" thickBot="1" x14ac:dyDescent="0.25">
      <c r="A70" s="45"/>
      <c r="B70" s="2569"/>
      <c r="C70" s="98" t="s">
        <v>1794</v>
      </c>
      <c r="D70" s="3334"/>
      <c r="E70" s="3334"/>
      <c r="F70" s="68"/>
      <c r="G70" s="3336"/>
      <c r="H70" s="3336"/>
      <c r="I70" s="3336"/>
      <c r="J70" s="3336"/>
      <c r="K70" s="1888"/>
      <c r="L70" s="3293"/>
      <c r="M70" s="3283" t="s">
        <v>8231</v>
      </c>
      <c r="N70" s="3283"/>
      <c r="O70" s="3295"/>
      <c r="P70" s="3295"/>
      <c r="Q70" s="1671">
        <f>IF(Orfebrería_final="-","-",Orfebrería_final+O70)</f>
        <v>-30</v>
      </c>
      <c r="R70" s="2574"/>
      <c r="S70" s="2904"/>
      <c r="T70" s="2905"/>
      <c r="U70" s="2978"/>
      <c r="V70" s="3347"/>
      <c r="W70" s="3348"/>
      <c r="X70" s="3348"/>
      <c r="Y70" s="3348"/>
      <c r="Z70" s="3348"/>
      <c r="AA70" s="3348"/>
      <c r="AB70" s="3351"/>
      <c r="AC70" s="3352"/>
      <c r="AD70" s="3352"/>
      <c r="AE70" s="3352"/>
      <c r="AF70" s="3352"/>
      <c r="AG70" s="3352"/>
      <c r="AH70" s="3353"/>
      <c r="AI70" s="3343"/>
      <c r="AJ70" s="3341"/>
      <c r="AK70" s="2961"/>
      <c r="AL70" s="1910"/>
      <c r="AW70" s="1985"/>
      <c r="AX70" s="1985"/>
      <c r="AY70" s="3110"/>
      <c r="AZ70" s="2757"/>
      <c r="BA70" s="2434"/>
      <c r="BB70" s="2422"/>
      <c r="BC70" s="2422"/>
      <c r="BD70" s="116"/>
      <c r="BE70" s="116"/>
      <c r="BF70" s="116"/>
      <c r="BG70" s="116"/>
    </row>
    <row r="71" spans="1:59" ht="12" customHeight="1" thickBot="1" x14ac:dyDescent="0.25">
      <c r="A71" s="45"/>
      <c r="B71" s="2569"/>
      <c r="C71" s="98" t="s">
        <v>1795</v>
      </c>
      <c r="D71" s="3334"/>
      <c r="E71" s="3334"/>
      <c r="F71" s="68"/>
      <c r="G71" s="3336"/>
      <c r="H71" s="3336"/>
      <c r="I71" s="3336"/>
      <c r="J71" s="3336"/>
      <c r="K71" s="1888"/>
      <c r="L71" s="3293"/>
      <c r="M71" s="3283" t="s">
        <v>8232</v>
      </c>
      <c r="N71" s="3283"/>
      <c r="O71" s="3295"/>
      <c r="P71" s="3295"/>
      <c r="Q71" s="1671" t="str">
        <f>IF(Confección_final="-","-",Confección_final+O71)</f>
        <v>-</v>
      </c>
      <c r="R71" s="2574"/>
      <c r="S71" s="2904"/>
      <c r="T71" s="2905"/>
      <c r="U71" s="2978"/>
      <c r="V71" s="3349"/>
      <c r="W71" s="3350"/>
      <c r="X71" s="3350"/>
      <c r="Y71" s="3350"/>
      <c r="Z71" s="3350"/>
      <c r="AA71" s="3350"/>
      <c r="AB71" s="3354"/>
      <c r="AC71" s="3355"/>
      <c r="AD71" s="3355"/>
      <c r="AE71" s="3355"/>
      <c r="AF71" s="3355"/>
      <c r="AG71" s="3355"/>
      <c r="AH71" s="3356"/>
      <c r="AI71" s="3344"/>
      <c r="AJ71" s="3342"/>
      <c r="AK71" s="2961"/>
      <c r="AL71" s="1910"/>
      <c r="AW71" s="1985"/>
      <c r="AX71" s="1985"/>
      <c r="AY71" s="3110"/>
      <c r="AZ71" s="2757"/>
      <c r="BA71" s="2434"/>
      <c r="BB71" s="2422"/>
      <c r="BC71" s="2422"/>
      <c r="BD71" s="116"/>
      <c r="BE71" s="116"/>
      <c r="BF71" s="116"/>
      <c r="BG71" s="116"/>
    </row>
    <row r="72" spans="1:59" ht="12" customHeight="1" thickBot="1" x14ac:dyDescent="0.25">
      <c r="A72" s="45"/>
      <c r="B72" s="2569"/>
      <c r="C72" s="98" t="s">
        <v>1796</v>
      </c>
      <c r="D72" s="3334"/>
      <c r="E72" s="3334"/>
      <c r="F72" s="63"/>
      <c r="G72" s="3336"/>
      <c r="H72" s="3336"/>
      <c r="I72" s="3336"/>
      <c r="J72" s="3336"/>
      <c r="K72" s="1884"/>
      <c r="L72" s="3368"/>
      <c r="M72" s="3338" t="s">
        <v>8233</v>
      </c>
      <c r="N72" s="3338"/>
      <c r="O72" s="3306"/>
      <c r="P72" s="3306"/>
      <c r="Q72" s="1672" t="str">
        <f>IF(Conf.marionetas_final="-","-",Conf.marionetas_final+O72)</f>
        <v>-</v>
      </c>
      <c r="R72" s="1892"/>
      <c r="S72" s="2904"/>
      <c r="T72" s="2905"/>
      <c r="U72" s="2978"/>
      <c r="V72" s="3340" t="str">
        <f>IF(SUM(AJ42:AJ69)&gt;PDs!Y5/2,"Exceso de PDs en Poderes","")</f>
        <v/>
      </c>
      <c r="W72" s="3340"/>
      <c r="X72" s="3340"/>
      <c r="Y72" s="3340"/>
      <c r="Z72" s="3340"/>
      <c r="AA72" s="3340"/>
      <c r="AB72" s="3340"/>
      <c r="AC72" s="3340"/>
      <c r="AD72" s="3340"/>
      <c r="AE72" s="3340"/>
      <c r="AF72" s="3340"/>
      <c r="AG72" s="3340"/>
      <c r="AH72" s="3340"/>
      <c r="AI72" s="3340"/>
      <c r="AJ72" s="3340"/>
      <c r="AK72" s="2961"/>
      <c r="AL72" s="1910"/>
      <c r="AW72" s="1985"/>
      <c r="AX72" s="1985"/>
      <c r="AY72" s="3110"/>
      <c r="AZ72" s="2757"/>
      <c r="BA72" s="2434"/>
      <c r="BB72" s="2422"/>
      <c r="BC72" s="2422"/>
      <c r="BD72" s="116"/>
      <c r="BE72" s="116"/>
      <c r="BF72" s="116"/>
      <c r="BG72" s="116"/>
    </row>
    <row r="73" spans="1:59" ht="12" customHeight="1" x14ac:dyDescent="0.2">
      <c r="A73" s="45"/>
      <c r="B73" s="2569"/>
      <c r="C73" s="98" t="s">
        <v>1797</v>
      </c>
      <c r="D73" s="3334"/>
      <c r="E73" s="3334"/>
      <c r="F73" s="63"/>
      <c r="G73" s="3337" t="s">
        <v>1798</v>
      </c>
      <c r="H73" s="3337"/>
      <c r="I73" s="3337"/>
      <c r="J73" s="2308">
        <f>IF(TipoDeCriatura="Natural",IF(AB14&gt;19,9,IF(AB14&gt;14,6,IF(AB14&gt;9,3,0))),"")</f>
        <v>3</v>
      </c>
      <c r="K73" s="1884"/>
      <c r="L73" s="3293" t="s">
        <v>1791</v>
      </c>
      <c r="M73" s="3283" t="str">
        <f>IF(PDs!E177="","-",PDs!E177)</f>
        <v>-</v>
      </c>
      <c r="N73" s="3283"/>
      <c r="O73" s="3295"/>
      <c r="P73" s="3295"/>
      <c r="Q73" s="1671" t="str">
        <f>IF(PDs!AA177="-","-",PDs!AA177+O73)</f>
        <v>-</v>
      </c>
      <c r="R73" s="1892"/>
      <c r="S73" s="2904"/>
      <c r="T73" s="2905"/>
      <c r="U73" s="2978"/>
      <c r="V73" s="68"/>
      <c r="W73" s="68"/>
      <c r="X73" s="68"/>
      <c r="Y73" s="68"/>
      <c r="Z73" s="68"/>
      <c r="AA73" s="68"/>
      <c r="AB73" s="68"/>
      <c r="AC73" s="68"/>
      <c r="AD73" s="68"/>
      <c r="AE73" s="68"/>
      <c r="AF73" s="68"/>
      <c r="AG73" s="68"/>
      <c r="AH73" s="68"/>
      <c r="AI73" s="68"/>
      <c r="AJ73" s="68"/>
      <c r="AK73" s="2961"/>
      <c r="AL73" s="1910"/>
      <c r="AW73" s="1985"/>
      <c r="AX73" s="1985"/>
      <c r="AY73" s="3110"/>
      <c r="AZ73" s="2757"/>
      <c r="BA73" s="2434"/>
      <c r="BB73" s="2422"/>
      <c r="BC73" s="2422"/>
      <c r="BD73" s="116"/>
      <c r="BE73" s="116"/>
      <c r="BF73" s="116"/>
      <c r="BG73" s="116"/>
    </row>
    <row r="74" spans="1:59" ht="12" customHeight="1" thickBot="1" x14ac:dyDescent="0.25">
      <c r="A74" s="45"/>
      <c r="B74" s="2569"/>
      <c r="C74" s="98" t="s">
        <v>1799</v>
      </c>
      <c r="D74" s="3334"/>
      <c r="E74" s="3334"/>
      <c r="F74" s="63"/>
      <c r="G74" s="3492" t="s">
        <v>9163</v>
      </c>
      <c r="H74" s="3492"/>
      <c r="I74" s="3492"/>
      <c r="J74" s="24"/>
      <c r="K74" s="1884"/>
      <c r="L74" s="3293"/>
      <c r="M74" s="3283" t="str">
        <f>IF(PDs!E178="","-",PDs!E178)</f>
        <v>-</v>
      </c>
      <c r="N74" s="3283"/>
      <c r="O74" s="3295"/>
      <c r="P74" s="3295"/>
      <c r="Q74" s="1671" t="str">
        <f>IF(PDs!AA178="-","-",PDs!AA178+O74)</f>
        <v>-</v>
      </c>
      <c r="R74" s="1892"/>
      <c r="S74" s="2904"/>
      <c r="T74" s="2905"/>
      <c r="U74" s="2978"/>
      <c r="V74" s="68"/>
      <c r="W74" s="68"/>
      <c r="X74" s="68"/>
      <c r="Y74" s="68"/>
      <c r="Z74" s="68"/>
      <c r="AA74" s="68"/>
      <c r="AB74" s="68"/>
      <c r="AC74" s="68"/>
      <c r="AD74" s="68"/>
      <c r="AE74" s="68"/>
      <c r="AF74" s="68"/>
      <c r="AG74" s="68"/>
      <c r="AH74" s="68"/>
      <c r="AI74" s="68"/>
      <c r="AJ74" s="68"/>
      <c r="AK74" s="2961"/>
      <c r="AL74" s="1910"/>
    </row>
    <row r="75" spans="1:59" ht="12" customHeight="1" x14ac:dyDescent="0.2">
      <c r="A75" s="45"/>
      <c r="B75" s="2569"/>
      <c r="C75" s="98" t="s">
        <v>1800</v>
      </c>
      <c r="D75" s="3334"/>
      <c r="E75" s="3334"/>
      <c r="F75" s="63"/>
      <c r="G75" s="63"/>
      <c r="H75" s="63"/>
      <c r="I75" s="63"/>
      <c r="J75" s="63"/>
      <c r="K75" s="1884"/>
      <c r="L75" s="3293"/>
      <c r="M75" s="3283" t="str">
        <f>IF(PDs!E179="","-",PDs!E179)</f>
        <v>-</v>
      </c>
      <c r="N75" s="3283"/>
      <c r="O75" s="3295"/>
      <c r="P75" s="3295"/>
      <c r="Q75" s="1671" t="str">
        <f>IF(PDs!AA179="-","-",PDs!AA179+O75)</f>
        <v>-</v>
      </c>
      <c r="R75" s="1892"/>
      <c r="S75" s="2904"/>
      <c r="T75" s="2905"/>
      <c r="U75" s="2978"/>
      <c r="V75" s="68"/>
      <c r="W75" s="68"/>
      <c r="X75" s="68"/>
      <c r="Y75" s="68"/>
      <c r="Z75" s="68"/>
      <c r="AA75" s="68"/>
      <c r="AB75" s="68"/>
      <c r="AC75" s="68"/>
      <c r="AD75" s="68"/>
      <c r="AE75" s="68"/>
      <c r="AF75" s="68"/>
      <c r="AG75" s="68"/>
      <c r="AH75" s="68"/>
      <c r="AI75" s="68"/>
      <c r="AJ75" s="68"/>
      <c r="AK75" s="2961"/>
      <c r="AL75" s="1910"/>
    </row>
    <row r="76" spans="1:59" ht="12" customHeight="1" thickBot="1" x14ac:dyDescent="0.25">
      <c r="A76" s="45"/>
      <c r="B76" s="2569"/>
      <c r="C76" s="121" t="s">
        <v>1801</v>
      </c>
      <c r="D76" s="3329"/>
      <c r="E76" s="3329"/>
      <c r="F76" s="63"/>
      <c r="G76" s="63"/>
      <c r="H76" s="63"/>
      <c r="I76" s="63"/>
      <c r="J76" s="63"/>
      <c r="K76" s="1884"/>
      <c r="L76" s="3293"/>
      <c r="M76" s="3283" t="str">
        <f>IF(PDs!E180="","-",PDs!E180)</f>
        <v>-</v>
      </c>
      <c r="N76" s="3283"/>
      <c r="O76" s="3295"/>
      <c r="P76" s="3295"/>
      <c r="Q76" s="1671" t="str">
        <f>IF(PDs!AA180="-","-",PDs!AA180+O76)</f>
        <v>-</v>
      </c>
      <c r="R76" s="1892"/>
      <c r="S76" s="2904"/>
      <c r="T76" s="2905"/>
      <c r="U76" s="2978"/>
      <c r="V76" s="68"/>
      <c r="W76" s="68"/>
      <c r="X76" s="68"/>
      <c r="Y76" s="68"/>
      <c r="Z76" s="68"/>
      <c r="AA76" s="68"/>
      <c r="AB76" s="68"/>
      <c r="AC76" s="68"/>
      <c r="AD76" s="68"/>
      <c r="AE76" s="68"/>
      <c r="AF76" s="68"/>
      <c r="AG76" s="68"/>
      <c r="AH76" s="68"/>
      <c r="AI76" s="68"/>
      <c r="AJ76" s="68"/>
      <c r="AK76" s="2961"/>
      <c r="AL76" s="1910"/>
    </row>
    <row r="77" spans="1:59" ht="12" customHeight="1" thickBot="1" x14ac:dyDescent="0.25">
      <c r="A77" s="45"/>
      <c r="B77" s="2569"/>
      <c r="C77" s="63"/>
      <c r="D77" s="63"/>
      <c r="E77" s="63"/>
      <c r="F77" s="63"/>
      <c r="G77" s="63"/>
      <c r="H77" s="63"/>
      <c r="I77" s="63"/>
      <c r="J77" s="63"/>
      <c r="K77" s="1884"/>
      <c r="L77" s="3332"/>
      <c r="M77" s="3333" t="str">
        <f>IF(PDs!E181="","-",PDs!E181)</f>
        <v>-</v>
      </c>
      <c r="N77" s="3333"/>
      <c r="O77" s="3339"/>
      <c r="P77" s="3339"/>
      <c r="Q77" s="1673" t="str">
        <f>IF(PDs!AA181="-","-",PDs!AA181+O77)</f>
        <v>-</v>
      </c>
      <c r="R77" s="1892"/>
      <c r="S77" s="2904"/>
      <c r="T77" s="2905"/>
      <c r="U77" s="2978"/>
      <c r="V77" s="68"/>
      <c r="W77" s="68"/>
      <c r="X77" s="68"/>
      <c r="Y77" s="68"/>
      <c r="Z77" s="68"/>
      <c r="AA77" s="68"/>
      <c r="AB77" s="68"/>
      <c r="AC77" s="68"/>
      <c r="AD77" s="68"/>
      <c r="AE77" s="68"/>
      <c r="AF77" s="68"/>
      <c r="AG77" s="68"/>
      <c r="AH77" s="68"/>
      <c r="AI77" s="68"/>
      <c r="AJ77" s="68"/>
      <c r="AK77" s="2961"/>
      <c r="AL77" s="1910"/>
    </row>
    <row r="78" spans="1:59" ht="12" customHeight="1" thickBot="1" x14ac:dyDescent="0.25">
      <c r="A78" s="45"/>
      <c r="B78" s="2572"/>
      <c r="C78" s="1894"/>
      <c r="D78" s="1894"/>
      <c r="E78" s="1894"/>
      <c r="F78" s="1894"/>
      <c r="G78" s="1894"/>
      <c r="H78" s="1894"/>
      <c r="I78" s="1894"/>
      <c r="J78" s="1894"/>
      <c r="K78" s="1895"/>
      <c r="L78" s="1894"/>
      <c r="M78" s="1894"/>
      <c r="N78" s="1894"/>
      <c r="O78" s="1894"/>
      <c r="P78" s="1894"/>
      <c r="Q78" s="1894"/>
      <c r="R78" s="1896"/>
      <c r="S78" s="2904"/>
      <c r="T78" s="2905"/>
      <c r="U78" s="2980"/>
      <c r="V78" s="2916"/>
      <c r="W78" s="2916"/>
      <c r="X78" s="2916"/>
      <c r="Y78" s="2916"/>
      <c r="Z78" s="2916"/>
      <c r="AA78" s="2916"/>
      <c r="AB78" s="2916"/>
      <c r="AC78" s="2916"/>
      <c r="AD78" s="2916"/>
      <c r="AE78" s="2916"/>
      <c r="AF78" s="2916"/>
      <c r="AG78" s="2916"/>
      <c r="AH78" s="2916"/>
      <c r="AI78" s="2916"/>
      <c r="AJ78" s="2916"/>
      <c r="AK78" s="2975"/>
      <c r="AL78" s="1910"/>
    </row>
    <row r="79" spans="1:59" ht="12" customHeight="1" x14ac:dyDescent="0.2">
      <c r="A79" s="45"/>
      <c r="B79" s="53"/>
      <c r="C79" s="46"/>
      <c r="D79" s="46"/>
      <c r="E79" s="46"/>
      <c r="F79" s="46"/>
      <c r="G79" s="46"/>
      <c r="H79" s="46"/>
      <c r="I79" s="46"/>
      <c r="J79" s="46"/>
      <c r="K79" s="1881"/>
      <c r="L79" s="46"/>
      <c r="M79" s="46"/>
      <c r="N79" s="46"/>
      <c r="O79" s="46"/>
      <c r="P79" s="46"/>
      <c r="Q79" s="46"/>
      <c r="R79" s="2683"/>
      <c r="S79" s="2906"/>
      <c r="T79" s="2905"/>
      <c r="U79" s="2976"/>
      <c r="V79" s="4"/>
      <c r="W79" s="4"/>
      <c r="X79" s="4"/>
      <c r="Y79" s="4"/>
      <c r="Z79" s="4"/>
      <c r="AA79" s="4"/>
      <c r="AB79" s="4"/>
      <c r="AC79" s="4"/>
      <c r="AD79" s="4"/>
      <c r="AE79" s="4"/>
      <c r="AF79" s="4"/>
      <c r="AG79" s="4"/>
      <c r="AH79" s="4"/>
      <c r="AI79" s="4"/>
      <c r="AJ79" s="4"/>
      <c r="AK79" s="1910"/>
      <c r="AL79" s="1910"/>
    </row>
  </sheetData>
  <sheetProtection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785" priority="57" stopIfTrue="1">
      <formula>NA()</formula>
    </cfRule>
    <cfRule type="expression" dxfId="784" priority="58" stopIfTrue="1">
      <formula>NA()</formula>
    </cfRule>
  </conditionalFormatting>
  <conditionalFormatting sqref="F32">
    <cfRule type="expression" dxfId="783" priority="59" stopIfTrue="1">
      <formula>A39=1</formula>
    </cfRule>
    <cfRule type="expression" dxfId="782" priority="60" stopIfTrue="1">
      <formula>A39</formula>
    </cfRule>
  </conditionalFormatting>
  <conditionalFormatting sqref="D111:G116">
    <cfRule type="cellIs" dxfId="781" priority="61" stopIfTrue="1" operator="equal">
      <formula>0</formula>
    </cfRule>
    <cfRule type="expression" dxfId="780" priority="62" stopIfTrue="1">
      <formula>NA()</formula>
    </cfRule>
    <cfRule type="expression" dxfId="779" priority="63" stopIfTrue="1">
      <formula>NA()</formula>
    </cfRule>
  </conditionalFormatting>
  <conditionalFormatting sqref="C111:C116">
    <cfRule type="cellIs" dxfId="778" priority="64" stopIfTrue="1" operator="equal">
      <formula>0</formula>
    </cfRule>
    <cfRule type="expression" dxfId="777" priority="65" stopIfTrue="1">
      <formula>F1=1</formula>
    </cfRule>
    <cfRule type="expression" dxfId="776" priority="66" stopIfTrue="1">
      <formula>F1=2</formula>
    </cfRule>
  </conditionalFormatting>
  <conditionalFormatting sqref="AF35:AJ35">
    <cfRule type="expression" dxfId="775" priority="69" stopIfTrue="1">
      <formula>F1=1</formula>
    </cfRule>
    <cfRule type="expression" dxfId="774" priority="70" stopIfTrue="1">
      <formula>F1=2</formula>
    </cfRule>
  </conditionalFormatting>
  <conditionalFormatting sqref="AF30">
    <cfRule type="expression" dxfId="773" priority="71" stopIfTrue="1">
      <formula>F1=1</formula>
    </cfRule>
    <cfRule type="expression" dxfId="772" priority="72" stopIfTrue="1">
      <formula>F1=2</formula>
    </cfRule>
    <cfRule type="cellIs" dxfId="771" priority="73" stopIfTrue="1" operator="equal">
      <formula>0</formula>
    </cfRule>
  </conditionalFormatting>
  <conditionalFormatting sqref="AI42 AI12:AI23">
    <cfRule type="cellIs" dxfId="770" priority="74" stopIfTrue="1" operator="greaterThan">
      <formula>$AB$13</formula>
    </cfRule>
  </conditionalFormatting>
  <conditionalFormatting sqref="D36:F38">
    <cfRule type="expression" dxfId="769" priority="75" stopIfTrue="1">
      <formula>NA()</formula>
    </cfRule>
    <cfRule type="expression" dxfId="768" priority="76" stopIfTrue="1">
      <formula>NA()</formula>
    </cfRule>
  </conditionalFormatting>
  <conditionalFormatting sqref="J31">
    <cfRule type="cellIs" dxfId="767" priority="78" stopIfTrue="1" operator="lessThan">
      <formula>0</formula>
    </cfRule>
  </conditionalFormatting>
  <conditionalFormatting sqref="V30:Z30">
    <cfRule type="expression" dxfId="766" priority="89" stopIfTrue="1">
      <formula>$V$39=1</formula>
    </cfRule>
    <cfRule type="expression" dxfId="765" priority="90" stopIfTrue="1">
      <formula>$V$39=2</formula>
    </cfRule>
    <cfRule type="cellIs" dxfId="764" priority="91" stopIfTrue="1" operator="equal">
      <formula>0</formula>
    </cfRule>
  </conditionalFormatting>
  <conditionalFormatting sqref="V31">
    <cfRule type="cellIs" dxfId="763" priority="92" stopIfTrue="1" operator="equal">
      <formula>0</formula>
    </cfRule>
    <cfRule type="expression" dxfId="762" priority="93" stopIfTrue="1">
      <formula>$W$39=1</formula>
    </cfRule>
    <cfRule type="expression" dxfId="761" priority="94" stopIfTrue="1">
      <formula>$W$39=2</formula>
    </cfRule>
  </conditionalFormatting>
  <conditionalFormatting sqref="V32">
    <cfRule type="cellIs" dxfId="760" priority="95" stopIfTrue="1" operator="equal">
      <formula>0</formula>
    </cfRule>
    <cfRule type="expression" dxfId="759" priority="96" stopIfTrue="1">
      <formula>$X$39=1</formula>
    </cfRule>
    <cfRule type="expression" dxfId="758" priority="97" stopIfTrue="1">
      <formula>$X$39=2</formula>
    </cfRule>
  </conditionalFormatting>
  <conditionalFormatting sqref="V33:Z33">
    <cfRule type="cellIs" dxfId="757" priority="98" stopIfTrue="1" operator="equal">
      <formula>0</formula>
    </cfRule>
    <cfRule type="expression" dxfId="756" priority="99" stopIfTrue="1">
      <formula>$Y$39=1</formula>
    </cfRule>
    <cfRule type="expression" dxfId="755" priority="100" stopIfTrue="1">
      <formula>$Y$39=2</formula>
    </cfRule>
  </conditionalFormatting>
  <conditionalFormatting sqref="V34:Z34">
    <cfRule type="cellIs" dxfId="754" priority="101" stopIfTrue="1" operator="equal">
      <formula>0</formula>
    </cfRule>
    <cfRule type="expression" dxfId="753" priority="102" stopIfTrue="1">
      <formula>$Z$39=1</formula>
    </cfRule>
    <cfRule type="expression" dxfId="752" priority="103" stopIfTrue="1">
      <formula>$Z$39=2</formula>
    </cfRule>
  </conditionalFormatting>
  <conditionalFormatting sqref="V35:Z35">
    <cfRule type="cellIs" dxfId="751" priority="104" stopIfTrue="1" operator="equal">
      <formula>0</formula>
    </cfRule>
    <cfRule type="expression" dxfId="750" priority="105" stopIfTrue="1">
      <formula>$AA$39=1</formula>
    </cfRule>
    <cfRule type="expression" dxfId="749" priority="106" stopIfTrue="1">
      <formula>$AA$39=2</formula>
    </cfRule>
  </conditionalFormatting>
  <conditionalFormatting sqref="AA30:AE30">
    <cfRule type="cellIs" dxfId="748" priority="107" stopIfTrue="1" operator="equal">
      <formula>0</formula>
    </cfRule>
    <cfRule type="expression" dxfId="747" priority="108" stopIfTrue="1">
      <formula>$AB$39=1</formula>
    </cfRule>
    <cfRule type="expression" dxfId="746" priority="109" stopIfTrue="1">
      <formula>$AB$39=2</formula>
    </cfRule>
  </conditionalFormatting>
  <conditionalFormatting sqref="AA31">
    <cfRule type="cellIs" dxfId="745" priority="110" stopIfTrue="1" operator="equal">
      <formula>0</formula>
    </cfRule>
    <cfRule type="expression" dxfId="744" priority="111" stopIfTrue="1">
      <formula>$AC$39=1</formula>
    </cfRule>
    <cfRule type="expression" dxfId="743" priority="112" stopIfTrue="1">
      <formula>$AC$39=2</formula>
    </cfRule>
  </conditionalFormatting>
  <conditionalFormatting sqref="AA32">
    <cfRule type="cellIs" dxfId="742" priority="113" stopIfTrue="1" operator="equal">
      <formula>0</formula>
    </cfRule>
    <cfRule type="expression" dxfId="741" priority="114" stopIfTrue="1">
      <formula>$AD$39=1</formula>
    </cfRule>
    <cfRule type="expression" dxfId="740" priority="115" stopIfTrue="1">
      <formula>$AD$39=2</formula>
    </cfRule>
  </conditionalFormatting>
  <conditionalFormatting sqref="AA33:AE33">
    <cfRule type="cellIs" dxfId="739" priority="116" stopIfTrue="1" operator="equal">
      <formula>0</formula>
    </cfRule>
    <cfRule type="expression" dxfId="738" priority="117" stopIfTrue="1">
      <formula>$AE$39=1</formula>
    </cfRule>
    <cfRule type="expression" dxfId="737" priority="118" stopIfTrue="1">
      <formula>$AE$39=2</formula>
    </cfRule>
  </conditionalFormatting>
  <conditionalFormatting sqref="AA34:AE34">
    <cfRule type="cellIs" dxfId="736" priority="119" stopIfTrue="1" operator="equal">
      <formula>0</formula>
    </cfRule>
    <cfRule type="expression" dxfId="735" priority="120" stopIfTrue="1">
      <formula>$AF$39=1</formula>
    </cfRule>
    <cfRule type="expression" dxfId="734" priority="121" stopIfTrue="1">
      <formula>$AF$39=2</formula>
    </cfRule>
  </conditionalFormatting>
  <conditionalFormatting sqref="AA35:AE35">
    <cfRule type="cellIs" dxfId="733" priority="122" stopIfTrue="1" operator="equal">
      <formula>0</formula>
    </cfRule>
    <cfRule type="expression" dxfId="732" priority="123" stopIfTrue="1">
      <formula>$AG$39=1</formula>
    </cfRule>
    <cfRule type="expression" dxfId="731" priority="124" stopIfTrue="1">
      <formula>$AG$39=2</formula>
    </cfRule>
  </conditionalFormatting>
  <conditionalFormatting sqref="D32:E32">
    <cfRule type="expression" dxfId="730" priority="125" stopIfTrue="1">
      <formula>NA()</formula>
    </cfRule>
    <cfRule type="expression" dxfId="729" priority="126" stopIfTrue="1">
      <formula>NA()</formula>
    </cfRule>
  </conditionalFormatting>
  <conditionalFormatting sqref="C32">
    <cfRule type="expression" dxfId="728" priority="127" stopIfTrue="1">
      <formula>NA()</formula>
    </cfRule>
    <cfRule type="expression" dxfId="727" priority="128" stopIfTrue="1">
      <formula>NA()</formula>
    </cfRule>
  </conditionalFormatting>
  <conditionalFormatting sqref="D33:F33">
    <cfRule type="expression" dxfId="726" priority="129" stopIfTrue="1">
      <formula>NA()</formula>
    </cfRule>
    <cfRule type="expression" dxfId="725" priority="130" stopIfTrue="1">
      <formula>NA()</formula>
    </cfRule>
  </conditionalFormatting>
  <conditionalFormatting sqref="C33">
    <cfRule type="expression" dxfId="724" priority="131" stopIfTrue="1">
      <formula>NA()</formula>
    </cfRule>
    <cfRule type="expression" dxfId="723" priority="132" stopIfTrue="1">
      <formula>NA()</formula>
    </cfRule>
  </conditionalFormatting>
  <conditionalFormatting sqref="C37">
    <cfRule type="expression" dxfId="722" priority="133" stopIfTrue="1">
      <formula>NA()</formula>
    </cfRule>
    <cfRule type="expression" dxfId="721" priority="134" stopIfTrue="1">
      <formula>NA()</formula>
    </cfRule>
  </conditionalFormatting>
  <conditionalFormatting sqref="D35:F35">
    <cfRule type="expression" dxfId="720" priority="135" stopIfTrue="1">
      <formula>NA()</formula>
    </cfRule>
    <cfRule type="expression" dxfId="719" priority="136" stopIfTrue="1">
      <formula>NA()</formula>
    </cfRule>
  </conditionalFormatting>
  <conditionalFormatting sqref="C34:C35">
    <cfRule type="expression" dxfId="718" priority="137" stopIfTrue="1">
      <formula>NA()</formula>
    </cfRule>
    <cfRule type="expression" dxfId="717" priority="138" stopIfTrue="1">
      <formula>NA()</formula>
    </cfRule>
  </conditionalFormatting>
  <conditionalFormatting sqref="D34:F34">
    <cfRule type="expression" dxfId="716" priority="139" stopIfTrue="1">
      <formula>NA()</formula>
    </cfRule>
    <cfRule type="expression" dxfId="715" priority="140" stopIfTrue="1">
      <formula>NA()</formula>
    </cfRule>
  </conditionalFormatting>
  <conditionalFormatting sqref="AI70">
    <cfRule type="cellIs" dxfId="714" priority="157" stopIfTrue="1" operator="greaterThan">
      <formula>$AB$13</formula>
    </cfRule>
  </conditionalFormatting>
  <conditionalFormatting sqref="V69">
    <cfRule type="cellIs" dxfId="713" priority="158" stopIfTrue="1" operator="equal">
      <formula>"Armas naturales"</formula>
    </cfRule>
  </conditionalFormatting>
  <conditionalFormatting sqref="C43">
    <cfRule type="expression" dxfId="712" priority="41" stopIfTrue="1">
      <formula>NA()</formula>
    </cfRule>
    <cfRule type="expression" dxfId="711" priority="42" stopIfTrue="1">
      <formula>NA()</formula>
    </cfRule>
  </conditionalFormatting>
  <conditionalFormatting sqref="D40:F40">
    <cfRule type="expression" dxfId="710" priority="45" stopIfTrue="1">
      <formula>NA()</formula>
    </cfRule>
    <cfRule type="expression" dxfId="709" priority="46" stopIfTrue="1">
      <formula>NA()</formula>
    </cfRule>
  </conditionalFormatting>
  <conditionalFormatting sqref="C40">
    <cfRule type="expression" dxfId="708" priority="47" stopIfTrue="1">
      <formula>NA()</formula>
    </cfRule>
    <cfRule type="expression" dxfId="707" priority="48" stopIfTrue="1">
      <formula>NA()</formula>
    </cfRule>
  </conditionalFormatting>
  <conditionalFormatting sqref="C44">
    <cfRule type="expression" dxfId="706" priority="49" stopIfTrue="1">
      <formula>NA()</formula>
    </cfRule>
    <cfRule type="expression" dxfId="705" priority="50" stopIfTrue="1">
      <formula>NA()</formula>
    </cfRule>
  </conditionalFormatting>
  <conditionalFormatting sqref="D42:F42">
    <cfRule type="expression" dxfId="704" priority="51" stopIfTrue="1">
      <formula>NA()</formula>
    </cfRule>
    <cfRule type="expression" dxfId="703" priority="52" stopIfTrue="1">
      <formula>NA()</formula>
    </cfRule>
  </conditionalFormatting>
  <conditionalFormatting sqref="C41:C42">
    <cfRule type="expression" dxfId="702" priority="53" stopIfTrue="1">
      <formula>NA()</formula>
    </cfRule>
    <cfRule type="expression" dxfId="701" priority="54" stopIfTrue="1">
      <formula>NA()</formula>
    </cfRule>
  </conditionalFormatting>
  <conditionalFormatting sqref="D41:F41">
    <cfRule type="expression" dxfId="700" priority="55" stopIfTrue="1">
      <formula>NA()</formula>
    </cfRule>
    <cfRule type="expression" dxfId="699" priority="56" stopIfTrue="1">
      <formula>NA()</formula>
    </cfRule>
  </conditionalFormatting>
  <conditionalFormatting sqref="C40:F44 C46:F46">
    <cfRule type="expression" dxfId="698" priority="1741">
      <formula>AND(NOT($AN$36),NOT($AN$37))</formula>
    </cfRule>
  </conditionalFormatting>
  <conditionalFormatting sqref="D45:F45">
    <cfRule type="expression" dxfId="697" priority="29" stopIfTrue="1">
      <formula>NA()</formula>
    </cfRule>
    <cfRule type="expression" dxfId="696" priority="30" stopIfTrue="1">
      <formula>NA()</formula>
    </cfRule>
  </conditionalFormatting>
  <conditionalFormatting sqref="C45">
    <cfRule type="expression" dxfId="695" priority="27" stopIfTrue="1">
      <formula>NA()</formula>
    </cfRule>
    <cfRule type="expression" dxfId="694" priority="28" stopIfTrue="1">
      <formula>NA()</formula>
    </cfRule>
  </conditionalFormatting>
  <conditionalFormatting sqref="C45:F45">
    <cfRule type="expression" dxfId="693" priority="31">
      <formula>AND(NOT($AN$36),NOT($AN$37))</formula>
    </cfRule>
  </conditionalFormatting>
  <conditionalFormatting sqref="J51 F51">
    <cfRule type="cellIs" dxfId="692" priority="26" operator="greaterThan">
      <formula>0</formula>
    </cfRule>
  </conditionalFormatting>
  <conditionalFormatting sqref="G51:J51">
    <cfRule type="expression" dxfId="691" priority="25">
      <formula>$J$51&lt;=0</formula>
    </cfRule>
  </conditionalFormatting>
  <conditionalFormatting sqref="C51:F51">
    <cfRule type="expression" dxfId="690" priority="24">
      <formula>$F$51&lt;=0</formula>
    </cfRule>
  </conditionalFormatting>
  <conditionalFormatting sqref="F51">
    <cfRule type="expression" dxfId="689" priority="19">
      <formula>$F$51&gt;0</formula>
    </cfRule>
    <cfRule type="expression" dxfId="688" priority="23">
      <formula>AND($C$51="",$G$51="")</formula>
    </cfRule>
  </conditionalFormatting>
  <conditionalFormatting sqref="Y23:Z23">
    <cfRule type="expression" dxfId="687" priority="22">
      <formula>$AB$13&lt;30</formula>
    </cfRule>
  </conditionalFormatting>
  <conditionalFormatting sqref="E12">
    <cfRule type="expression" dxfId="686" priority="1" stopIfTrue="1">
      <formula>OR(TipoDeCriatura="Ánima",TipoDeCriatura="Ánima, Elemental",TipoDeCriatura="No muerto, Espectro")</formula>
    </cfRule>
    <cfRule type="expression" dxfId="685" priority="2280" stopIfTrue="1">
      <formula>$D$12="-"</formula>
    </cfRule>
  </conditionalFormatting>
  <conditionalFormatting sqref="E17">
    <cfRule type="expression" dxfId="684" priority="2289" stopIfTrue="1">
      <formula>AND(OR($K$7="Ánima",$K$7="Ánima, Elemental",$K$7="No muerto, Espectro"),NOT($E$12=$E$17))</formula>
    </cfRule>
  </conditionalFormatting>
  <conditionalFormatting sqref="G51:I51">
    <cfRule type="expression" dxfId="683" priority="18">
      <formula>$J$51&gt;0</formula>
    </cfRule>
  </conditionalFormatting>
  <conditionalFormatting sqref="AI43:AI69">
    <cfRule type="cellIs" dxfId="682" priority="11" stopIfTrue="1" operator="greaterThan">
      <formula>$AB$13</formula>
    </cfRule>
  </conditionalFormatting>
  <conditionalFormatting sqref="AD13:AD23">
    <cfRule type="expression" dxfId="681" priority="6" stopIfTrue="1">
      <formula>H2=1</formula>
    </cfRule>
    <cfRule type="expression" dxfId="680" priority="7" stopIfTrue="1">
      <formula>H2=2</formula>
    </cfRule>
  </conditionalFormatting>
  <conditionalFormatting sqref="AB42:AE69">
    <cfRule type="expression" dxfId="679" priority="4766">
      <formula>AND($AK42&lt;&gt;"",$AF42="")</formula>
    </cfRule>
  </conditionalFormatting>
  <conditionalFormatting sqref="AB42:AH69">
    <cfRule type="expression" dxfId="678" priority="5">
      <formula>$AB42=""</formula>
    </cfRule>
  </conditionalFormatting>
  <conditionalFormatting sqref="AD12:AF23">
    <cfRule type="expression" dxfId="677" priority="4">
      <formula>AND($AK12&lt;&gt;"",$AG12="")</formula>
    </cfRule>
  </conditionalFormatting>
  <conditionalFormatting sqref="AG12:AH23">
    <cfRule type="expression" dxfId="676" priority="2">
      <formula>$AD12=""</formula>
    </cfRule>
  </conditionalFormatting>
  <conditionalFormatting sqref="E11:E14">
    <cfRule type="cellIs" dxfId="675" priority="4808" stopIfTrue="1" operator="greaterThan">
      <formula>$T$2</formula>
    </cfRule>
  </conditionalFormatting>
  <conditionalFormatting sqref="E15:E18">
    <cfRule type="cellIs" dxfId="674"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U5" sqref="U5:W6"/>
    </sheetView>
  </sheetViews>
  <sheetFormatPr defaultColWidth="5.7109375" defaultRowHeight="12" customHeight="1" x14ac:dyDescent="0.2"/>
  <cols>
    <col min="1" max="1" width="1.7109375" style="44" customWidth="1"/>
    <col min="2" max="2" width="3" style="259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60" customWidth="1"/>
    <col min="31" max="31" width="4.7109375" style="2987" customWidth="1"/>
    <col min="32" max="32" width="6.42578125" style="2982" customWidth="1"/>
    <col min="33" max="33" width="6.42578125" style="2987" customWidth="1"/>
    <col min="34" max="34" width="6.42578125" style="2983" customWidth="1"/>
    <col min="35" max="37" width="6.42578125" style="2987"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1"/>
      <c r="C1" s="45"/>
      <c r="D1" s="45"/>
      <c r="E1" s="45"/>
      <c r="F1" s="45"/>
      <c r="G1" s="45"/>
      <c r="H1" s="45"/>
      <c r="I1" s="45"/>
      <c r="J1" s="45"/>
      <c r="K1" s="45"/>
      <c r="L1" s="45"/>
      <c r="M1" s="45"/>
      <c r="N1" s="45"/>
      <c r="O1" s="45"/>
      <c r="P1" s="45"/>
      <c r="Q1" s="45"/>
      <c r="R1" s="45"/>
      <c r="S1" s="45"/>
      <c r="T1" s="45"/>
      <c r="U1" s="17"/>
      <c r="V1" s="124"/>
      <c r="W1" s="124"/>
      <c r="X1" s="124"/>
      <c r="Y1" s="124"/>
      <c r="Z1" s="124"/>
      <c r="AA1" s="124"/>
      <c r="AB1" s="3087"/>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8"/>
      <c r="AC2" s="2616"/>
      <c r="AH2" s="2984"/>
      <c r="AI2" s="2985"/>
      <c r="AJ2" s="2969"/>
      <c r="AK2" s="2969"/>
      <c r="AZ2" s="44"/>
    </row>
    <row r="3" spans="1:52" ht="12" customHeight="1" thickBot="1" x14ac:dyDescent="0.25">
      <c r="A3" s="1983"/>
      <c r="B3" s="2306"/>
      <c r="AB3" s="3049"/>
      <c r="AC3" s="2616"/>
    </row>
    <row r="4" spans="1:52" ht="12" customHeight="1" x14ac:dyDescent="0.2">
      <c r="A4" s="1983"/>
      <c r="B4" s="2306"/>
      <c r="C4" s="3648"/>
      <c r="D4" s="3649"/>
      <c r="E4" s="3649"/>
      <c r="F4" s="3649"/>
      <c r="G4" s="3649"/>
      <c r="H4" s="3649"/>
      <c r="I4" s="1680"/>
      <c r="J4" s="1680"/>
      <c r="K4" s="1680"/>
      <c r="L4" s="1681"/>
      <c r="M4" s="1680"/>
      <c r="N4" s="1680"/>
      <c r="O4" s="1680"/>
      <c r="P4" s="1680"/>
      <c r="Q4" s="1680"/>
      <c r="R4" s="1682"/>
      <c r="T4" s="3542" t="s">
        <v>1802</v>
      </c>
      <c r="U4" s="3633" t="s">
        <v>1803</v>
      </c>
      <c r="V4" s="3634"/>
      <c r="W4" s="3216"/>
      <c r="X4" s="66" t="s">
        <v>1715</v>
      </c>
      <c r="Y4" s="134" t="s">
        <v>1677</v>
      </c>
      <c r="Z4" s="1641" t="s">
        <v>1804</v>
      </c>
      <c r="AA4" s="25" t="s">
        <v>1689</v>
      </c>
      <c r="AB4" s="3089"/>
      <c r="AC4" s="2616"/>
    </row>
    <row r="5" spans="1:52" ht="12" customHeight="1" x14ac:dyDescent="0.2">
      <c r="A5" s="1983"/>
      <c r="B5" s="2306"/>
      <c r="C5" s="3650"/>
      <c r="D5" s="3651"/>
      <c r="E5" s="3651"/>
      <c r="F5" s="3651"/>
      <c r="G5" s="3651"/>
      <c r="H5" s="3651"/>
      <c r="I5" s="12"/>
      <c r="J5" s="12"/>
      <c r="K5" s="12"/>
      <c r="L5" s="56"/>
      <c r="M5" s="56"/>
      <c r="N5" s="56"/>
      <c r="O5" s="56"/>
      <c r="P5" s="56"/>
      <c r="Q5" s="56"/>
      <c r="R5" s="1683"/>
      <c r="T5" s="3543"/>
      <c r="U5" s="3655" t="s">
        <v>2524</v>
      </c>
      <c r="V5" s="3656"/>
      <c r="W5" s="3657"/>
      <c r="X5" s="3679">
        <v>1</v>
      </c>
      <c r="Y5" s="3677">
        <f>IF($X$5&gt;0,(500+100*$X$5),400)</f>
        <v>600</v>
      </c>
      <c r="Z5" s="3685">
        <f>MAX(Principal!AJ10+Principal!AJ40-Principal!$AB$27,0)</f>
        <v>15</v>
      </c>
      <c r="AA5" s="3676">
        <f>Y5-Z5</f>
        <v>585</v>
      </c>
      <c r="AB5" s="3090"/>
      <c r="AC5" s="2616"/>
    </row>
    <row r="6" spans="1:52" ht="12" customHeight="1" x14ac:dyDescent="0.2">
      <c r="A6" s="1983"/>
      <c r="B6" s="2306"/>
      <c r="C6" s="3650"/>
      <c r="D6" s="3651"/>
      <c r="E6" s="3651"/>
      <c r="F6" s="3651"/>
      <c r="G6" s="3651"/>
      <c r="H6" s="3651"/>
      <c r="I6" s="3669" t="s">
        <v>1628</v>
      </c>
      <c r="J6" s="3669"/>
      <c r="K6" s="3163" t="str">
        <f>IF(OR(General!$G$22="",General!$G$22=0),"",General!$G$22)</f>
        <v/>
      </c>
      <c r="L6" s="3163"/>
      <c r="M6" s="3163"/>
      <c r="N6" s="3163"/>
      <c r="O6" s="3163"/>
      <c r="P6" s="406"/>
      <c r="Q6" s="406"/>
      <c r="R6" s="1683"/>
      <c r="T6" s="3543"/>
      <c r="U6" s="3658"/>
      <c r="V6" s="3659"/>
      <c r="W6" s="3660"/>
      <c r="X6" s="3680"/>
      <c r="Y6" s="3678"/>
      <c r="Z6" s="3686"/>
      <c r="AA6" s="3673"/>
      <c r="AB6" s="3049"/>
      <c r="AC6" s="2616"/>
    </row>
    <row r="7" spans="1:52" ht="12" customHeight="1" x14ac:dyDescent="0.2">
      <c r="A7" s="1983"/>
      <c r="B7" s="2306"/>
      <c r="C7" s="3650"/>
      <c r="D7" s="3651"/>
      <c r="E7" s="3651"/>
      <c r="F7" s="3651"/>
      <c r="G7" s="3651"/>
      <c r="H7" s="3651"/>
      <c r="I7" s="3670" t="s">
        <v>1629</v>
      </c>
      <c r="J7" s="3670"/>
      <c r="K7" s="3208" t="str">
        <f>Principal!$L$5</f>
        <v>Hechicero</v>
      </c>
      <c r="L7" s="3208"/>
      <c r="M7" s="3208"/>
      <c r="N7" s="3208"/>
      <c r="O7" s="1679"/>
      <c r="P7" s="14" t="s">
        <v>1630</v>
      </c>
      <c r="Q7" s="15" t="str">
        <f>Principal!$P$5</f>
        <v>1</v>
      </c>
      <c r="R7" s="1683"/>
      <c r="T7" s="3543"/>
      <c r="U7" s="3661"/>
      <c r="V7" s="3662"/>
      <c r="W7" s="3663"/>
      <c r="X7" s="3683"/>
      <c r="Y7" s="3684">
        <f>IF($X$7&gt;0,(100*$X$7),0)</f>
        <v>0</v>
      </c>
      <c r="Z7" s="368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75">
        <f>IF(Raza="Criatura",0,Y7-Z7)</f>
        <v>0</v>
      </c>
      <c r="AB7" s="3091"/>
      <c r="AC7" s="2616"/>
    </row>
    <row r="8" spans="1:52" ht="12" customHeight="1" x14ac:dyDescent="0.2">
      <c r="A8" s="1983"/>
      <c r="B8" s="2306"/>
      <c r="C8" s="3650"/>
      <c r="D8" s="3651"/>
      <c r="E8" s="3651"/>
      <c r="F8" s="3651"/>
      <c r="G8" s="3651"/>
      <c r="H8" s="3651"/>
      <c r="I8" s="3670" t="s">
        <v>1673</v>
      </c>
      <c r="J8" s="3670"/>
      <c r="K8" s="1644">
        <f>Tamaño</f>
        <v>1</v>
      </c>
      <c r="L8" s="3208" t="str">
        <f>Principal!M6</f>
        <v>Medio</v>
      </c>
      <c r="M8" s="3208"/>
      <c r="N8" s="3208"/>
      <c r="O8" s="1679"/>
      <c r="P8" s="56"/>
      <c r="Q8" s="56"/>
      <c r="R8" s="1683"/>
      <c r="T8" s="3543"/>
      <c r="U8" s="3661"/>
      <c r="V8" s="3662"/>
      <c r="W8" s="3663"/>
      <c r="X8" s="3683"/>
      <c r="Y8" s="3684"/>
      <c r="Z8" s="3687"/>
      <c r="AA8" s="3675"/>
      <c r="AB8" s="3091"/>
      <c r="AC8" s="2616"/>
    </row>
    <row r="9" spans="1:52" ht="12" customHeight="1" x14ac:dyDescent="0.2">
      <c r="A9" s="1983"/>
      <c r="B9" s="2306"/>
      <c r="C9" s="3650"/>
      <c r="D9" s="3651"/>
      <c r="E9" s="3651"/>
      <c r="F9" s="3651"/>
      <c r="G9" s="3651"/>
      <c r="H9" s="3651"/>
      <c r="I9" s="58" t="s">
        <v>1675</v>
      </c>
      <c r="J9" s="3698" t="str">
        <f>Principal!K7</f>
        <v>Natural 10</v>
      </c>
      <c r="K9" s="3698"/>
      <c r="L9" s="3698"/>
      <c r="M9" s="3698"/>
      <c r="N9" s="3698"/>
      <c r="O9" s="3698"/>
      <c r="P9" s="3698"/>
      <c r="Q9" s="3698"/>
      <c r="R9" s="3699"/>
      <c r="T9" s="3543"/>
      <c r="U9" s="3658"/>
      <c r="V9" s="3659"/>
      <c r="W9" s="3660"/>
      <c r="X9" s="3681"/>
      <c r="Y9" s="3645">
        <f>IF($X$9&gt;0,(100*$X$9),0)</f>
        <v>0</v>
      </c>
      <c r="Z9" s="368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73">
        <f>IF(Raza="Criatura",0,Y9-Z9)</f>
        <v>0</v>
      </c>
      <c r="AB9" s="3091"/>
      <c r="AC9" s="2616"/>
    </row>
    <row r="10" spans="1:52" ht="12" customHeight="1" x14ac:dyDescent="0.2">
      <c r="A10" s="1983"/>
      <c r="B10" s="2306"/>
      <c r="C10" s="3650"/>
      <c r="D10" s="3651"/>
      <c r="E10" s="3651"/>
      <c r="F10" s="3651"/>
      <c r="G10" s="3651"/>
      <c r="H10" s="3651"/>
      <c r="I10" s="58"/>
      <c r="J10" s="3698"/>
      <c r="K10" s="3698"/>
      <c r="L10" s="3698"/>
      <c r="M10" s="3698"/>
      <c r="N10" s="3698"/>
      <c r="O10" s="3698"/>
      <c r="P10" s="3698"/>
      <c r="Q10" s="3698"/>
      <c r="R10" s="3699"/>
      <c r="S10" s="64"/>
      <c r="T10" s="3543"/>
      <c r="U10" s="3658"/>
      <c r="V10" s="3659"/>
      <c r="W10" s="3660"/>
      <c r="X10" s="3681"/>
      <c r="Y10" s="3645"/>
      <c r="Z10" s="3686"/>
      <c r="AA10" s="3673"/>
      <c r="AB10" s="3091"/>
      <c r="AC10" s="2616"/>
    </row>
    <row r="11" spans="1:52" ht="12" customHeight="1" x14ac:dyDescent="0.2">
      <c r="A11" s="1983"/>
      <c r="B11" s="2306"/>
      <c r="C11" s="3650"/>
      <c r="D11" s="3651"/>
      <c r="E11" s="3651"/>
      <c r="F11" s="3651"/>
      <c r="G11" s="3651"/>
      <c r="H11" s="3651"/>
      <c r="I11" s="58"/>
      <c r="J11" s="3698"/>
      <c r="K11" s="3698"/>
      <c r="L11" s="3698"/>
      <c r="M11" s="3698"/>
      <c r="N11" s="3698"/>
      <c r="O11" s="3698"/>
      <c r="P11" s="3698"/>
      <c r="Q11" s="3698"/>
      <c r="R11" s="3699"/>
      <c r="T11" s="3543"/>
      <c r="U11" s="3661"/>
      <c r="V11" s="3662"/>
      <c r="W11" s="3663"/>
      <c r="X11" s="3647"/>
      <c r="Y11" s="3644">
        <f>IF($X$11&gt;0,(100*$X$11),0)</f>
        <v>0</v>
      </c>
      <c r="Z11" s="368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75">
        <f>IF(Raza="Criatura",0,Y11-Z11)</f>
        <v>0</v>
      </c>
      <c r="AB11" s="3049"/>
      <c r="AC11" s="2616"/>
    </row>
    <row r="12" spans="1:52" ht="12" customHeight="1" x14ac:dyDescent="0.2">
      <c r="A12" s="1983"/>
      <c r="B12" s="2306"/>
      <c r="C12" s="3652"/>
      <c r="D12" s="3653"/>
      <c r="E12" s="3653"/>
      <c r="F12" s="3653"/>
      <c r="G12" s="3653"/>
      <c r="H12" s="3653"/>
      <c r="I12" s="1684"/>
      <c r="J12" s="1684"/>
      <c r="K12" s="1685"/>
      <c r="L12" s="1685"/>
      <c r="M12" s="1685"/>
      <c r="N12" s="1685"/>
      <c r="O12" s="1685"/>
      <c r="P12" s="1685"/>
      <c r="Q12" s="1685"/>
      <c r="R12" s="1686"/>
      <c r="T12" s="3543"/>
      <c r="U12" s="3661"/>
      <c r="V12" s="3662"/>
      <c r="W12" s="3663"/>
      <c r="X12" s="3647"/>
      <c r="Y12" s="3644"/>
      <c r="Z12" s="3687"/>
      <c r="AA12" s="3675"/>
      <c r="AB12" s="3049"/>
      <c r="AC12" s="2616"/>
    </row>
    <row r="13" spans="1:52" ht="12" customHeight="1" x14ac:dyDescent="0.2">
      <c r="A13" s="1983"/>
      <c r="B13" s="2306"/>
      <c r="C13" s="3636" t="s">
        <v>1805</v>
      </c>
      <c r="D13" s="3209"/>
      <c r="E13" s="3209"/>
      <c r="F13" s="3209"/>
      <c r="G13" s="3209"/>
      <c r="H13" s="3209"/>
      <c r="I13" s="3209"/>
      <c r="J13" s="3209"/>
      <c r="K13" s="3209"/>
      <c r="L13" s="3209"/>
      <c r="M13" s="3209"/>
      <c r="N13" s="3209"/>
      <c r="O13" s="3209"/>
      <c r="P13" s="3209"/>
      <c r="Q13" s="3209"/>
      <c r="R13" s="3637"/>
      <c r="T13" s="3543"/>
      <c r="U13" s="3658"/>
      <c r="V13" s="3659"/>
      <c r="W13" s="3660"/>
      <c r="X13" s="3681"/>
      <c r="Y13" s="3645">
        <f>IF($X$13&gt;0,(100*$X$13),0)</f>
        <v>0</v>
      </c>
      <c r="Z13" s="368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73">
        <f>IF(Raza="Criatura",0,Y13-Z13)</f>
        <v>0</v>
      </c>
      <c r="AB13" s="3092" t="str">
        <f>IF(Principal!AD18=0,"",VLOOKUP(Principal!AD18,Tabla_HabEsenciales,5,FALSE))</f>
        <v/>
      </c>
      <c r="AC13" s="2616"/>
    </row>
    <row r="14" spans="1:52" ht="12" customHeight="1" thickBot="1" x14ac:dyDescent="0.25">
      <c r="A14" s="1983"/>
      <c r="B14" s="2306"/>
      <c r="C14" s="3636"/>
      <c r="D14" s="3209"/>
      <c r="E14" s="3209"/>
      <c r="F14" s="3209"/>
      <c r="G14" s="3209"/>
      <c r="H14" s="3209"/>
      <c r="I14" s="3209"/>
      <c r="J14" s="3209"/>
      <c r="K14" s="3209"/>
      <c r="L14" s="3209"/>
      <c r="M14" s="3209"/>
      <c r="N14" s="3209"/>
      <c r="O14" s="3209"/>
      <c r="P14" s="3209"/>
      <c r="Q14" s="3209"/>
      <c r="R14" s="3637"/>
      <c r="T14" s="3543"/>
      <c r="U14" s="3664"/>
      <c r="V14" s="3665"/>
      <c r="W14" s="3666"/>
      <c r="X14" s="3682"/>
      <c r="Y14" s="3646"/>
      <c r="Z14" s="3688"/>
      <c r="AA14" s="3674"/>
      <c r="AB14" s="3092" t="str">
        <f>IF(Principal!AD19=0,"",VLOOKUP(Principal!AD19,Tabla_HabEsenciales,5,FALSE))</f>
        <v/>
      </c>
      <c r="AC14" s="3093"/>
    </row>
    <row r="15" spans="1:52" ht="12" customHeight="1" x14ac:dyDescent="0.2">
      <c r="A15" s="1983"/>
      <c r="B15" s="2306"/>
      <c r="C15" s="3636"/>
      <c r="D15" s="3209"/>
      <c r="E15" s="3209"/>
      <c r="F15" s="3209"/>
      <c r="G15" s="3209"/>
      <c r="H15" s="3209"/>
      <c r="I15" s="3209"/>
      <c r="J15" s="3209"/>
      <c r="K15" s="3209"/>
      <c r="L15" s="3209"/>
      <c r="M15" s="3209"/>
      <c r="N15" s="3209"/>
      <c r="O15" s="3209"/>
      <c r="P15" s="3209"/>
      <c r="Q15" s="3209"/>
      <c r="R15" s="3637"/>
      <c r="T15" s="3543"/>
      <c r="U15" s="3667" t="s">
        <v>1806</v>
      </c>
      <c r="V15" s="3568"/>
      <c r="W15" s="3562"/>
      <c r="X15" s="3689">
        <f>SUM(X5:X14)</f>
        <v>1</v>
      </c>
      <c r="Y15" s="3564" t="s">
        <v>1807</v>
      </c>
      <c r="Z15" s="3562"/>
      <c r="AA15" s="3671">
        <f>SUM(AA5:AA14)</f>
        <v>585</v>
      </c>
      <c r="AB15" s="3092" t="str">
        <f>IF(Principal!AD20=0,"",VLOOKUP(Principal!AD20,Tabla_HabEsenciales,5,FALSE))</f>
        <v/>
      </c>
      <c r="AC15" s="3093"/>
    </row>
    <row r="16" spans="1:52" ht="12" customHeight="1" thickBot="1" x14ac:dyDescent="0.25">
      <c r="A16" s="1983"/>
      <c r="B16" s="2306"/>
      <c r="C16" s="3638"/>
      <c r="D16" s="3639"/>
      <c r="E16" s="3639"/>
      <c r="F16" s="3639"/>
      <c r="G16" s="3639"/>
      <c r="H16" s="3639"/>
      <c r="I16" s="3639"/>
      <c r="J16" s="3639"/>
      <c r="K16" s="3639"/>
      <c r="L16" s="3639"/>
      <c r="M16" s="3639"/>
      <c r="N16" s="3639"/>
      <c r="O16" s="3639"/>
      <c r="P16" s="3639"/>
      <c r="Q16" s="3639"/>
      <c r="R16" s="3640"/>
      <c r="T16" s="3635"/>
      <c r="U16" s="3668"/>
      <c r="V16" s="3569"/>
      <c r="W16" s="3563"/>
      <c r="X16" s="3690"/>
      <c r="Y16" s="3565"/>
      <c r="Z16" s="3563"/>
      <c r="AA16" s="3672"/>
      <c r="AB16" s="3092" t="str">
        <f>IF(Principal!AD21=0,"",VLOOKUP(Principal!AD21,Tabla_HabEsenciales,5,FALSE))</f>
        <v/>
      </c>
      <c r="AC16" s="3093"/>
    </row>
    <row r="17" spans="1:31" ht="12" customHeight="1" x14ac:dyDescent="0.2">
      <c r="A17" s="1983"/>
      <c r="B17" s="2306"/>
      <c r="AB17" s="3092" t="str">
        <f>IF(Principal!AD22=0,"",VLOOKUP(Principal!AD22,Tabla_HabEsenciales,5,FALSE))</f>
        <v/>
      </c>
      <c r="AC17" s="3093"/>
    </row>
    <row r="18" spans="1:31" ht="12" customHeight="1" thickBot="1" x14ac:dyDescent="0.25">
      <c r="A18" s="1983"/>
      <c r="B18" s="2306"/>
      <c r="AB18" s="3092" t="str">
        <f>IF(Principal!AD23=0,"",VLOOKUP(Principal!AD23,Tabla_HabEsenciales,5,FALSE))</f>
        <v/>
      </c>
      <c r="AC18" s="3094"/>
    </row>
    <row r="19" spans="1:31" ht="12" customHeight="1" x14ac:dyDescent="0.2">
      <c r="A19" s="1983"/>
      <c r="B19" s="2306"/>
      <c r="C19" s="68"/>
      <c r="D19" s="68"/>
      <c r="E19" s="68"/>
      <c r="F19" s="68"/>
      <c r="I19" s="68"/>
      <c r="J19" s="68"/>
      <c r="K19" s="68"/>
      <c r="L19" s="3509" t="str">
        <f>IF(Categoría_1=0,"",Categoría_1)</f>
        <v>Hechicero</v>
      </c>
      <c r="M19" s="3510"/>
      <c r="N19" s="3513" t="str">
        <f>IF(Categoría_2=0,"",Categoría_2)</f>
        <v/>
      </c>
      <c r="O19" s="3510"/>
      <c r="P19" s="3513" t="str">
        <f>IF(Categoría_3=0,"",Categoría_3)</f>
        <v/>
      </c>
      <c r="Q19" s="3510"/>
      <c r="R19" s="3513" t="str">
        <f>IF(Categoría_4=0,"",Categoría_4)</f>
        <v/>
      </c>
      <c r="S19" s="3510"/>
      <c r="T19" s="3513" t="str">
        <f>IF(Categoría_5=0,"",Categoría_5)</f>
        <v/>
      </c>
      <c r="U19" s="3521"/>
      <c r="V19" s="68"/>
      <c r="AB19" s="3091"/>
      <c r="AC19" s="3095"/>
    </row>
    <row r="20" spans="1:31" ht="12" customHeight="1" thickBot="1" x14ac:dyDescent="0.25">
      <c r="A20" s="1983"/>
      <c r="B20" s="2306"/>
      <c r="C20" s="68"/>
      <c r="D20" s="68"/>
      <c r="E20" s="68"/>
      <c r="F20" s="68"/>
      <c r="I20" s="68"/>
      <c r="J20" s="68"/>
      <c r="K20" s="68"/>
      <c r="L20" s="3641"/>
      <c r="M20" s="3642"/>
      <c r="N20" s="3643"/>
      <c r="O20" s="3642"/>
      <c r="P20" s="3643"/>
      <c r="Q20" s="3642"/>
      <c r="R20" s="3643"/>
      <c r="S20" s="3642"/>
      <c r="T20" s="3643"/>
      <c r="U20" s="3654"/>
      <c r="V20" s="68"/>
      <c r="W20" s="68"/>
      <c r="X20" s="68"/>
      <c r="Y20" s="68"/>
      <c r="Z20" s="68"/>
      <c r="AA20" s="68"/>
      <c r="AB20" s="3091"/>
      <c r="AC20" s="3093"/>
    </row>
    <row r="21" spans="1:31" ht="12" customHeight="1" thickBot="1" x14ac:dyDescent="0.25">
      <c r="A21" s="1983"/>
      <c r="B21" s="2306"/>
      <c r="C21" s="3556" t="s">
        <v>1706</v>
      </c>
      <c r="D21" s="1687" t="s">
        <v>1711</v>
      </c>
      <c r="E21" s="3701" t="s">
        <v>1687</v>
      </c>
      <c r="F21" s="3702"/>
      <c r="G21" s="3702"/>
      <c r="H21" s="3702"/>
      <c r="I21" s="3702"/>
      <c r="J21" s="3702"/>
      <c r="K21" s="3703"/>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92" t="s">
        <v>1803</v>
      </c>
      <c r="Y21" s="3592"/>
      <c r="Z21" s="1688" t="s">
        <v>1731</v>
      </c>
      <c r="AA21" s="1690" t="s">
        <v>1661</v>
      </c>
      <c r="AB21" s="3091"/>
      <c r="AC21" s="3093"/>
      <c r="AE21" s="2960"/>
    </row>
    <row r="22" spans="1:31" ht="12" customHeight="1" x14ac:dyDescent="0.2">
      <c r="A22" s="1983"/>
      <c r="B22" s="2306"/>
      <c r="C22" s="3544"/>
      <c r="D22" s="3614" t="s">
        <v>1677</v>
      </c>
      <c r="E22" s="3704" t="s">
        <v>1808</v>
      </c>
      <c r="F22" s="3464"/>
      <c r="G22" s="3464"/>
      <c r="H22" s="3464"/>
      <c r="I22" s="3464"/>
      <c r="J22" s="3464"/>
      <c r="K22" s="3705"/>
      <c r="L22" s="1705">
        <f>IF(Categoría_1=0,0,VLOOKUP(Categoría_1,Tabla_Categorías,MATCH("Coste"&amp;$E22,Name_Tabla_Cat,FALSE),FALSE))</f>
        <v>3</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708">
        <f>MIN(50,HLOOKUP($E22,Bonos_Cat_Base,2,FALSE)+5*Nivel_Total*Tablas!$G$357)</f>
        <v>0</v>
      </c>
      <c r="Y22" s="3708"/>
      <c r="Z22" s="1709"/>
      <c r="AA22" s="1710">
        <f>Z22+X22+V22+W22+Bono_ATA</f>
        <v>0</v>
      </c>
      <c r="AB22" s="3091"/>
      <c r="AC22" s="3093"/>
      <c r="AD22" s="2960" t="s">
        <v>9337</v>
      </c>
    </row>
    <row r="23" spans="1:31" ht="12" customHeight="1" x14ac:dyDescent="0.2">
      <c r="A23" s="1983"/>
      <c r="B23" s="2306"/>
      <c r="C23" s="3544"/>
      <c r="D23" s="3603"/>
      <c r="E23" s="3596" t="s">
        <v>1809</v>
      </c>
      <c r="F23" s="3597"/>
      <c r="G23" s="3597"/>
      <c r="H23" s="3597"/>
      <c r="I23" s="3597"/>
      <c r="J23" s="3597"/>
      <c r="K23" s="3598"/>
      <c r="L23" s="146">
        <f>IF(Categoría_1=0,0,VLOOKUP(Categoría_1,Tabla_Categorías,MATCH("Coste"&amp;$E23,Name_Tabla_Cat,FALSE),FALSE))</f>
        <v>3</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618">
        <f>MIN(50,HLOOKUP($E23,Bonos_Cat_Base,2,FALSE)+5*Nivel_Total*Tablas!$G$358)</f>
        <v>0</v>
      </c>
      <c r="Y23" s="3618"/>
      <c r="Z23" s="148"/>
      <c r="AA23" s="1711">
        <f>W23+X23+V23+Z23+Bono_ATA</f>
        <v>0</v>
      </c>
      <c r="AB23" s="3091"/>
      <c r="AC23" s="3093"/>
      <c r="AD23" s="2960">
        <f>MAX(HP_final,HE_final)</f>
        <v>0</v>
      </c>
    </row>
    <row r="24" spans="1:31" ht="12" customHeight="1" x14ac:dyDescent="0.2">
      <c r="A24" s="1983"/>
      <c r="B24" s="2306"/>
      <c r="C24" s="3544"/>
      <c r="D24" s="3603"/>
      <c r="E24" s="3594" t="s">
        <v>1810</v>
      </c>
      <c r="F24" s="3283"/>
      <c r="G24" s="3283"/>
      <c r="H24" s="3283"/>
      <c r="I24" s="3283"/>
      <c r="J24" s="3283"/>
      <c r="K24" s="3595"/>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619">
        <f>MIN(50,HLOOKUP($E24,Bonos_Cat_Base,2,FALSE)+5*Nivel_Total*Tablas!$G$359)</f>
        <v>0</v>
      </c>
      <c r="Y24" s="3619"/>
      <c r="Z24" s="76"/>
      <c r="AA24" s="1712">
        <f>V24+W24+X24+Z24+Bono_ATA</f>
        <v>0</v>
      </c>
      <c r="AB24" s="3091"/>
      <c r="AC24" s="3093"/>
    </row>
    <row r="25" spans="1:31" ht="12" customHeight="1" x14ac:dyDescent="0.2">
      <c r="A25" s="1983"/>
      <c r="B25" s="2306"/>
      <c r="C25" s="3544"/>
      <c r="D25" s="3603"/>
      <c r="E25" s="3596" t="s">
        <v>1811</v>
      </c>
      <c r="F25" s="3597"/>
      <c r="G25" s="3597"/>
      <c r="H25" s="3597"/>
      <c r="I25" s="3597"/>
      <c r="J25" s="3597"/>
      <c r="K25" s="3598"/>
      <c r="L25" s="146">
        <f>IF(Categoría_1=0,0,VLOOKUP(Categoría_1,Tabla_Categorías,MATCH("Coste"&amp;$E25,Name_Tabla_Cat,FALSE),FALSE))</f>
        <v>3</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709">
        <f>HLOOKUP($E25,Bonos_Cat_Base,2,FALSE)</f>
        <v>0</v>
      </c>
      <c r="Y25" s="3709">
        <f>HLOOKUP($E25,Bonos_Cat_Base,2,FALSE)</f>
        <v>0</v>
      </c>
      <c r="Z25" s="148"/>
      <c r="AA25" s="1713">
        <f>V25+W25+X25+Z25</f>
        <v>0</v>
      </c>
      <c r="AB25" s="3091"/>
      <c r="AC25" s="3093"/>
    </row>
    <row r="26" spans="1:31" ht="12" customHeight="1" x14ac:dyDescent="0.2">
      <c r="A26" s="1983"/>
      <c r="B26" s="2306"/>
      <c r="C26" s="3544"/>
      <c r="D26" s="3615"/>
      <c r="E26" s="3706"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707"/>
      <c r="G26" s="3707"/>
      <c r="H26" s="3707"/>
      <c r="I26" s="3707"/>
      <c r="J26" s="3707"/>
      <c r="K26" s="3707"/>
      <c r="L26" s="3707"/>
      <c r="M26" s="3707"/>
      <c r="N26" s="3707"/>
      <c r="O26" s="3707"/>
      <c r="P26" s="3707"/>
      <c r="Q26" s="3707"/>
      <c r="R26" s="3707"/>
      <c r="S26" s="3707"/>
      <c r="T26" s="3707"/>
      <c r="U26" s="3707"/>
      <c r="V26" s="3707"/>
      <c r="W26" s="3707"/>
      <c r="X26" s="3707"/>
      <c r="Y26" s="3707"/>
      <c r="Z26" s="3707"/>
      <c r="AA26" s="1714" t="str">
        <f>IF((M22+M23+M24+O22+O23+O24+Q22+Q23+Q24+S22+S23+S24+U22+U23+U24)&gt;(($Y$5+$Y$7+$Y$9+$Y$11+$Y$13)/2),($Y$5+$Y$7+$Y$9+$Y$11+$Y$13)/2,"")</f>
        <v/>
      </c>
      <c r="AB26" s="3091"/>
      <c r="AC26" s="3093"/>
    </row>
    <row r="27" spans="1:31" ht="12" customHeight="1" x14ac:dyDescent="0.2">
      <c r="A27" s="1983"/>
      <c r="B27" s="2306"/>
      <c r="C27" s="3544"/>
      <c r="D27" s="3602" t="s">
        <v>1812</v>
      </c>
      <c r="E27" s="3630" t="s">
        <v>1685</v>
      </c>
      <c r="F27" s="3541"/>
      <c r="G27" s="3541"/>
      <c r="H27" s="3541"/>
      <c r="I27" s="3541"/>
      <c r="J27" s="3541"/>
      <c r="K27" s="3631"/>
      <c r="L27" s="1691">
        <f t="shared" ref="L27:L32" si="0">IF(Categoría_1=0,0,VLOOKUP(Categoría_1,Tabla_Categorías,MATCH("CosteKi",Name_Tabla_Cat,FALSE),FALSE))</f>
        <v>3</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710" t="s">
        <v>1769</v>
      </c>
      <c r="Y27" s="3710"/>
      <c r="Z27" s="1282"/>
      <c r="AA27" s="1715">
        <f t="shared" ref="AA27:AA32" si="6">W27+V27+Z27</f>
        <v>0</v>
      </c>
      <c r="AB27" s="3091"/>
      <c r="AC27" s="3093"/>
    </row>
    <row r="28" spans="1:31" ht="12" customHeight="1" x14ac:dyDescent="0.2">
      <c r="A28" s="1983"/>
      <c r="B28" s="2306"/>
      <c r="C28" s="3544"/>
      <c r="D28" s="3603"/>
      <c r="E28" s="3596" t="s">
        <v>1813</v>
      </c>
      <c r="F28" s="3597"/>
      <c r="G28" s="3597"/>
      <c r="H28" s="3597"/>
      <c r="I28" s="3597"/>
      <c r="J28" s="3597"/>
      <c r="K28" s="3598"/>
      <c r="L28" s="146">
        <f t="shared" si="0"/>
        <v>3</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618" t="s">
        <v>1769</v>
      </c>
      <c r="Y28" s="3618"/>
      <c r="Z28" s="1284"/>
      <c r="AA28" s="1716">
        <f t="shared" si="6"/>
        <v>0</v>
      </c>
      <c r="AB28" s="3091"/>
      <c r="AC28" s="3093"/>
    </row>
    <row r="29" spans="1:31" ht="12" customHeight="1" x14ac:dyDescent="0.2">
      <c r="A29" s="1983"/>
      <c r="B29" s="2306"/>
      <c r="C29" s="3544"/>
      <c r="D29" s="3603"/>
      <c r="E29" s="3594" t="s">
        <v>1690</v>
      </c>
      <c r="F29" s="3283"/>
      <c r="G29" s="3283"/>
      <c r="H29" s="3283"/>
      <c r="I29" s="3283"/>
      <c r="J29" s="3283"/>
      <c r="K29" s="3595"/>
      <c r="L29" s="141">
        <f t="shared" si="0"/>
        <v>3</v>
      </c>
      <c r="M29" s="1650"/>
      <c r="N29" s="141">
        <f t="shared" si="1"/>
        <v>0</v>
      </c>
      <c r="O29" s="1650"/>
      <c r="P29" s="141">
        <f t="shared" si="2"/>
        <v>0</v>
      </c>
      <c r="Q29" s="1650"/>
      <c r="R29" s="141">
        <f t="shared" si="3"/>
        <v>0</v>
      </c>
      <c r="S29" s="1650"/>
      <c r="T29" s="1651">
        <f t="shared" si="4"/>
        <v>0</v>
      </c>
      <c r="U29" s="71"/>
      <c r="V29" s="1285">
        <f t="shared" si="5"/>
        <v>0</v>
      </c>
      <c r="W29" s="1654">
        <f>DES+IF(DES-10&gt;0,DES-10,0)</f>
        <v>0</v>
      </c>
      <c r="X29" s="3619" t="s">
        <v>1769</v>
      </c>
      <c r="Y29" s="3619"/>
      <c r="Z29" s="1286"/>
      <c r="AA29" s="1717">
        <f t="shared" si="6"/>
        <v>0</v>
      </c>
      <c r="AB29" s="3091"/>
      <c r="AC29" s="3093"/>
    </row>
    <row r="30" spans="1:31" ht="12" customHeight="1" x14ac:dyDescent="0.2">
      <c r="A30" s="1983"/>
      <c r="B30" s="2306"/>
      <c r="C30" s="3544"/>
      <c r="D30" s="3603"/>
      <c r="E30" s="3596" t="s">
        <v>1695</v>
      </c>
      <c r="F30" s="3597"/>
      <c r="G30" s="3597"/>
      <c r="H30" s="3597"/>
      <c r="I30" s="3597"/>
      <c r="J30" s="3597"/>
      <c r="K30" s="3598"/>
      <c r="L30" s="146">
        <f t="shared" si="0"/>
        <v>3</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618" t="s">
        <v>1769</v>
      </c>
      <c r="Y30" s="3618"/>
      <c r="Z30" s="1284"/>
      <c r="AA30" s="1716">
        <f t="shared" si="6"/>
        <v>0</v>
      </c>
      <c r="AB30" s="3091"/>
      <c r="AC30" s="3093"/>
    </row>
    <row r="31" spans="1:31" ht="12" customHeight="1" x14ac:dyDescent="0.2">
      <c r="A31" s="1983"/>
      <c r="B31" s="2306"/>
      <c r="C31" s="3544"/>
      <c r="D31" s="3603"/>
      <c r="E31" s="3594" t="s">
        <v>1703</v>
      </c>
      <c r="F31" s="3283"/>
      <c r="G31" s="3283"/>
      <c r="H31" s="3283"/>
      <c r="I31" s="3283"/>
      <c r="J31" s="3283"/>
      <c r="K31" s="3595"/>
      <c r="L31" s="141">
        <f t="shared" si="0"/>
        <v>3</v>
      </c>
      <c r="M31" s="1650"/>
      <c r="N31" s="141">
        <f t="shared" si="1"/>
        <v>0</v>
      </c>
      <c r="O31" s="1650"/>
      <c r="P31" s="141">
        <f t="shared" si="2"/>
        <v>0</v>
      </c>
      <c r="Q31" s="1650"/>
      <c r="R31" s="141">
        <f t="shared" si="3"/>
        <v>0</v>
      </c>
      <c r="S31" s="1650"/>
      <c r="T31" s="1651">
        <f t="shared" si="4"/>
        <v>0</v>
      </c>
      <c r="U31" s="71"/>
      <c r="V31" s="1285">
        <f t="shared" si="5"/>
        <v>0</v>
      </c>
      <c r="W31" s="1654">
        <f>POD+IF(POD-10&gt;0,POD-10,0)</f>
        <v>0</v>
      </c>
      <c r="X31" s="3619" t="s">
        <v>1769</v>
      </c>
      <c r="Y31" s="3619"/>
      <c r="Z31" s="1286"/>
      <c r="AA31" s="1717">
        <f t="shared" si="6"/>
        <v>0</v>
      </c>
      <c r="AB31" s="3091"/>
      <c r="AC31" s="3093"/>
    </row>
    <row r="32" spans="1:31" ht="12" customHeight="1" x14ac:dyDescent="0.2">
      <c r="A32" s="1983"/>
      <c r="B32" s="2306"/>
      <c r="C32" s="3544"/>
      <c r="D32" s="3603"/>
      <c r="E32" s="3596" t="s">
        <v>1704</v>
      </c>
      <c r="F32" s="3597"/>
      <c r="G32" s="3597"/>
      <c r="H32" s="3597"/>
      <c r="I32" s="3597"/>
      <c r="J32" s="3597"/>
      <c r="K32" s="3598"/>
      <c r="L32" s="154">
        <f t="shared" si="0"/>
        <v>3</v>
      </c>
      <c r="M32" s="155"/>
      <c r="N32" s="154">
        <f t="shared" si="1"/>
        <v>0</v>
      </c>
      <c r="O32" s="155"/>
      <c r="P32" s="154">
        <f t="shared" si="2"/>
        <v>0</v>
      </c>
      <c r="Q32" s="155"/>
      <c r="R32" s="154">
        <f t="shared" si="3"/>
        <v>0</v>
      </c>
      <c r="S32" s="155"/>
      <c r="T32" s="156">
        <f t="shared" si="4"/>
        <v>0</v>
      </c>
      <c r="U32" s="157"/>
      <c r="V32" s="1287">
        <f t="shared" si="5"/>
        <v>0</v>
      </c>
      <c r="W32" s="1280">
        <f>VOL+IF(VOL-10&gt;0,VOL-10,0)</f>
        <v>0</v>
      </c>
      <c r="X32" s="3709" t="s">
        <v>1769</v>
      </c>
      <c r="Y32" s="3709"/>
      <c r="Z32" s="1288"/>
      <c r="AA32" s="1718">
        <f t="shared" si="6"/>
        <v>0</v>
      </c>
      <c r="AB32" s="3049"/>
      <c r="AC32" s="1802"/>
    </row>
    <row r="33" spans="1:60" ht="12" customHeight="1" x14ac:dyDescent="0.2">
      <c r="A33" s="1983"/>
      <c r="B33" s="2306"/>
      <c r="C33" s="3544"/>
      <c r="D33" s="3616" t="s">
        <v>1814</v>
      </c>
      <c r="E33" s="3630" t="s">
        <v>1685</v>
      </c>
      <c r="F33" s="3541"/>
      <c r="G33" s="3541"/>
      <c r="H33" s="3541"/>
      <c r="I33" s="3541"/>
      <c r="J33" s="3541"/>
      <c r="K33" s="3700"/>
      <c r="L33" s="159">
        <f t="shared" ref="L33:L38" si="7">IF(Categoría_1=0,0,VLOOKUP(Categoría_1,Tabla_Categorías,MATCH("CosteAcumKi",Name_Tabla_Cat,FALSE),FALSE))</f>
        <v>30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714" t="s">
        <v>1769</v>
      </c>
      <c r="Y33" s="3714"/>
      <c r="Z33" s="1282"/>
      <c r="AA33" s="1719">
        <f t="shared" ref="AA33:AA38" si="12">W33+V33+Z33+IF(Bono_ATA&lt;0,TRUNC(Bono_ATA/20,0),0)</f>
        <v>0</v>
      </c>
      <c r="AB33" s="3049"/>
      <c r="AC33" s="1802"/>
    </row>
    <row r="34" spans="1:60" ht="12" customHeight="1" x14ac:dyDescent="0.2">
      <c r="A34" s="1983"/>
      <c r="B34" s="2306"/>
      <c r="C34" s="3544"/>
      <c r="D34" s="3603"/>
      <c r="E34" s="3596" t="s">
        <v>1813</v>
      </c>
      <c r="F34" s="3597"/>
      <c r="G34" s="3597"/>
      <c r="H34" s="3597"/>
      <c r="I34" s="3597"/>
      <c r="J34" s="3597"/>
      <c r="K34" s="3632"/>
      <c r="L34" s="1646">
        <f t="shared" si="7"/>
        <v>30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618" t="s">
        <v>1769</v>
      </c>
      <c r="Y34" s="3618"/>
      <c r="Z34" s="1284"/>
      <c r="AA34" s="1716">
        <f t="shared" si="12"/>
        <v>0</v>
      </c>
      <c r="AB34" s="3049"/>
      <c r="AC34" s="1802"/>
    </row>
    <row r="35" spans="1:60" ht="12" customHeight="1" x14ac:dyDescent="0.2">
      <c r="A35" s="1983"/>
      <c r="B35" s="2306"/>
      <c r="C35" s="3544"/>
      <c r="D35" s="3603"/>
      <c r="E35" s="3594" t="s">
        <v>1690</v>
      </c>
      <c r="F35" s="3283"/>
      <c r="G35" s="3283"/>
      <c r="H35" s="3283"/>
      <c r="I35" s="3283"/>
      <c r="J35" s="3283"/>
      <c r="K35" s="3691"/>
      <c r="L35" s="1651">
        <f t="shared" si="7"/>
        <v>30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619" t="s">
        <v>1769</v>
      </c>
      <c r="Y35" s="3619"/>
      <c r="Z35" s="1286"/>
      <c r="AA35" s="1717">
        <f t="shared" si="12"/>
        <v>0</v>
      </c>
      <c r="AB35" s="3049"/>
      <c r="AC35" s="1802"/>
    </row>
    <row r="36" spans="1:60" ht="12" customHeight="1" x14ac:dyDescent="0.2">
      <c r="A36" s="1983"/>
      <c r="B36" s="2306"/>
      <c r="C36" s="3544"/>
      <c r="D36" s="3603"/>
      <c r="E36" s="3596" t="s">
        <v>1695</v>
      </c>
      <c r="F36" s="3597"/>
      <c r="G36" s="3597"/>
      <c r="H36" s="3597"/>
      <c r="I36" s="3597"/>
      <c r="J36" s="3597"/>
      <c r="K36" s="3632"/>
      <c r="L36" s="1646">
        <f t="shared" si="7"/>
        <v>30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618" t="s">
        <v>1769</v>
      </c>
      <c r="Y36" s="3618"/>
      <c r="Z36" s="1284"/>
      <c r="AA36" s="1716">
        <f t="shared" si="12"/>
        <v>0</v>
      </c>
      <c r="AB36" s="3049"/>
      <c r="AC36" s="1802"/>
      <c r="BB36" s="161"/>
      <c r="BC36" s="161"/>
      <c r="BD36" s="162"/>
      <c r="BE36" s="162"/>
      <c r="BF36" s="162"/>
      <c r="BG36" s="162"/>
      <c r="BH36" s="162"/>
    </row>
    <row r="37" spans="1:60" ht="12" customHeight="1" x14ac:dyDescent="0.2">
      <c r="A37" s="1983"/>
      <c r="B37" s="2306"/>
      <c r="C37" s="3544"/>
      <c r="D37" s="3603"/>
      <c r="E37" s="3594" t="s">
        <v>1703</v>
      </c>
      <c r="F37" s="3283"/>
      <c r="G37" s="3283"/>
      <c r="H37" s="3283"/>
      <c r="I37" s="3283"/>
      <c r="J37" s="3283"/>
      <c r="K37" s="3691"/>
      <c r="L37" s="1651">
        <f t="shared" si="7"/>
        <v>30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619" t="s">
        <v>1769</v>
      </c>
      <c r="Y37" s="3619"/>
      <c r="Z37" s="1286"/>
      <c r="AA37" s="1717">
        <f t="shared" si="12"/>
        <v>0</v>
      </c>
      <c r="AB37" s="3049"/>
      <c r="AC37" s="1802"/>
      <c r="BB37" s="68"/>
      <c r="BC37" s="68"/>
      <c r="BD37" s="68"/>
      <c r="BE37" s="68"/>
      <c r="BF37" s="68"/>
      <c r="BG37" s="68"/>
      <c r="BH37" s="68"/>
    </row>
    <row r="38" spans="1:60" ht="12" customHeight="1" x14ac:dyDescent="0.2">
      <c r="A38" s="1983"/>
      <c r="B38" s="2306"/>
      <c r="C38" s="3544"/>
      <c r="D38" s="3617"/>
      <c r="E38" s="3692" t="s">
        <v>1704</v>
      </c>
      <c r="F38" s="3693"/>
      <c r="G38" s="3693"/>
      <c r="H38" s="3693"/>
      <c r="I38" s="3693"/>
      <c r="J38" s="3693"/>
      <c r="K38" s="3694"/>
      <c r="L38" s="156">
        <f t="shared" si="7"/>
        <v>30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620" t="s">
        <v>1769</v>
      </c>
      <c r="Y38" s="3620"/>
      <c r="Z38" s="1288"/>
      <c r="AA38" s="1718">
        <f t="shared" si="12"/>
        <v>0</v>
      </c>
      <c r="AB38" s="3049"/>
      <c r="AC38" s="1802"/>
      <c r="BB38" s="68"/>
      <c r="BC38" s="68"/>
      <c r="BD38" s="68"/>
      <c r="BE38" s="68"/>
      <c r="BF38" s="68"/>
      <c r="BG38" s="68"/>
      <c r="BH38" s="68"/>
    </row>
    <row r="39" spans="1:60" ht="12" customHeight="1" x14ac:dyDescent="0.2">
      <c r="A39" s="1983"/>
      <c r="B39" s="2306"/>
      <c r="C39" s="3544"/>
      <c r="D39" s="1720" t="s">
        <v>1815</v>
      </c>
      <c r="E39" s="3695" t="s">
        <v>1816</v>
      </c>
      <c r="F39" s="3696"/>
      <c r="G39" s="3696"/>
      <c r="H39" s="3696"/>
      <c r="I39" s="3696"/>
      <c r="J39" s="3696"/>
      <c r="K39" s="3697"/>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621">
        <f>HLOOKUP($E39,Bonos_Cat_Base,2,FALSE)</f>
        <v>10</v>
      </c>
      <c r="Y39" s="3621">
        <f>HLOOKUP($E39,Bonos_Cat_Base,2,FALSE)</f>
        <v>10</v>
      </c>
      <c r="Z39" s="1293"/>
      <c r="AA39" s="1721">
        <f>Z39+X39+W39+V39</f>
        <v>10</v>
      </c>
      <c r="AB39" s="3049"/>
      <c r="AC39" s="1802"/>
      <c r="BB39" s="68"/>
      <c r="BC39" s="68"/>
      <c r="BD39" s="68"/>
      <c r="BE39" s="68"/>
      <c r="BF39" s="68"/>
      <c r="BG39" s="68"/>
      <c r="BH39" s="68"/>
    </row>
    <row r="40" spans="1:60" ht="12" customHeight="1" x14ac:dyDescent="0.2">
      <c r="A40" s="1983"/>
      <c r="B40" s="2306"/>
      <c r="C40" s="3544"/>
      <c r="D40" s="3602" t="s">
        <v>1817</v>
      </c>
      <c r="E40" s="3571"/>
      <c r="F40" s="3572"/>
      <c r="G40" s="3572"/>
      <c r="H40" s="3572"/>
      <c r="I40" s="3572"/>
      <c r="J40" s="3572"/>
      <c r="K40" s="3573"/>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770" t="str">
        <f t="shared" ref="V40:V41" si="13">IF(E40=0,"",VLOOKUP(E40,Tabla_TablasArmas,3,FALSE))</f>
        <v/>
      </c>
      <c r="W40" s="3771"/>
      <c r="X40" s="3771"/>
      <c r="Y40" s="3776"/>
      <c r="Z40" s="3776"/>
      <c r="AA40" s="3777"/>
      <c r="AB40" s="3049"/>
      <c r="AC40" s="1802"/>
      <c r="AD40" s="2960"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44"/>
      <c r="D41" s="3603"/>
      <c r="E41" s="3574"/>
      <c r="F41" s="3575"/>
      <c r="G41" s="3575"/>
      <c r="H41" s="3575"/>
      <c r="I41" s="3575"/>
      <c r="J41" s="3575"/>
      <c r="K41" s="3576"/>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772" t="str">
        <f t="shared" si="13"/>
        <v/>
      </c>
      <c r="W41" s="3773"/>
      <c r="X41" s="3773"/>
      <c r="Y41" s="3778"/>
      <c r="Z41" s="3778"/>
      <c r="AA41" s="3779"/>
      <c r="AB41" s="3049"/>
      <c r="AC41" s="1802"/>
      <c r="AD41" s="2960"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44"/>
      <c r="D42" s="3603"/>
      <c r="E42" s="3571"/>
      <c r="F42" s="3572"/>
      <c r="G42" s="3572"/>
      <c r="H42" s="3572"/>
      <c r="I42" s="3572"/>
      <c r="J42" s="3572"/>
      <c r="K42" s="3573"/>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770" t="str">
        <f t="shared" ref="V42" si="15">IF(E42=0,"",VLOOKUP(E42,Tabla_TablasArmas,3,FALSE))</f>
        <v/>
      </c>
      <c r="W42" s="3771"/>
      <c r="X42" s="3771"/>
      <c r="Y42" s="3776"/>
      <c r="Z42" s="3776"/>
      <c r="AA42" s="3777"/>
      <c r="AB42" s="3049"/>
      <c r="AC42" s="1802"/>
      <c r="AD42" s="2960" t="str">
        <f t="shared" si="14"/>
        <v>Lista_Armas</v>
      </c>
      <c r="BB42" s="68"/>
      <c r="BC42" s="68"/>
      <c r="BD42" s="68"/>
      <c r="BE42" s="68"/>
      <c r="BF42" s="68"/>
      <c r="BG42" s="68"/>
      <c r="BH42" s="68"/>
    </row>
    <row r="43" spans="1:60" ht="12" customHeight="1" x14ac:dyDescent="0.2">
      <c r="A43" s="1983"/>
      <c r="B43" s="2306"/>
      <c r="C43" s="3544"/>
      <c r="D43" s="3603"/>
      <c r="E43" s="3574"/>
      <c r="F43" s="3575"/>
      <c r="G43" s="3575"/>
      <c r="H43" s="3575"/>
      <c r="I43" s="3575"/>
      <c r="J43" s="3575"/>
      <c r="K43" s="3576"/>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772" t="str">
        <f t="shared" ref="V43:V45" si="16">IF(E43=0,"",VLOOKUP(E43,Tabla_TablasArmas,3,FALSE))</f>
        <v/>
      </c>
      <c r="W43" s="3773"/>
      <c r="X43" s="3773"/>
      <c r="Y43" s="3778"/>
      <c r="Z43" s="3778"/>
      <c r="AA43" s="3779"/>
      <c r="AB43" s="3049"/>
      <c r="AC43" s="1802"/>
      <c r="AD43" s="2960" t="str">
        <f t="shared" si="14"/>
        <v>Lista_Armas</v>
      </c>
      <c r="BB43" s="81"/>
      <c r="BC43" s="81"/>
      <c r="BD43" s="81"/>
      <c r="BE43" s="81"/>
      <c r="BF43" s="81"/>
      <c r="BG43" s="81"/>
      <c r="BH43" s="81"/>
    </row>
    <row r="44" spans="1:60" ht="12" customHeight="1" x14ac:dyDescent="0.2">
      <c r="A44" s="1983"/>
      <c r="B44" s="2306"/>
      <c r="C44" s="3544"/>
      <c r="D44" s="3603"/>
      <c r="E44" s="3571"/>
      <c r="F44" s="3572"/>
      <c r="G44" s="3572"/>
      <c r="H44" s="3572"/>
      <c r="I44" s="3572"/>
      <c r="J44" s="3572"/>
      <c r="K44" s="3573"/>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770" t="str">
        <f t="shared" si="16"/>
        <v/>
      </c>
      <c r="W44" s="3771"/>
      <c r="X44" s="3771"/>
      <c r="Y44" s="3776"/>
      <c r="Z44" s="3776"/>
      <c r="AA44" s="3777"/>
      <c r="AB44" s="3049"/>
      <c r="AC44" s="1802"/>
      <c r="AD44" s="2960" t="str">
        <f t="shared" si="14"/>
        <v>Lista_Armas</v>
      </c>
      <c r="BB44" s="81"/>
      <c r="BC44" s="81"/>
      <c r="BD44" s="81"/>
      <c r="BE44" s="81"/>
      <c r="BF44" s="81"/>
      <c r="BG44" s="81"/>
      <c r="BH44" s="81"/>
    </row>
    <row r="45" spans="1:60" ht="12" customHeight="1" x14ac:dyDescent="0.2">
      <c r="A45" s="1983"/>
      <c r="B45" s="2306"/>
      <c r="C45" s="3544"/>
      <c r="D45" s="3615"/>
      <c r="E45" s="3574"/>
      <c r="F45" s="3575"/>
      <c r="G45" s="3575"/>
      <c r="H45" s="3575"/>
      <c r="I45" s="3575"/>
      <c r="J45" s="3575"/>
      <c r="K45" s="3576"/>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774" t="str">
        <f t="shared" si="16"/>
        <v/>
      </c>
      <c r="W45" s="3775"/>
      <c r="X45" s="3775"/>
      <c r="Y45" s="3780"/>
      <c r="Z45" s="3780"/>
      <c r="AA45" s="3781"/>
      <c r="AB45" s="3049"/>
      <c r="AC45" s="1802"/>
      <c r="AD45" s="2960" t="str">
        <f t="shared" si="14"/>
        <v>Lista_Armas</v>
      </c>
      <c r="BB45" s="81"/>
      <c r="BC45" s="81"/>
      <c r="BD45" s="81"/>
      <c r="BE45" s="81"/>
      <c r="BF45" s="81"/>
      <c r="BG45" s="81"/>
      <c r="BH45" s="81"/>
    </row>
    <row r="46" spans="1:60" ht="12" customHeight="1" x14ac:dyDescent="0.2">
      <c r="A46" s="1983"/>
      <c r="B46" s="2306"/>
      <c r="C46" s="3544"/>
      <c r="D46" s="3627" t="s">
        <v>1818</v>
      </c>
      <c r="E46" s="3622"/>
      <c r="F46" s="3623"/>
      <c r="G46" s="3623"/>
      <c r="H46" s="3623"/>
      <c r="I46" s="3623"/>
      <c r="J46" s="3623"/>
      <c r="K46" s="3624"/>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715" t="str">
        <f t="shared" ref="V46:V55" si="22">IF($E46="","",VLOOKUP($E46,Tabla_Tabla_Estilos,3,FALSE))</f>
        <v/>
      </c>
      <c r="W46" s="3715"/>
      <c r="X46" s="3715"/>
      <c r="Y46" s="3715"/>
      <c r="Z46" s="3715"/>
      <c r="AA46" s="3716"/>
      <c r="AB46" s="3049"/>
      <c r="AC46" s="1802"/>
      <c r="BB46" s="81"/>
      <c r="BC46" s="81"/>
      <c r="BD46" s="81"/>
      <c r="BE46" s="81"/>
      <c r="BF46" s="81"/>
      <c r="BG46" s="81"/>
      <c r="BH46" s="81"/>
    </row>
    <row r="47" spans="1:60" ht="12" customHeight="1" x14ac:dyDescent="0.2">
      <c r="A47" s="1983"/>
      <c r="B47" s="2306"/>
      <c r="C47" s="3544"/>
      <c r="D47" s="3628"/>
      <c r="E47" s="3625"/>
      <c r="F47" s="3575"/>
      <c r="G47" s="3575"/>
      <c r="H47" s="3575"/>
      <c r="I47" s="3575"/>
      <c r="J47" s="3575"/>
      <c r="K47" s="3576"/>
      <c r="L47" s="141" t="str">
        <f t="shared" si="17"/>
        <v/>
      </c>
      <c r="M47" s="1650"/>
      <c r="N47" s="141">
        <f t="shared" si="18"/>
        <v>0</v>
      </c>
      <c r="O47" s="1650"/>
      <c r="P47" s="141">
        <f t="shared" si="19"/>
        <v>0</v>
      </c>
      <c r="Q47" s="1650"/>
      <c r="R47" s="141">
        <f t="shared" si="20"/>
        <v>0</v>
      </c>
      <c r="S47" s="1650"/>
      <c r="T47" s="141">
        <f t="shared" si="21"/>
        <v>0</v>
      </c>
      <c r="U47" s="1699"/>
      <c r="V47" s="3717" t="str">
        <f t="shared" si="22"/>
        <v/>
      </c>
      <c r="W47" s="3717"/>
      <c r="X47" s="3717"/>
      <c r="Y47" s="3717"/>
      <c r="Z47" s="3717"/>
      <c r="AA47" s="3718"/>
      <c r="AB47" s="3049"/>
      <c r="AC47" s="1802"/>
      <c r="BB47" s="81"/>
      <c r="BC47" s="81"/>
      <c r="BD47" s="81"/>
      <c r="BE47" s="81"/>
      <c r="BF47" s="81"/>
      <c r="BG47" s="81"/>
      <c r="BH47" s="81"/>
    </row>
    <row r="48" spans="1:60" ht="12" customHeight="1" x14ac:dyDescent="0.2">
      <c r="A48" s="1983"/>
      <c r="B48" s="2306"/>
      <c r="C48" s="3544"/>
      <c r="D48" s="3628"/>
      <c r="E48" s="3626"/>
      <c r="F48" s="3572"/>
      <c r="G48" s="3572"/>
      <c r="H48" s="3572"/>
      <c r="I48" s="3572"/>
      <c r="J48" s="3572"/>
      <c r="K48" s="3573"/>
      <c r="L48" s="146" t="str">
        <f t="shared" si="17"/>
        <v/>
      </c>
      <c r="M48" s="1649"/>
      <c r="N48" s="146">
        <f t="shared" si="18"/>
        <v>0</v>
      </c>
      <c r="O48" s="1649"/>
      <c r="P48" s="146">
        <f t="shared" si="19"/>
        <v>0</v>
      </c>
      <c r="Q48" s="1649"/>
      <c r="R48" s="146">
        <f t="shared" si="20"/>
        <v>0</v>
      </c>
      <c r="S48" s="1649"/>
      <c r="T48" s="146">
        <f t="shared" si="21"/>
        <v>0</v>
      </c>
      <c r="U48" s="1700"/>
      <c r="V48" s="3719" t="str">
        <f t="shared" si="22"/>
        <v/>
      </c>
      <c r="W48" s="3719"/>
      <c r="X48" s="3719"/>
      <c r="Y48" s="3719"/>
      <c r="Z48" s="3719"/>
      <c r="AA48" s="3720"/>
      <c r="AB48" s="3049"/>
      <c r="AC48" s="1802"/>
      <c r="BB48" s="81"/>
      <c r="BC48" s="81"/>
      <c r="BD48" s="81"/>
      <c r="BE48" s="81"/>
      <c r="BF48" s="81"/>
      <c r="BG48" s="81"/>
      <c r="BH48" s="81"/>
    </row>
    <row r="49" spans="1:65" ht="12" customHeight="1" x14ac:dyDescent="0.2">
      <c r="A49" s="1983"/>
      <c r="B49" s="2306"/>
      <c r="C49" s="3544"/>
      <c r="D49" s="3628"/>
      <c r="E49" s="3625"/>
      <c r="F49" s="3575"/>
      <c r="G49" s="3575"/>
      <c r="H49" s="3575"/>
      <c r="I49" s="3575"/>
      <c r="J49" s="3575"/>
      <c r="K49" s="3576"/>
      <c r="L49" s="141" t="str">
        <f t="shared" si="17"/>
        <v/>
      </c>
      <c r="M49" s="1650"/>
      <c r="N49" s="141">
        <f t="shared" si="18"/>
        <v>0</v>
      </c>
      <c r="O49" s="1650"/>
      <c r="P49" s="141">
        <f t="shared" si="19"/>
        <v>0</v>
      </c>
      <c r="Q49" s="1650"/>
      <c r="R49" s="141">
        <f t="shared" si="20"/>
        <v>0</v>
      </c>
      <c r="S49" s="1650"/>
      <c r="T49" s="141">
        <f t="shared" si="21"/>
        <v>0</v>
      </c>
      <c r="U49" s="1699"/>
      <c r="V49" s="3717" t="str">
        <f t="shared" si="22"/>
        <v/>
      </c>
      <c r="W49" s="3717"/>
      <c r="X49" s="3717"/>
      <c r="Y49" s="3717"/>
      <c r="Z49" s="3717"/>
      <c r="AA49" s="3718"/>
      <c r="AB49" s="3049"/>
      <c r="AC49" s="1802"/>
    </row>
    <row r="50" spans="1:65" ht="12" customHeight="1" x14ac:dyDescent="0.2">
      <c r="A50" s="1983"/>
      <c r="B50" s="2306"/>
      <c r="C50" s="3544"/>
      <c r="D50" s="3628"/>
      <c r="E50" s="3626"/>
      <c r="F50" s="3572"/>
      <c r="G50" s="3572"/>
      <c r="H50" s="3572"/>
      <c r="I50" s="3572"/>
      <c r="J50" s="3572"/>
      <c r="K50" s="3573"/>
      <c r="L50" s="146" t="str">
        <f t="shared" si="17"/>
        <v/>
      </c>
      <c r="M50" s="1649"/>
      <c r="N50" s="146">
        <f t="shared" si="18"/>
        <v>0</v>
      </c>
      <c r="O50" s="1649"/>
      <c r="P50" s="146">
        <f t="shared" si="19"/>
        <v>0</v>
      </c>
      <c r="Q50" s="1649"/>
      <c r="R50" s="146">
        <f t="shared" si="20"/>
        <v>0</v>
      </c>
      <c r="S50" s="1649"/>
      <c r="T50" s="146">
        <f t="shared" si="21"/>
        <v>0</v>
      </c>
      <c r="U50" s="1700"/>
      <c r="V50" s="3719" t="str">
        <f t="shared" si="22"/>
        <v/>
      </c>
      <c r="W50" s="3719"/>
      <c r="X50" s="3719"/>
      <c r="Y50" s="3719"/>
      <c r="Z50" s="3719"/>
      <c r="AA50" s="3720"/>
      <c r="AB50" s="3049"/>
      <c r="AC50" s="1802"/>
      <c r="AD50" s="2960" t="str">
        <f>IF(PDs!$AD75=0,"",IF(PDs!$V75="FALTAN REQUISITOS",PDs!$V75,VLOOKUP(X50,Tabla_AM_Armas,9,FALSE)))</f>
        <v/>
      </c>
    </row>
    <row r="51" spans="1:65" ht="12" customHeight="1" x14ac:dyDescent="0.2">
      <c r="A51" s="1983"/>
      <c r="B51" s="2306"/>
      <c r="C51" s="3544"/>
      <c r="D51" s="3628"/>
      <c r="E51" s="3625"/>
      <c r="F51" s="3575"/>
      <c r="G51" s="3575"/>
      <c r="H51" s="3575"/>
      <c r="I51" s="3575"/>
      <c r="J51" s="3575"/>
      <c r="K51" s="3576"/>
      <c r="L51" s="141" t="str">
        <f t="shared" si="17"/>
        <v/>
      </c>
      <c r="M51" s="1650"/>
      <c r="N51" s="141">
        <f t="shared" si="18"/>
        <v>0</v>
      </c>
      <c r="O51" s="1650"/>
      <c r="P51" s="141">
        <f t="shared" si="19"/>
        <v>0</v>
      </c>
      <c r="Q51" s="1650"/>
      <c r="R51" s="141">
        <f t="shared" si="20"/>
        <v>0</v>
      </c>
      <c r="S51" s="1650"/>
      <c r="T51" s="141">
        <f t="shared" si="21"/>
        <v>0</v>
      </c>
      <c r="U51" s="1699"/>
      <c r="V51" s="3717" t="str">
        <f t="shared" si="22"/>
        <v/>
      </c>
      <c r="W51" s="3717"/>
      <c r="X51" s="3717"/>
      <c r="Y51" s="3717"/>
      <c r="Z51" s="3717"/>
      <c r="AA51" s="3718"/>
      <c r="AB51" s="3049"/>
      <c r="AC51" s="1802"/>
      <c r="AD51" s="2960" t="str">
        <f>IF(PDs!$AD76=0,"",IF(PDs!$V76="FALTAN REQUISITOS",PDs!$V76,VLOOKUP(X51,Tabla_AM_Armas,9,FALSE)))</f>
        <v/>
      </c>
    </row>
    <row r="52" spans="1:65" ht="12" customHeight="1" x14ac:dyDescent="0.2">
      <c r="A52" s="1983"/>
      <c r="B52" s="2306"/>
      <c r="C52" s="3544"/>
      <c r="D52" s="3628"/>
      <c r="E52" s="3626"/>
      <c r="F52" s="3572"/>
      <c r="G52" s="3572"/>
      <c r="H52" s="3572"/>
      <c r="I52" s="3572"/>
      <c r="J52" s="3572"/>
      <c r="K52" s="3573"/>
      <c r="L52" s="146" t="str">
        <f t="shared" si="17"/>
        <v/>
      </c>
      <c r="M52" s="171"/>
      <c r="N52" s="146">
        <f t="shared" si="18"/>
        <v>0</v>
      </c>
      <c r="O52" s="171"/>
      <c r="P52" s="146">
        <f t="shared" si="19"/>
        <v>0</v>
      </c>
      <c r="Q52" s="171"/>
      <c r="R52" s="146">
        <f t="shared" si="20"/>
        <v>0</v>
      </c>
      <c r="S52" s="171"/>
      <c r="T52" s="146">
        <f t="shared" si="21"/>
        <v>0</v>
      </c>
      <c r="U52" s="1701"/>
      <c r="V52" s="3719" t="str">
        <f t="shared" si="22"/>
        <v/>
      </c>
      <c r="W52" s="3719"/>
      <c r="X52" s="3719"/>
      <c r="Y52" s="3719"/>
      <c r="Z52" s="3719"/>
      <c r="AA52" s="3720"/>
      <c r="AB52" s="3049"/>
      <c r="AC52" s="1802"/>
      <c r="AD52" s="2960" t="str">
        <f>IF(PDs!$AD77=0,"",IF(PDs!$V77="FALTAN REQUISITOS",PDs!$V77,VLOOKUP(X52,Tabla_AM_Armas,9,FALSE)))</f>
        <v/>
      </c>
    </row>
    <row r="53" spans="1:65" ht="12" customHeight="1" x14ac:dyDescent="0.2">
      <c r="A53" s="1983"/>
      <c r="B53" s="2306"/>
      <c r="C53" s="3544"/>
      <c r="D53" s="3628"/>
      <c r="E53" s="3625"/>
      <c r="F53" s="3575"/>
      <c r="G53" s="3575"/>
      <c r="H53" s="3575"/>
      <c r="I53" s="3575"/>
      <c r="J53" s="3575"/>
      <c r="K53" s="3576"/>
      <c r="L53" s="141" t="str">
        <f t="shared" si="17"/>
        <v/>
      </c>
      <c r="M53" s="172"/>
      <c r="N53" s="141">
        <f t="shared" si="18"/>
        <v>0</v>
      </c>
      <c r="O53" s="172"/>
      <c r="P53" s="141">
        <f t="shared" si="19"/>
        <v>0</v>
      </c>
      <c r="Q53" s="172"/>
      <c r="R53" s="141">
        <f t="shared" si="20"/>
        <v>0</v>
      </c>
      <c r="S53" s="172"/>
      <c r="T53" s="141">
        <f t="shared" si="21"/>
        <v>0</v>
      </c>
      <c r="U53" s="1702"/>
      <c r="V53" s="3717" t="str">
        <f t="shared" si="22"/>
        <v/>
      </c>
      <c r="W53" s="3717"/>
      <c r="X53" s="3717"/>
      <c r="Y53" s="3717"/>
      <c r="Z53" s="3717"/>
      <c r="AA53" s="3718"/>
      <c r="AB53" s="3049"/>
      <c r="AC53" s="1802"/>
    </row>
    <row r="54" spans="1:65" ht="12" customHeight="1" x14ac:dyDescent="0.2">
      <c r="A54" s="1983"/>
      <c r="B54" s="2306"/>
      <c r="C54" s="3544"/>
      <c r="D54" s="3628"/>
      <c r="E54" s="3626"/>
      <c r="F54" s="3572"/>
      <c r="G54" s="3572"/>
      <c r="H54" s="3572"/>
      <c r="I54" s="3572"/>
      <c r="J54" s="3572"/>
      <c r="K54" s="3573"/>
      <c r="L54" s="146" t="str">
        <f t="shared" si="17"/>
        <v/>
      </c>
      <c r="M54" s="171"/>
      <c r="N54" s="146">
        <f t="shared" si="18"/>
        <v>0</v>
      </c>
      <c r="O54" s="171"/>
      <c r="P54" s="146">
        <f t="shared" si="19"/>
        <v>0</v>
      </c>
      <c r="Q54" s="171"/>
      <c r="R54" s="146">
        <f t="shared" si="20"/>
        <v>0</v>
      </c>
      <c r="S54" s="171"/>
      <c r="T54" s="146">
        <f t="shared" si="21"/>
        <v>0</v>
      </c>
      <c r="U54" s="1701"/>
      <c r="V54" s="3719" t="str">
        <f t="shared" si="22"/>
        <v/>
      </c>
      <c r="W54" s="3719"/>
      <c r="X54" s="3719"/>
      <c r="Y54" s="3719"/>
      <c r="Z54" s="3719"/>
      <c r="AA54" s="3720"/>
      <c r="AB54" s="3049"/>
      <c r="AC54" s="1802"/>
      <c r="BB54" s="68"/>
      <c r="BC54" s="68"/>
      <c r="BD54" s="68"/>
      <c r="BE54" s="68"/>
      <c r="BF54" s="68"/>
      <c r="BG54" s="68"/>
      <c r="BH54" s="68"/>
      <c r="BI54" s="68"/>
    </row>
    <row r="55" spans="1:65" ht="12" customHeight="1" x14ac:dyDescent="0.2">
      <c r="A55" s="1983"/>
      <c r="B55" s="2306"/>
      <c r="C55" s="3544"/>
      <c r="D55" s="3629"/>
      <c r="E55" s="3711"/>
      <c r="F55" s="3712"/>
      <c r="G55" s="3712"/>
      <c r="H55" s="3712"/>
      <c r="I55" s="3712"/>
      <c r="J55" s="3712"/>
      <c r="K55" s="3713"/>
      <c r="L55" s="1694" t="str">
        <f t="shared" si="17"/>
        <v/>
      </c>
      <c r="M55" s="1703"/>
      <c r="N55" s="1694">
        <f t="shared" si="18"/>
        <v>0</v>
      </c>
      <c r="O55" s="1703"/>
      <c r="P55" s="1694">
        <f t="shared" si="19"/>
        <v>0</v>
      </c>
      <c r="Q55" s="1703"/>
      <c r="R55" s="1694">
        <f t="shared" si="20"/>
        <v>0</v>
      </c>
      <c r="S55" s="1703"/>
      <c r="T55" s="1694">
        <f t="shared" si="21"/>
        <v>0</v>
      </c>
      <c r="U55" s="1704"/>
      <c r="V55" s="3721" t="str">
        <f t="shared" si="22"/>
        <v/>
      </c>
      <c r="W55" s="3721"/>
      <c r="X55" s="3721"/>
      <c r="Y55" s="3721"/>
      <c r="Z55" s="3721"/>
      <c r="AA55" s="3722"/>
      <c r="AB55" s="3049"/>
      <c r="AC55" s="1802"/>
      <c r="AE55" s="2982"/>
      <c r="BB55" s="68"/>
      <c r="BC55" s="68"/>
      <c r="BD55" s="68"/>
      <c r="BE55" s="68"/>
      <c r="BF55" s="68"/>
      <c r="BG55" s="68"/>
      <c r="BH55" s="68"/>
      <c r="BI55" s="68"/>
    </row>
    <row r="56" spans="1:65" ht="12" customHeight="1" x14ac:dyDescent="0.2">
      <c r="A56" s="1983"/>
      <c r="B56" s="2306"/>
      <c r="C56" s="3544"/>
      <c r="D56" s="3627" t="s">
        <v>1819</v>
      </c>
      <c r="E56" s="3529"/>
      <c r="F56" s="3530"/>
      <c r="G56" s="3530"/>
      <c r="H56" s="3530"/>
      <c r="I56" s="3531"/>
      <c r="J56" s="3527"/>
      <c r="K56" s="3528"/>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51"/>
      <c r="R56" s="146" t="str">
        <f t="shared" ref="R56:R74" si="26">IF($AD56=0,"",IF(Categoría_4="Tao",IF(VLOOKUP($AD56,Tabla_ArtesMarciales,19,FALSE)&lt;20,5,IF(VLOOKUP($AD56,Tabla_ArtesMarciales,19,FALSE)&gt;30,20,10)),VLOOKUP($AD56,Tabla_ArtesMarciales,19,FALSE)))</f>
        <v/>
      </c>
      <c r="S56" s="2751"/>
      <c r="T56" s="146" t="str">
        <f t="shared" ref="T56:T74" si="27">IF($AD56=0,"",IF(Categoría_5="Tao",IF(VLOOKUP($AD56,Tabla_ArtesMarciales,19,FALSE)&lt;20,5,IF(VLOOKUP($AD56,Tabla_ArtesMarciales,19,FALSE)&gt;30,20,10)),VLOOKUP($AD56,Tabla_ArtesMarciales,19,FALSE)))</f>
        <v/>
      </c>
      <c r="U56" s="2751"/>
      <c r="V56" s="3723" t="str">
        <f t="shared" ref="V56:V74" si="28">IF($AD56=0,"",IF(VLOOKUP($AD56,Tabla_ArtesMarciales,21,FALSE)="-",VLOOKUP($AD56,Tabla_ArtesMarciales,9,FALSE),"FALTAN REQUISITOS"))</f>
        <v/>
      </c>
      <c r="W56" s="3715"/>
      <c r="X56" s="3715"/>
      <c r="Y56" s="3715"/>
      <c r="Z56" s="3715"/>
      <c r="AA56" s="3716"/>
      <c r="AB56" s="3049"/>
      <c r="AC56" s="1802"/>
      <c r="AD56" s="2960">
        <f>IF(OR(E56="",J56=""),,E56&amp;" ("&amp;J56&amp;")")</f>
        <v>0</v>
      </c>
      <c r="AE56" s="2987">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44"/>
      <c r="D57" s="3628"/>
      <c r="E57" s="3499"/>
      <c r="F57" s="3500"/>
      <c r="G57" s="3500"/>
      <c r="H57" s="3500"/>
      <c r="I57" s="3501"/>
      <c r="J57" s="3502"/>
      <c r="K57" s="3503"/>
      <c r="L57" s="2379" t="str">
        <f t="shared" si="23"/>
        <v/>
      </c>
      <c r="M57" s="1650"/>
      <c r="N57" s="141" t="str">
        <f t="shared" si="24"/>
        <v/>
      </c>
      <c r="O57" s="1650"/>
      <c r="P57" s="141" t="str">
        <f t="shared" si="25"/>
        <v/>
      </c>
      <c r="Q57" s="1650"/>
      <c r="R57" s="141" t="str">
        <f t="shared" si="26"/>
        <v/>
      </c>
      <c r="S57" s="1650"/>
      <c r="T57" s="141" t="str">
        <f t="shared" si="27"/>
        <v/>
      </c>
      <c r="U57" s="1650"/>
      <c r="V57" s="3724" t="str">
        <f t="shared" si="28"/>
        <v/>
      </c>
      <c r="W57" s="3717"/>
      <c r="X57" s="3717"/>
      <c r="Y57" s="3717"/>
      <c r="Z57" s="3717"/>
      <c r="AA57" s="3718"/>
      <c r="AB57" s="3049"/>
      <c r="AC57" s="1802"/>
      <c r="AD57" s="2960">
        <f t="shared" ref="AD57:AD58" si="29">IF(OR(E57="",J57=""),,E57&amp;" ("&amp;J57&amp;")")</f>
        <v>0</v>
      </c>
      <c r="AE57" s="2987">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44"/>
      <c r="D58" s="3628"/>
      <c r="E58" s="3494"/>
      <c r="F58" s="3495"/>
      <c r="G58" s="3495"/>
      <c r="H58" s="3495"/>
      <c r="I58" s="3496"/>
      <c r="J58" s="3497"/>
      <c r="K58" s="3498"/>
      <c r="L58" s="2378" t="str">
        <f t="shared" si="23"/>
        <v/>
      </c>
      <c r="M58" s="1649"/>
      <c r="N58" s="146" t="str">
        <f t="shared" si="24"/>
        <v/>
      </c>
      <c r="O58" s="1649"/>
      <c r="P58" s="146" t="str">
        <f t="shared" si="25"/>
        <v/>
      </c>
      <c r="Q58" s="1649"/>
      <c r="R58" s="146" t="str">
        <f t="shared" si="26"/>
        <v/>
      </c>
      <c r="S58" s="1649"/>
      <c r="T58" s="146" t="str">
        <f t="shared" si="27"/>
        <v/>
      </c>
      <c r="U58" s="1649"/>
      <c r="V58" s="3725" t="str">
        <f t="shared" si="28"/>
        <v/>
      </c>
      <c r="W58" s="3719"/>
      <c r="X58" s="3719"/>
      <c r="Y58" s="3719"/>
      <c r="Z58" s="3719"/>
      <c r="AA58" s="3720"/>
      <c r="AB58" s="3049"/>
      <c r="AC58" s="1802"/>
      <c r="AD58" s="2960">
        <f t="shared" si="29"/>
        <v>0</v>
      </c>
      <c r="AE58" s="2987">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44"/>
      <c r="D59" s="3628"/>
      <c r="E59" s="3499"/>
      <c r="F59" s="3500"/>
      <c r="G59" s="3500"/>
      <c r="H59" s="3500"/>
      <c r="I59" s="3501"/>
      <c r="J59" s="3502"/>
      <c r="K59" s="3503"/>
      <c r="L59" s="2379" t="str">
        <f t="shared" si="23"/>
        <v/>
      </c>
      <c r="M59" s="1650"/>
      <c r="N59" s="141" t="str">
        <f t="shared" si="24"/>
        <v/>
      </c>
      <c r="O59" s="1650"/>
      <c r="P59" s="141" t="str">
        <f t="shared" si="25"/>
        <v/>
      </c>
      <c r="Q59" s="1650"/>
      <c r="R59" s="141" t="str">
        <f t="shared" si="26"/>
        <v/>
      </c>
      <c r="S59" s="1650"/>
      <c r="T59" s="141" t="str">
        <f t="shared" si="27"/>
        <v/>
      </c>
      <c r="U59" s="1650"/>
      <c r="V59" s="3724" t="str">
        <f t="shared" si="28"/>
        <v/>
      </c>
      <c r="W59" s="3717"/>
      <c r="X59" s="3717"/>
      <c r="Y59" s="3717"/>
      <c r="Z59" s="3717"/>
      <c r="AA59" s="3718"/>
      <c r="AB59" s="3049"/>
      <c r="AC59" s="1802"/>
      <c r="AD59" s="2960">
        <f t="shared" ref="AD59:AD74" si="30">IF(OR(E59="",J59=""),,E59&amp;" ("&amp;J59&amp;")")</f>
        <v>0</v>
      </c>
      <c r="AE59" s="2987">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44"/>
      <c r="D60" s="3628"/>
      <c r="E60" s="3494"/>
      <c r="F60" s="3495"/>
      <c r="G60" s="3495"/>
      <c r="H60" s="3495"/>
      <c r="I60" s="3496"/>
      <c r="J60" s="3497"/>
      <c r="K60" s="3498"/>
      <c r="L60" s="2378" t="str">
        <f t="shared" si="23"/>
        <v/>
      </c>
      <c r="M60" s="1649"/>
      <c r="N60" s="146" t="str">
        <f t="shared" si="24"/>
        <v/>
      </c>
      <c r="O60" s="1649"/>
      <c r="P60" s="146" t="str">
        <f t="shared" si="25"/>
        <v/>
      </c>
      <c r="Q60" s="1649"/>
      <c r="R60" s="146" t="str">
        <f t="shared" si="26"/>
        <v/>
      </c>
      <c r="S60" s="1649"/>
      <c r="T60" s="146" t="str">
        <f t="shared" si="27"/>
        <v/>
      </c>
      <c r="U60" s="1649"/>
      <c r="V60" s="3725" t="str">
        <f t="shared" si="28"/>
        <v/>
      </c>
      <c r="W60" s="3719"/>
      <c r="X60" s="3719"/>
      <c r="Y60" s="3719"/>
      <c r="Z60" s="3719"/>
      <c r="AA60" s="3720"/>
      <c r="AB60" s="3049"/>
      <c r="AC60" s="1802"/>
      <c r="AD60" s="2960">
        <f t="shared" si="30"/>
        <v>0</v>
      </c>
      <c r="AE60" s="2987">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44"/>
      <c r="D61" s="3628"/>
      <c r="E61" s="3499"/>
      <c r="F61" s="3500"/>
      <c r="G61" s="3500"/>
      <c r="H61" s="3500"/>
      <c r="I61" s="3501"/>
      <c r="J61" s="3502"/>
      <c r="K61" s="3503"/>
      <c r="L61" s="2379" t="str">
        <f t="shared" si="23"/>
        <v/>
      </c>
      <c r="M61" s="1650"/>
      <c r="N61" s="141" t="str">
        <f t="shared" si="24"/>
        <v/>
      </c>
      <c r="O61" s="1650"/>
      <c r="P61" s="141" t="str">
        <f t="shared" si="25"/>
        <v/>
      </c>
      <c r="Q61" s="1650"/>
      <c r="R61" s="141" t="str">
        <f t="shared" si="26"/>
        <v/>
      </c>
      <c r="S61" s="1650"/>
      <c r="T61" s="141" t="str">
        <f t="shared" si="27"/>
        <v/>
      </c>
      <c r="U61" s="1650"/>
      <c r="V61" s="3724" t="str">
        <f t="shared" si="28"/>
        <v/>
      </c>
      <c r="W61" s="3717"/>
      <c r="X61" s="3717"/>
      <c r="Y61" s="3717"/>
      <c r="Z61" s="3717"/>
      <c r="AA61" s="3718"/>
      <c r="AB61" s="3092"/>
      <c r="AC61" s="3096"/>
      <c r="AD61" s="2960">
        <f t="shared" si="30"/>
        <v>0</v>
      </c>
      <c r="AE61" s="2987">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44"/>
      <c r="D62" s="3628"/>
      <c r="E62" s="3494"/>
      <c r="F62" s="3495"/>
      <c r="G62" s="3495"/>
      <c r="H62" s="3495"/>
      <c r="I62" s="3496"/>
      <c r="J62" s="3497"/>
      <c r="K62" s="3498"/>
      <c r="L62" s="2378" t="str">
        <f t="shared" si="23"/>
        <v/>
      </c>
      <c r="M62" s="1649"/>
      <c r="N62" s="146" t="str">
        <f t="shared" si="24"/>
        <v/>
      </c>
      <c r="O62" s="1649"/>
      <c r="P62" s="146" t="str">
        <f t="shared" si="25"/>
        <v/>
      </c>
      <c r="Q62" s="1649"/>
      <c r="R62" s="146" t="str">
        <f t="shared" si="26"/>
        <v/>
      </c>
      <c r="S62" s="1649"/>
      <c r="T62" s="146" t="str">
        <f t="shared" si="27"/>
        <v/>
      </c>
      <c r="U62" s="1649"/>
      <c r="V62" s="3725" t="str">
        <f t="shared" si="28"/>
        <v/>
      </c>
      <c r="W62" s="3719"/>
      <c r="X62" s="3719"/>
      <c r="Y62" s="3719"/>
      <c r="Z62" s="3719"/>
      <c r="AA62" s="3720"/>
      <c r="AB62" s="3049"/>
      <c r="AC62" s="1802"/>
      <c r="AD62" s="2960">
        <f>IF(OR(E62="",J62=""),,E62&amp;" ("&amp;J62&amp;")")</f>
        <v>0</v>
      </c>
      <c r="AE62" s="2987">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44"/>
      <c r="D63" s="3628"/>
      <c r="E63" s="3499"/>
      <c r="F63" s="3500"/>
      <c r="G63" s="3500"/>
      <c r="H63" s="3500"/>
      <c r="I63" s="3501"/>
      <c r="J63" s="3502"/>
      <c r="K63" s="3503"/>
      <c r="L63" s="2379" t="str">
        <f t="shared" si="23"/>
        <v/>
      </c>
      <c r="M63" s="1650"/>
      <c r="N63" s="141" t="str">
        <f t="shared" si="24"/>
        <v/>
      </c>
      <c r="O63" s="1650"/>
      <c r="P63" s="141" t="str">
        <f t="shared" si="25"/>
        <v/>
      </c>
      <c r="Q63" s="1650"/>
      <c r="R63" s="141" t="str">
        <f t="shared" si="26"/>
        <v/>
      </c>
      <c r="S63" s="1650"/>
      <c r="T63" s="141" t="str">
        <f t="shared" si="27"/>
        <v/>
      </c>
      <c r="U63" s="1650"/>
      <c r="V63" s="3724" t="str">
        <f t="shared" si="28"/>
        <v/>
      </c>
      <c r="W63" s="3717"/>
      <c r="X63" s="3717"/>
      <c r="Y63" s="3717"/>
      <c r="Z63" s="3717"/>
      <c r="AA63" s="3718"/>
      <c r="AB63" s="3097"/>
      <c r="AC63" s="1805"/>
      <c r="AD63" s="2960">
        <f t="shared" si="30"/>
        <v>0</v>
      </c>
      <c r="AE63" s="2987">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44"/>
      <c r="D64" s="3628"/>
      <c r="E64" s="3494"/>
      <c r="F64" s="3495"/>
      <c r="G64" s="3495"/>
      <c r="H64" s="3495"/>
      <c r="I64" s="3496"/>
      <c r="J64" s="3497"/>
      <c r="K64" s="3498"/>
      <c r="L64" s="2378" t="str">
        <f t="shared" si="23"/>
        <v/>
      </c>
      <c r="M64" s="1649"/>
      <c r="N64" s="146" t="str">
        <f t="shared" si="24"/>
        <v/>
      </c>
      <c r="O64" s="1649"/>
      <c r="P64" s="146" t="str">
        <f t="shared" si="25"/>
        <v/>
      </c>
      <c r="Q64" s="1649"/>
      <c r="R64" s="146" t="str">
        <f t="shared" si="26"/>
        <v/>
      </c>
      <c r="S64" s="1649"/>
      <c r="T64" s="146" t="str">
        <f t="shared" si="27"/>
        <v/>
      </c>
      <c r="U64" s="1649"/>
      <c r="V64" s="3725" t="str">
        <f t="shared" si="28"/>
        <v/>
      </c>
      <c r="W64" s="3719"/>
      <c r="X64" s="3719"/>
      <c r="Y64" s="3719"/>
      <c r="Z64" s="3719"/>
      <c r="AA64" s="3720"/>
      <c r="AB64" s="3097"/>
      <c r="AC64" s="1805"/>
      <c r="AD64" s="2960">
        <f t="shared" si="30"/>
        <v>0</v>
      </c>
      <c r="AE64" s="2987">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44"/>
      <c r="D65" s="3628"/>
      <c r="E65" s="3499"/>
      <c r="F65" s="3500"/>
      <c r="G65" s="3500"/>
      <c r="H65" s="3500"/>
      <c r="I65" s="3501"/>
      <c r="J65" s="3502"/>
      <c r="K65" s="3503"/>
      <c r="L65" s="2379" t="str">
        <f t="shared" si="23"/>
        <v/>
      </c>
      <c r="M65" s="1650"/>
      <c r="N65" s="141" t="str">
        <f t="shared" si="24"/>
        <v/>
      </c>
      <c r="O65" s="1650"/>
      <c r="P65" s="141" t="str">
        <f t="shared" si="25"/>
        <v/>
      </c>
      <c r="Q65" s="1650"/>
      <c r="R65" s="141" t="str">
        <f t="shared" si="26"/>
        <v/>
      </c>
      <c r="S65" s="1650"/>
      <c r="T65" s="141" t="str">
        <f t="shared" si="27"/>
        <v/>
      </c>
      <c r="U65" s="1650"/>
      <c r="V65" s="3724" t="str">
        <f t="shared" si="28"/>
        <v/>
      </c>
      <c r="W65" s="3717"/>
      <c r="X65" s="3717"/>
      <c r="Y65" s="3717"/>
      <c r="Z65" s="3717"/>
      <c r="AA65" s="3718"/>
      <c r="AB65" s="3097"/>
      <c r="AC65" s="1805"/>
      <c r="AD65" s="2960">
        <f t="shared" si="30"/>
        <v>0</v>
      </c>
      <c r="AE65" s="2987">
        <f>IF(ISNUMBER(MATCH(E65,Tablas!$AC$804:$AC$822,0)),"Grado_AM_Básicas",IF(ISNUMBER(MATCH(E65,Tablas!$AC$823:$AC$840,0)),"Grado_AM_Avanzadas",))</f>
        <v>0</v>
      </c>
    </row>
    <row r="66" spans="1:52" ht="12" customHeight="1" x14ac:dyDescent="0.2">
      <c r="A66" s="1983"/>
      <c r="B66" s="2306"/>
      <c r="C66" s="3544"/>
      <c r="D66" s="3628"/>
      <c r="E66" s="3494"/>
      <c r="F66" s="3495"/>
      <c r="G66" s="3495"/>
      <c r="H66" s="3495"/>
      <c r="I66" s="3496"/>
      <c r="J66" s="3497"/>
      <c r="K66" s="3498"/>
      <c r="L66" s="2378" t="str">
        <f t="shared" si="23"/>
        <v/>
      </c>
      <c r="M66" s="1649"/>
      <c r="N66" s="146" t="str">
        <f t="shared" si="24"/>
        <v/>
      </c>
      <c r="O66" s="1649"/>
      <c r="P66" s="146" t="str">
        <f t="shared" si="25"/>
        <v/>
      </c>
      <c r="Q66" s="1649"/>
      <c r="R66" s="146" t="str">
        <f t="shared" si="26"/>
        <v/>
      </c>
      <c r="S66" s="1649"/>
      <c r="T66" s="146" t="str">
        <f t="shared" si="27"/>
        <v/>
      </c>
      <c r="U66" s="1649"/>
      <c r="V66" s="3725" t="str">
        <f t="shared" si="28"/>
        <v/>
      </c>
      <c r="W66" s="3719"/>
      <c r="X66" s="3719"/>
      <c r="Y66" s="3719"/>
      <c r="Z66" s="3719"/>
      <c r="AA66" s="3720"/>
      <c r="AB66" s="3097"/>
      <c r="AC66" s="1805"/>
      <c r="AD66" s="2960">
        <f t="shared" si="30"/>
        <v>0</v>
      </c>
      <c r="AE66" s="2987">
        <f>IF(ISNUMBER(MATCH(E66,Tablas!$AC$804:$AC$822,0)),"Grado_AM_Básicas",IF(ISNUMBER(MATCH(E66,Tablas!$AC$823:$AC$840,0)),"Grado_AM_Avanzadas",))</f>
        <v>0</v>
      </c>
    </row>
    <row r="67" spans="1:52" ht="12" customHeight="1" x14ac:dyDescent="0.2">
      <c r="A67" s="1983"/>
      <c r="B67" s="2306"/>
      <c r="C67" s="3544"/>
      <c r="D67" s="3628"/>
      <c r="E67" s="3499"/>
      <c r="F67" s="3500"/>
      <c r="G67" s="3500"/>
      <c r="H67" s="3500"/>
      <c r="I67" s="3501"/>
      <c r="J67" s="3502"/>
      <c r="K67" s="3503"/>
      <c r="L67" s="2379" t="str">
        <f t="shared" si="23"/>
        <v/>
      </c>
      <c r="M67" s="1650"/>
      <c r="N67" s="141" t="str">
        <f t="shared" si="24"/>
        <v/>
      </c>
      <c r="O67" s="1650"/>
      <c r="P67" s="141" t="str">
        <f t="shared" si="25"/>
        <v/>
      </c>
      <c r="Q67" s="1650"/>
      <c r="R67" s="141" t="str">
        <f t="shared" si="26"/>
        <v/>
      </c>
      <c r="S67" s="1650"/>
      <c r="T67" s="141" t="str">
        <f t="shared" si="27"/>
        <v/>
      </c>
      <c r="U67" s="1650"/>
      <c r="V67" s="3724" t="str">
        <f t="shared" si="28"/>
        <v/>
      </c>
      <c r="W67" s="3717"/>
      <c r="X67" s="3717"/>
      <c r="Y67" s="3717"/>
      <c r="Z67" s="3717"/>
      <c r="AA67" s="3718"/>
      <c r="AB67" s="3097"/>
      <c r="AC67" s="1805"/>
      <c r="AD67" s="2960">
        <f t="shared" si="30"/>
        <v>0</v>
      </c>
      <c r="AE67" s="2987">
        <f>IF(ISNUMBER(MATCH(E67,Tablas!$AC$804:$AC$822,0)),"Grado_AM_Básicas",IF(ISNUMBER(MATCH(E67,Tablas!$AC$823:$AC$840,0)),"Grado_AM_Avanzadas",))</f>
        <v>0</v>
      </c>
    </row>
    <row r="68" spans="1:52" ht="12" customHeight="1" x14ac:dyDescent="0.2">
      <c r="A68" s="1983"/>
      <c r="B68" s="2306"/>
      <c r="C68" s="3544"/>
      <c r="D68" s="3628"/>
      <c r="E68" s="3494"/>
      <c r="F68" s="3495"/>
      <c r="G68" s="3495"/>
      <c r="H68" s="3495"/>
      <c r="I68" s="3496"/>
      <c r="J68" s="3497"/>
      <c r="K68" s="3498"/>
      <c r="L68" s="2378" t="str">
        <f t="shared" si="23"/>
        <v/>
      </c>
      <c r="M68" s="1649"/>
      <c r="N68" s="146" t="str">
        <f t="shared" si="24"/>
        <v/>
      </c>
      <c r="O68" s="1649"/>
      <c r="P68" s="146" t="str">
        <f t="shared" si="25"/>
        <v/>
      </c>
      <c r="Q68" s="1649"/>
      <c r="R68" s="146" t="str">
        <f t="shared" si="26"/>
        <v/>
      </c>
      <c r="S68" s="1649"/>
      <c r="T68" s="146" t="str">
        <f t="shared" si="27"/>
        <v/>
      </c>
      <c r="U68" s="1649"/>
      <c r="V68" s="3725" t="str">
        <f t="shared" si="28"/>
        <v/>
      </c>
      <c r="W68" s="3719"/>
      <c r="X68" s="3719"/>
      <c r="Y68" s="3719"/>
      <c r="Z68" s="3719"/>
      <c r="AA68" s="3720"/>
      <c r="AB68" s="3097"/>
      <c r="AC68" s="1805"/>
      <c r="AD68" s="2960">
        <f t="shared" si="30"/>
        <v>0</v>
      </c>
      <c r="AE68" s="2987">
        <f>IF(ISNUMBER(MATCH(E68,Tablas!$AC$804:$AC$822,0)),"Grado_AM_Básicas",IF(ISNUMBER(MATCH(E68,Tablas!$AC$823:$AC$840,0)),"Grado_AM_Avanzadas",))</f>
        <v>0</v>
      </c>
    </row>
    <row r="69" spans="1:52" s="23" customFormat="1" ht="12" customHeight="1" x14ac:dyDescent="0.2">
      <c r="A69" s="1983"/>
      <c r="B69" s="2306"/>
      <c r="C69" s="3544"/>
      <c r="D69" s="3628"/>
      <c r="E69" s="3499"/>
      <c r="F69" s="3500"/>
      <c r="G69" s="3500"/>
      <c r="H69" s="3500"/>
      <c r="I69" s="3501"/>
      <c r="J69" s="3502"/>
      <c r="K69" s="3503"/>
      <c r="L69" s="2379" t="str">
        <f t="shared" si="23"/>
        <v/>
      </c>
      <c r="M69" s="1650"/>
      <c r="N69" s="141" t="str">
        <f t="shared" si="24"/>
        <v/>
      </c>
      <c r="O69" s="1650"/>
      <c r="P69" s="141" t="str">
        <f t="shared" si="25"/>
        <v/>
      </c>
      <c r="Q69" s="1650"/>
      <c r="R69" s="141" t="str">
        <f t="shared" si="26"/>
        <v/>
      </c>
      <c r="S69" s="1650"/>
      <c r="T69" s="141" t="str">
        <f t="shared" si="27"/>
        <v/>
      </c>
      <c r="U69" s="1650"/>
      <c r="V69" s="3724" t="str">
        <f t="shared" si="28"/>
        <v/>
      </c>
      <c r="W69" s="3717"/>
      <c r="X69" s="3717"/>
      <c r="Y69" s="3717"/>
      <c r="Z69" s="3717"/>
      <c r="AA69" s="3718"/>
      <c r="AB69" s="3097"/>
      <c r="AC69" s="1805"/>
      <c r="AD69" s="2960">
        <f t="shared" si="30"/>
        <v>0</v>
      </c>
      <c r="AE69" s="2987">
        <f>IF(ISNUMBER(MATCH(E69,Tablas!$AC$804:$AC$822,0)),"Grado_AM_Básicas",IF(ISNUMBER(MATCH(E69,Tablas!$AC$823:$AC$840,0)),"Grado_AM_Avanzadas",))</f>
        <v>0</v>
      </c>
      <c r="AF69" s="2982"/>
      <c r="AG69" s="2987"/>
      <c r="AH69" s="2983"/>
      <c r="AI69" s="2987"/>
      <c r="AJ69" s="2987"/>
      <c r="AK69" s="2987"/>
      <c r="AL69" s="2001"/>
      <c r="AM69" s="2001"/>
      <c r="AN69" s="2001"/>
      <c r="AO69" s="2960"/>
      <c r="AP69" s="2001"/>
      <c r="AQ69" s="1803"/>
      <c r="AR69" s="1803"/>
      <c r="AS69" s="1803"/>
      <c r="AT69" s="1803"/>
      <c r="AU69" s="1803"/>
      <c r="AV69" s="1803"/>
      <c r="AW69" s="1803"/>
      <c r="AX69" s="1803"/>
      <c r="AY69" s="1803"/>
      <c r="AZ69" s="44"/>
    </row>
    <row r="70" spans="1:52" s="23" customFormat="1" ht="12" customHeight="1" x14ac:dyDescent="0.2">
      <c r="A70" s="5"/>
      <c r="B70" s="2612"/>
      <c r="C70" s="3544"/>
      <c r="D70" s="3628"/>
      <c r="E70" s="3494"/>
      <c r="F70" s="3495"/>
      <c r="G70" s="3495"/>
      <c r="H70" s="3495"/>
      <c r="I70" s="3496"/>
      <c r="J70" s="3497"/>
      <c r="K70" s="3498"/>
      <c r="L70" s="2378" t="str">
        <f t="shared" si="23"/>
        <v/>
      </c>
      <c r="M70" s="1649"/>
      <c r="N70" s="146" t="str">
        <f t="shared" si="24"/>
        <v/>
      </c>
      <c r="O70" s="1649"/>
      <c r="P70" s="146" t="str">
        <f t="shared" si="25"/>
        <v/>
      </c>
      <c r="Q70" s="1649"/>
      <c r="R70" s="146" t="str">
        <f t="shared" si="26"/>
        <v/>
      </c>
      <c r="S70" s="1649"/>
      <c r="T70" s="146" t="str">
        <f t="shared" si="27"/>
        <v/>
      </c>
      <c r="U70" s="1649"/>
      <c r="V70" s="3725" t="str">
        <f t="shared" si="28"/>
        <v/>
      </c>
      <c r="W70" s="3719"/>
      <c r="X70" s="3719"/>
      <c r="Y70" s="3719"/>
      <c r="Z70" s="3719"/>
      <c r="AA70" s="3720"/>
      <c r="AB70" s="3097"/>
      <c r="AC70" s="1805"/>
      <c r="AD70" s="2960">
        <f t="shared" si="30"/>
        <v>0</v>
      </c>
      <c r="AE70" s="2987">
        <f>IF(ISNUMBER(MATCH(E70,Tablas!$AC$804:$AC$822,0)),"Grado_AM_Básicas",IF(ISNUMBER(MATCH(E70,Tablas!$AC$823:$AC$840,0)),"Grado_AM_Avanzadas",))</f>
        <v>0</v>
      </c>
      <c r="AF70" s="2982"/>
      <c r="AG70" s="2987"/>
      <c r="AH70" s="2983"/>
      <c r="AI70" s="2987"/>
      <c r="AJ70" s="2987"/>
      <c r="AK70" s="2987"/>
      <c r="AL70" s="2001"/>
      <c r="AM70" s="2001"/>
      <c r="AN70" s="2001"/>
      <c r="AO70" s="2960"/>
      <c r="AP70" s="2001"/>
      <c r="AQ70" s="2001"/>
      <c r="AR70" s="2001"/>
      <c r="AS70" s="2001"/>
      <c r="AT70" s="2001"/>
      <c r="AU70" s="2001"/>
      <c r="AV70" s="2001"/>
      <c r="AW70" s="2001"/>
      <c r="AX70" s="2001"/>
      <c r="AY70" s="2001"/>
    </row>
    <row r="71" spans="1:52" s="23" customFormat="1" ht="12" customHeight="1" x14ac:dyDescent="0.2">
      <c r="A71" s="5"/>
      <c r="B71" s="2612"/>
      <c r="C71" s="3544"/>
      <c r="D71" s="3628"/>
      <c r="E71" s="3499"/>
      <c r="F71" s="3500"/>
      <c r="G71" s="3500"/>
      <c r="H71" s="3500"/>
      <c r="I71" s="3501"/>
      <c r="J71" s="3502"/>
      <c r="K71" s="3503"/>
      <c r="L71" s="2379" t="str">
        <f t="shared" si="23"/>
        <v/>
      </c>
      <c r="M71" s="1650"/>
      <c r="N71" s="1651" t="str">
        <f t="shared" si="24"/>
        <v/>
      </c>
      <c r="O71" s="1650"/>
      <c r="P71" s="1651" t="str">
        <f t="shared" si="25"/>
        <v/>
      </c>
      <c r="Q71" s="1650"/>
      <c r="R71" s="1651" t="str">
        <f t="shared" si="26"/>
        <v/>
      </c>
      <c r="S71" s="1650"/>
      <c r="T71" s="1651" t="str">
        <f t="shared" si="27"/>
        <v/>
      </c>
      <c r="U71" s="1650"/>
      <c r="V71" s="3724" t="str">
        <f t="shared" si="28"/>
        <v/>
      </c>
      <c r="W71" s="3717"/>
      <c r="X71" s="3717"/>
      <c r="Y71" s="3717"/>
      <c r="Z71" s="3717"/>
      <c r="AA71" s="3718"/>
      <c r="AB71" s="3097"/>
      <c r="AC71" s="1805"/>
      <c r="AD71" s="2960">
        <f t="shared" si="30"/>
        <v>0</v>
      </c>
      <c r="AE71" s="2987">
        <f>IF(ISNUMBER(MATCH(E71,Tablas!$AC$804:$AC$822,0)),"Grado_AM_Básicas",IF(ISNUMBER(MATCH(E71,Tablas!$AC$823:$AC$840,0)),"Grado_AM_Avanzadas",))</f>
        <v>0</v>
      </c>
      <c r="AF71" s="2982"/>
      <c r="AG71" s="2987"/>
      <c r="AH71" s="2983"/>
      <c r="AI71" s="2987"/>
      <c r="AJ71" s="2987"/>
      <c r="AK71" s="2987"/>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2"/>
      <c r="C72" s="3544"/>
      <c r="D72" s="3628"/>
      <c r="E72" s="3494"/>
      <c r="F72" s="3495"/>
      <c r="G72" s="3495"/>
      <c r="H72" s="3495"/>
      <c r="I72" s="3496"/>
      <c r="J72" s="3497"/>
      <c r="K72" s="3498"/>
      <c r="L72" s="2378" t="str">
        <f t="shared" si="23"/>
        <v/>
      </c>
      <c r="M72" s="1649"/>
      <c r="N72" s="1646" t="str">
        <f t="shared" si="24"/>
        <v/>
      </c>
      <c r="O72" s="1649"/>
      <c r="P72" s="1646" t="str">
        <f t="shared" si="25"/>
        <v/>
      </c>
      <c r="Q72" s="1649"/>
      <c r="R72" s="1646" t="str">
        <f t="shared" si="26"/>
        <v/>
      </c>
      <c r="S72" s="1649"/>
      <c r="T72" s="1646" t="str">
        <f t="shared" si="27"/>
        <v/>
      </c>
      <c r="U72" s="1649"/>
      <c r="V72" s="3725" t="str">
        <f t="shared" si="28"/>
        <v/>
      </c>
      <c r="W72" s="3719"/>
      <c r="X72" s="3719"/>
      <c r="Y72" s="3719"/>
      <c r="Z72" s="3719"/>
      <c r="AA72" s="3720"/>
      <c r="AB72" s="3097"/>
      <c r="AC72" s="1805"/>
      <c r="AD72" s="2960">
        <f t="shared" si="30"/>
        <v>0</v>
      </c>
      <c r="AE72" s="2987">
        <f>IF(ISNUMBER(MATCH(E72,Tablas!$AC$804:$AC$822,0)),"Grado_AM_Básicas",IF(ISNUMBER(MATCH(E72,Tablas!$AC$823:$AC$840,0)),"Grado_AM_Avanzadas",))</f>
        <v>0</v>
      </c>
      <c r="AF72" s="2982"/>
      <c r="AG72" s="2987"/>
      <c r="AH72" s="2983"/>
      <c r="AI72" s="2987"/>
      <c r="AJ72" s="2987"/>
      <c r="AK72" s="2987"/>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2"/>
      <c r="C73" s="3544"/>
      <c r="D73" s="3628"/>
      <c r="E73" s="3499"/>
      <c r="F73" s="3500"/>
      <c r="G73" s="3500"/>
      <c r="H73" s="3500"/>
      <c r="I73" s="3501"/>
      <c r="J73" s="3502"/>
      <c r="K73" s="3503"/>
      <c r="L73" s="2379" t="str">
        <f t="shared" si="23"/>
        <v/>
      </c>
      <c r="M73" s="1650"/>
      <c r="N73" s="1651" t="str">
        <f t="shared" si="24"/>
        <v/>
      </c>
      <c r="O73" s="1650"/>
      <c r="P73" s="1651" t="str">
        <f t="shared" si="25"/>
        <v/>
      </c>
      <c r="Q73" s="1650"/>
      <c r="R73" s="1651" t="str">
        <f t="shared" si="26"/>
        <v/>
      </c>
      <c r="S73" s="1650"/>
      <c r="T73" s="1651" t="str">
        <f t="shared" si="27"/>
        <v/>
      </c>
      <c r="U73" s="1650"/>
      <c r="V73" s="3724" t="str">
        <f t="shared" si="28"/>
        <v/>
      </c>
      <c r="W73" s="3717"/>
      <c r="X73" s="3717"/>
      <c r="Y73" s="3717"/>
      <c r="Z73" s="3717"/>
      <c r="AA73" s="3718"/>
      <c r="AB73" s="3097"/>
      <c r="AC73" s="1805"/>
      <c r="AD73" s="2960">
        <f t="shared" si="30"/>
        <v>0</v>
      </c>
      <c r="AE73" s="2987">
        <f>IF(ISNUMBER(MATCH(E73,Tablas!$AC$804:$AC$822,0)),"Grado_AM_Básicas",IF(ISNUMBER(MATCH(E73,Tablas!$AC$823:$AC$840,0)),"Grado_AM_Avanzadas",))</f>
        <v>0</v>
      </c>
      <c r="AF73" s="2982"/>
      <c r="AG73" s="2987"/>
      <c r="AH73" s="2983"/>
      <c r="AI73" s="2987"/>
      <c r="AJ73" s="2987"/>
      <c r="AK73" s="2987"/>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2"/>
      <c r="C74" s="3544"/>
      <c r="D74" s="3628"/>
      <c r="E74" s="3504"/>
      <c r="F74" s="3505"/>
      <c r="G74" s="3505"/>
      <c r="H74" s="3505"/>
      <c r="I74" s="3506"/>
      <c r="J74" s="3507"/>
      <c r="K74" s="3508"/>
      <c r="L74" s="2378" t="str">
        <f t="shared" si="23"/>
        <v/>
      </c>
      <c r="M74" s="1649"/>
      <c r="N74" s="1646" t="str">
        <f t="shared" si="24"/>
        <v/>
      </c>
      <c r="O74" s="1649"/>
      <c r="P74" s="1646" t="str">
        <f t="shared" si="25"/>
        <v/>
      </c>
      <c r="Q74" s="1649"/>
      <c r="R74" s="1646" t="str">
        <f t="shared" si="26"/>
        <v/>
      </c>
      <c r="S74" s="1649"/>
      <c r="T74" s="1646" t="str">
        <f t="shared" si="27"/>
        <v/>
      </c>
      <c r="U74" s="1649"/>
      <c r="V74" s="3725" t="str">
        <f t="shared" si="28"/>
        <v/>
      </c>
      <c r="W74" s="3719"/>
      <c r="X74" s="3719"/>
      <c r="Y74" s="3719"/>
      <c r="Z74" s="3719"/>
      <c r="AA74" s="3720"/>
      <c r="AB74" s="3097"/>
      <c r="AC74" s="1805"/>
      <c r="AD74" s="2960">
        <f t="shared" si="30"/>
        <v>0</v>
      </c>
      <c r="AE74" s="2987">
        <f>IF(ISNUMBER(MATCH(E74,Tablas!$AC$804:$AC$822,0)),"Grado_AM_Básicas",IF(ISNUMBER(MATCH(E74,Tablas!$AC$823:$AC$840,0)),"Grado_AM_Avanzadas",))</f>
        <v>0</v>
      </c>
      <c r="AF74" s="2982"/>
      <c r="AG74" s="2987"/>
      <c r="AH74" s="2983"/>
      <c r="AI74" s="2987"/>
      <c r="AJ74" s="2987"/>
      <c r="AK74" s="2987"/>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2"/>
      <c r="C75" s="3544"/>
      <c r="D75" s="3628"/>
      <c r="E75" s="3625"/>
      <c r="F75" s="3575"/>
      <c r="G75" s="3575"/>
      <c r="H75" s="3575"/>
      <c r="I75" s="3575"/>
      <c r="J75" s="3575"/>
      <c r="K75" s="3576"/>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734" t="str">
        <f>IF(E75=0,"",IF(VLOOKUP(E75,Tabla_AM_Armas,4,FALSE)="-","-","FALTAN REQUISITOS"))</f>
        <v/>
      </c>
      <c r="W75" s="3735"/>
      <c r="X75" s="3735"/>
      <c r="Y75" s="3735"/>
      <c r="Z75" s="3735"/>
      <c r="AA75" s="3736"/>
      <c r="AB75" s="3097"/>
      <c r="AC75" s="1805"/>
      <c r="AD75" s="2964"/>
      <c r="AE75" s="2987"/>
      <c r="AF75" s="2982"/>
      <c r="AG75" s="2987"/>
      <c r="AH75" s="2983"/>
      <c r="AI75" s="2987"/>
      <c r="AJ75" s="2987"/>
      <c r="AK75" s="2987"/>
      <c r="AL75" s="2001"/>
      <c r="AM75" s="2001"/>
      <c r="AN75" s="2001"/>
      <c r="AO75" s="2960"/>
      <c r="AP75" s="2001"/>
      <c r="AQ75" s="2001"/>
      <c r="AR75" s="2001"/>
      <c r="AS75" s="2001"/>
      <c r="AT75" s="2001"/>
      <c r="AU75" s="2001"/>
      <c r="AV75" s="2001"/>
      <c r="AW75" s="2001"/>
      <c r="AX75" s="2001"/>
      <c r="AY75" s="2001"/>
    </row>
    <row r="76" spans="1:52" s="23" customFormat="1" ht="12" customHeight="1" x14ac:dyDescent="0.2">
      <c r="A76" s="5"/>
      <c r="B76" s="2612"/>
      <c r="C76" s="3544"/>
      <c r="D76" s="3628"/>
      <c r="E76" s="3626"/>
      <c r="F76" s="3572"/>
      <c r="G76" s="3572"/>
      <c r="H76" s="3572"/>
      <c r="I76" s="3572"/>
      <c r="J76" s="3572"/>
      <c r="K76" s="3573"/>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577" t="str">
        <f>IF(E76=0,"",IF(VLOOKUP(E76,Tabla_AM_Armas,4,FALSE)="-","-","FALTAN REQUISITOS"))</f>
        <v/>
      </c>
      <c r="W76" s="3578"/>
      <c r="X76" s="3578"/>
      <c r="Y76" s="3578"/>
      <c r="Z76" s="3578"/>
      <c r="AA76" s="3737"/>
      <c r="AB76" s="3097"/>
      <c r="AC76" s="1805"/>
      <c r="AD76" s="2964"/>
      <c r="AE76" s="2987"/>
      <c r="AF76" s="2982"/>
      <c r="AG76" s="2987"/>
      <c r="AH76" s="2983"/>
      <c r="AI76" s="2987"/>
      <c r="AJ76" s="2987"/>
      <c r="AK76" s="2987"/>
      <c r="AL76" s="2001"/>
      <c r="AM76" s="2001"/>
      <c r="AN76" s="2001"/>
      <c r="AO76" s="2960"/>
      <c r="AP76" s="2001"/>
      <c r="AQ76" s="2001"/>
      <c r="AR76" s="2001"/>
      <c r="AS76" s="2001"/>
      <c r="AT76" s="2001"/>
      <c r="AU76" s="2001"/>
      <c r="AV76" s="2001"/>
      <c r="AW76" s="2001"/>
      <c r="AX76" s="2001"/>
      <c r="AY76" s="2001"/>
    </row>
    <row r="77" spans="1:52" s="23" customFormat="1" ht="12" customHeight="1" x14ac:dyDescent="0.2">
      <c r="A77" s="5"/>
      <c r="B77" s="2612"/>
      <c r="C77" s="3544"/>
      <c r="D77" s="3629"/>
      <c r="E77" s="3711"/>
      <c r="F77" s="3712"/>
      <c r="G77" s="3712"/>
      <c r="H77" s="3712"/>
      <c r="I77" s="3712"/>
      <c r="J77" s="3712"/>
      <c r="K77" s="3713"/>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738" t="str">
        <f>IF(E77=0,"",IF(VLOOKUP(E77,Tabla_AM_Armas,4,FALSE)="-","-","FALTAN REQUISITOS"))</f>
        <v/>
      </c>
      <c r="W77" s="3739"/>
      <c r="X77" s="3739"/>
      <c r="Y77" s="3739"/>
      <c r="Z77" s="3739"/>
      <c r="AA77" s="3740"/>
      <c r="AB77" s="3097"/>
      <c r="AC77" s="1805"/>
      <c r="AD77" s="2964"/>
      <c r="AE77" s="2987"/>
      <c r="AF77" s="2982"/>
      <c r="AG77" s="2987"/>
      <c r="AH77" s="2983"/>
      <c r="AI77" s="2987"/>
      <c r="AJ77" s="2987"/>
      <c r="AK77" s="2987"/>
      <c r="AL77" s="2001"/>
      <c r="AM77" s="2001"/>
      <c r="AN77" s="2001"/>
      <c r="AO77" s="2960"/>
      <c r="AP77" s="2001"/>
      <c r="AQ77" s="2001"/>
      <c r="AR77" s="2001"/>
      <c r="AS77" s="2001"/>
      <c r="AT77" s="2001"/>
      <c r="AU77" s="2001"/>
      <c r="AV77" s="2001"/>
      <c r="AW77" s="2001"/>
      <c r="AX77" s="2001"/>
      <c r="AY77" s="2001"/>
    </row>
    <row r="78" spans="1:52" s="23" customFormat="1" ht="12" customHeight="1" x14ac:dyDescent="0.2">
      <c r="A78" s="5"/>
      <c r="B78" s="2612"/>
      <c r="C78" s="3544"/>
      <c r="D78" s="3602" t="s">
        <v>1820</v>
      </c>
      <c r="E78" s="3604"/>
      <c r="F78" s="3605"/>
      <c r="G78" s="3605"/>
      <c r="H78" s="3605"/>
      <c r="I78" s="3605"/>
      <c r="J78" s="3605"/>
      <c r="K78" s="3606"/>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610" t="str">
        <f>IF(E78=0,"",IF(VLOOKUP(E78,Tabla_ArsMagnus,5,FALSE)="-","Ver Descripción","FALTAN REQUISITOS"))</f>
        <v/>
      </c>
      <c r="W78" s="3611"/>
      <c r="X78" s="3611"/>
      <c r="Y78" s="3611"/>
      <c r="Z78" s="176" t="s">
        <v>1821</v>
      </c>
      <c r="AA78" s="1722">
        <f>IF(E78=0,0,VLOOKUP(E78,Tabla_ArsMagnus,3,FALSE))</f>
        <v>0</v>
      </c>
      <c r="AB78" s="3097"/>
      <c r="AC78" s="1805"/>
      <c r="AD78" s="2960"/>
      <c r="AE78" s="2987"/>
      <c r="AF78" s="2982"/>
      <c r="AG78" s="2987"/>
      <c r="AH78" s="2983"/>
      <c r="AI78" s="2987"/>
      <c r="AJ78" s="2987"/>
      <c r="AK78" s="2987"/>
      <c r="AL78" s="2001"/>
      <c r="AM78" s="2001"/>
      <c r="AN78" s="2001"/>
      <c r="AO78" s="2960"/>
      <c r="AP78" s="2001"/>
      <c r="AQ78" s="2001"/>
      <c r="AR78" s="2001"/>
      <c r="AS78" s="2001"/>
      <c r="AT78" s="2001"/>
      <c r="AU78" s="2001"/>
      <c r="AV78" s="2001"/>
      <c r="AW78" s="2001"/>
      <c r="AX78" s="2001"/>
      <c r="AY78" s="2001"/>
    </row>
    <row r="79" spans="1:52" s="23" customFormat="1" ht="12" customHeight="1" x14ac:dyDescent="0.2">
      <c r="A79" s="5"/>
      <c r="B79" s="2612"/>
      <c r="C79" s="3544"/>
      <c r="D79" s="3603"/>
      <c r="E79" s="3607"/>
      <c r="F79" s="3608"/>
      <c r="G79" s="3608"/>
      <c r="H79" s="3608"/>
      <c r="I79" s="3608"/>
      <c r="J79" s="3608"/>
      <c r="K79" s="3609"/>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612" t="str">
        <f>IF(E79=0,"",IF(VLOOKUP(E79,Tabla_ArsMagnus,5,FALSE)="-","Ver Descripción","FALTAN REQUISITOS"))</f>
        <v/>
      </c>
      <c r="W79" s="3613"/>
      <c r="X79" s="3613"/>
      <c r="Y79" s="3613"/>
      <c r="Z79" s="175" t="s">
        <v>1821</v>
      </c>
      <c r="AA79" s="1723">
        <f>IF(E79=0,0,VLOOKUP(E79,Tabla_ArsMagnus,3,FALSE))</f>
        <v>0</v>
      </c>
      <c r="AB79" s="3097"/>
      <c r="AC79" s="1805"/>
      <c r="AD79" s="2960"/>
      <c r="AE79" s="2987"/>
      <c r="AF79" s="2982"/>
      <c r="AG79" s="2987"/>
      <c r="AH79" s="2983"/>
      <c r="AI79" s="2987"/>
      <c r="AJ79" s="2987"/>
      <c r="AK79" s="2987"/>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2"/>
      <c r="C80" s="3544"/>
      <c r="D80" s="3603"/>
      <c r="E80" s="3604"/>
      <c r="F80" s="3605"/>
      <c r="G80" s="3605"/>
      <c r="H80" s="3605"/>
      <c r="I80" s="3605"/>
      <c r="J80" s="3605"/>
      <c r="K80" s="3606"/>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610" t="str">
        <f>IF(E80=0,"",IF(VLOOKUP(E80,Tabla_ArsMagnus,5,FALSE)="-","Ver Descripción","FALTAN REQUISITOS"))</f>
        <v/>
      </c>
      <c r="W80" s="3611"/>
      <c r="X80" s="3611"/>
      <c r="Y80" s="3611"/>
      <c r="Z80" s="176" t="s">
        <v>1821</v>
      </c>
      <c r="AA80" s="1722">
        <f>IF(E80=0,0,VLOOKUP(E80,Tabla_ArsMagnus,3,FALSE))</f>
        <v>0</v>
      </c>
      <c r="AB80" s="3097"/>
      <c r="AC80" s="1805"/>
      <c r="AD80" s="2960"/>
      <c r="AE80" s="2987"/>
      <c r="AF80" s="2982"/>
      <c r="AG80" s="2987"/>
      <c r="AH80" s="2983"/>
      <c r="AI80" s="2987"/>
      <c r="AJ80" s="2987"/>
      <c r="AK80" s="2987"/>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2"/>
      <c r="C81" s="3544"/>
      <c r="D81" s="3603"/>
      <c r="E81" s="3607"/>
      <c r="F81" s="3608"/>
      <c r="G81" s="3608"/>
      <c r="H81" s="3608"/>
      <c r="I81" s="3608"/>
      <c r="J81" s="3608"/>
      <c r="K81" s="3609"/>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612" t="str">
        <f>IF(E81=0,"",IF(VLOOKUP(E81,Tabla_ArsMagnus,5,FALSE)="-","Ver Descripción","FALTAN REQUISITOS"))</f>
        <v/>
      </c>
      <c r="W81" s="3613"/>
      <c r="X81" s="3613"/>
      <c r="Y81" s="3613"/>
      <c r="Z81" s="175" t="s">
        <v>1821</v>
      </c>
      <c r="AA81" s="1723">
        <f>IF(E81=0,0,VLOOKUP(E81,Tabla_ArsMagnus,3,FALSE))</f>
        <v>0</v>
      </c>
      <c r="AB81" s="3097"/>
      <c r="AC81" s="1805"/>
      <c r="AD81" s="2960"/>
      <c r="AE81" s="2987"/>
      <c r="AF81" s="2982"/>
      <c r="AG81" s="2987"/>
      <c r="AH81" s="2983"/>
      <c r="AI81" s="2987"/>
      <c r="AJ81" s="2987"/>
      <c r="AK81" s="2987"/>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2"/>
      <c r="C82" s="3544"/>
      <c r="D82" s="3603"/>
      <c r="E82" s="3604"/>
      <c r="F82" s="3605"/>
      <c r="G82" s="3605"/>
      <c r="H82" s="3605"/>
      <c r="I82" s="3605"/>
      <c r="J82" s="3605"/>
      <c r="K82" s="3606"/>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610" t="str">
        <f>IF(E82=0,"",IF(VLOOKUP(E82,Tabla_ArsMagnus,5,FALSE)="-","Ver Descripción","FALTAN REQUISITOS"))</f>
        <v/>
      </c>
      <c r="W82" s="3611"/>
      <c r="X82" s="3611"/>
      <c r="Y82" s="3611"/>
      <c r="Z82" s="176" t="s">
        <v>1821</v>
      </c>
      <c r="AA82" s="1722">
        <f>IF(E82=0,0,VLOOKUP(E82,Tabla_ArsMagnus,3,FALSE))</f>
        <v>0</v>
      </c>
      <c r="AB82" s="3097"/>
      <c r="AC82" s="1805"/>
      <c r="AD82" s="2960"/>
      <c r="AE82" s="2987"/>
      <c r="AF82" s="2982"/>
      <c r="AG82" s="2987"/>
      <c r="AH82" s="2983"/>
      <c r="AI82" s="2987"/>
      <c r="AJ82" s="2987"/>
      <c r="AK82" s="2987"/>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2"/>
      <c r="C83" s="3544"/>
      <c r="D83" s="3583" t="s">
        <v>1822</v>
      </c>
      <c r="E83" s="3584"/>
      <c r="F83" s="3584"/>
      <c r="G83" s="3584"/>
      <c r="H83" s="3584"/>
      <c r="I83" s="3584"/>
      <c r="J83" s="3584"/>
      <c r="K83" s="3585"/>
      <c r="L83" s="3546">
        <f>Y$5*IF(Categoría_1=0,0.5,VLOOKUP(Categoría_1,Tabla_Categorías,6,FALSE))</f>
        <v>300</v>
      </c>
      <c r="M83" s="3552">
        <f>SUM(M27:M82)+SUM(M22:M25)</f>
        <v>0</v>
      </c>
      <c r="N83" s="3546">
        <f>SUM(Y$5:Y$7)*IF(Categoría_2=0,0,VLOOKUP(Categoría_2,Tabla_Categorías,6,FALSE))</f>
        <v>0</v>
      </c>
      <c r="O83" s="3552">
        <f>(SUM(O27:O82)+SUM(O22:O25)+M83)*IF(Categoría_2=0,0,1)</f>
        <v>0</v>
      </c>
      <c r="P83" s="3546">
        <f>SUM(Y$5:Y$9)*IF(Categoría_3=0,0,VLOOKUP(Categoría_3,Tabla_Categorías,6,FALSE))</f>
        <v>0</v>
      </c>
      <c r="Q83" s="3548">
        <f>(SUM(Q27:Q82)+SUM(Q22:Q25)+O83)*IF(Categoría_3=0,0,1)</f>
        <v>0</v>
      </c>
      <c r="R83" s="3546">
        <f>SUM(Y$5:Y$11)*IF(Categoría_4=0,0,VLOOKUP(Categoría_4,Tabla_Categorías,6,FALSE))</f>
        <v>0</v>
      </c>
      <c r="S83" s="3552">
        <f>(SUM(S27:S82)+SUM(S22:S25)+Q83)*IF(Categoría_4=0,0,1)</f>
        <v>0</v>
      </c>
      <c r="T83" s="3546">
        <f>SUM(Y$5:Y$13)*IF(Categoría_5=0,0,VLOOKUP(Categoría_5,Tabla_Categorías,6,FALSE))</f>
        <v>0</v>
      </c>
      <c r="U83" s="3552">
        <f>(SUM(U27:U82)+SUM(U22:U25)+S83)*IF(Categoría_5=0,0,1)</f>
        <v>0</v>
      </c>
      <c r="V83" s="3515"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16"/>
      <c r="X83" s="3516"/>
      <c r="Y83" s="3516"/>
      <c r="Z83" s="3516"/>
      <c r="AA83" s="3517"/>
      <c r="AB83" s="3097"/>
      <c r="AC83" s="1805"/>
      <c r="AD83" s="2960"/>
      <c r="AE83" s="2987"/>
      <c r="AF83" s="2982"/>
      <c r="AG83" s="2987"/>
      <c r="AH83" s="2983"/>
      <c r="AI83" s="2987"/>
      <c r="AJ83" s="2987"/>
      <c r="AK83" s="2987"/>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2"/>
      <c r="C84" s="3545"/>
      <c r="D84" s="3586"/>
      <c r="E84" s="3587"/>
      <c r="F84" s="3587"/>
      <c r="G84" s="3587"/>
      <c r="H84" s="3587"/>
      <c r="I84" s="3587"/>
      <c r="J84" s="3587"/>
      <c r="K84" s="3588"/>
      <c r="L84" s="3547"/>
      <c r="M84" s="3553"/>
      <c r="N84" s="3547"/>
      <c r="O84" s="3553"/>
      <c r="P84" s="3547"/>
      <c r="Q84" s="3549"/>
      <c r="R84" s="3547"/>
      <c r="S84" s="3553"/>
      <c r="T84" s="3547"/>
      <c r="U84" s="3553"/>
      <c r="V84" s="3518"/>
      <c r="W84" s="3519"/>
      <c r="X84" s="3519"/>
      <c r="Y84" s="3519"/>
      <c r="Z84" s="3519"/>
      <c r="AA84" s="3520"/>
      <c r="AB84" s="3097"/>
      <c r="AC84" s="1805"/>
      <c r="AD84" s="2960"/>
      <c r="AE84" s="2987"/>
      <c r="AF84" s="2982"/>
      <c r="AG84" s="2987"/>
      <c r="AH84" s="2983"/>
      <c r="AI84" s="2987"/>
      <c r="AJ84" s="2987"/>
      <c r="AK84" s="2987"/>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2"/>
      <c r="C85" s="19"/>
      <c r="D85" s="19"/>
      <c r="E85" s="19"/>
      <c r="F85" s="19"/>
      <c r="I85" s="19"/>
      <c r="J85" s="19"/>
      <c r="K85" s="19"/>
      <c r="L85" s="19"/>
      <c r="M85" s="19"/>
      <c r="N85" s="19"/>
      <c r="O85" s="19"/>
      <c r="P85" s="19"/>
      <c r="Q85" s="19"/>
      <c r="R85" s="19"/>
      <c r="S85" s="19"/>
      <c r="T85" s="19"/>
      <c r="U85" s="19"/>
      <c r="V85" s="19"/>
      <c r="W85" s="19"/>
      <c r="X85" s="19"/>
      <c r="Y85" s="19"/>
      <c r="Z85" s="19"/>
      <c r="AA85" s="19"/>
      <c r="AB85" s="3097"/>
      <c r="AC85" s="1805"/>
      <c r="AD85" s="2960"/>
      <c r="AE85" s="2987"/>
      <c r="AF85" s="2982"/>
      <c r="AG85" s="2987"/>
      <c r="AH85" s="2983"/>
      <c r="AI85" s="2987"/>
      <c r="AJ85" s="2987"/>
      <c r="AK85" s="2987"/>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2"/>
      <c r="C86" s="19"/>
      <c r="D86" s="19"/>
      <c r="E86" s="19"/>
      <c r="F86" s="19"/>
      <c r="I86" s="19"/>
      <c r="J86" s="19"/>
      <c r="K86" s="19"/>
      <c r="L86" s="19"/>
      <c r="M86" s="19"/>
      <c r="N86" s="19"/>
      <c r="O86" s="19"/>
      <c r="P86" s="19"/>
      <c r="Q86" s="19"/>
      <c r="R86" s="19"/>
      <c r="S86" s="19"/>
      <c r="T86" s="19"/>
      <c r="U86" s="19"/>
      <c r="V86" s="19"/>
      <c r="W86" s="19"/>
      <c r="X86" s="19"/>
      <c r="Y86" s="19"/>
      <c r="Z86" s="19"/>
      <c r="AA86" s="19"/>
      <c r="AB86" s="3097"/>
      <c r="AC86" s="1805"/>
      <c r="AD86" s="2960"/>
      <c r="AE86" s="2987"/>
      <c r="AF86" s="2982"/>
      <c r="AG86" s="2987"/>
      <c r="AH86" s="2983"/>
      <c r="AI86" s="2987"/>
      <c r="AJ86" s="2987"/>
      <c r="AK86" s="2987"/>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2"/>
      <c r="C87" s="178"/>
      <c r="D87" s="178"/>
      <c r="E87" s="178"/>
      <c r="F87" s="178"/>
      <c r="I87" s="178"/>
      <c r="J87" s="178"/>
      <c r="K87" s="178"/>
      <c r="L87" s="3509" t="str">
        <f>IF(Categoría_1=0,"",Categoría_1)</f>
        <v>Hechicero</v>
      </c>
      <c r="M87" s="3510"/>
      <c r="N87" s="3513" t="str">
        <f>IF(Categoría_2=0,"",Categoría_2)</f>
        <v/>
      </c>
      <c r="O87" s="3510"/>
      <c r="P87" s="3513" t="str">
        <f>IF(Categoría_3=0,"",Categoría_3)</f>
        <v/>
      </c>
      <c r="Q87" s="3510"/>
      <c r="R87" s="3513" t="str">
        <f>IF(Categoría_4=0,"",Categoría_4)</f>
        <v/>
      </c>
      <c r="S87" s="3510"/>
      <c r="T87" s="3513" t="str">
        <f>IF(Categoría_5=0,"",Categoría_5)</f>
        <v/>
      </c>
      <c r="U87" s="3521"/>
      <c r="V87" s="179"/>
      <c r="W87" s="179"/>
      <c r="X87" s="179"/>
      <c r="Y87" s="179"/>
      <c r="Z87" s="179"/>
      <c r="AA87" s="179"/>
      <c r="AB87" s="3097"/>
      <c r="AC87" s="1805"/>
      <c r="AD87" s="2960"/>
      <c r="AE87" s="2987"/>
      <c r="AF87" s="2982"/>
      <c r="AG87" s="2987"/>
      <c r="AH87" s="2983"/>
      <c r="AI87" s="2987"/>
      <c r="AJ87" s="2987"/>
      <c r="AK87" s="2987"/>
      <c r="AL87" s="2001"/>
      <c r="AM87" s="2001"/>
      <c r="AN87" s="2001"/>
      <c r="AO87" s="2960"/>
      <c r="AP87" s="2001"/>
      <c r="AQ87" s="2001"/>
      <c r="AR87" s="2001"/>
      <c r="AS87" s="2001"/>
      <c r="AT87" s="2001"/>
      <c r="AU87" s="2001"/>
      <c r="AV87" s="2001"/>
      <c r="AW87" s="2001"/>
      <c r="AX87" s="2001"/>
      <c r="AY87" s="2001"/>
    </row>
    <row r="88" spans="1:51" s="23" customFormat="1" ht="12" customHeight="1" thickBot="1" x14ac:dyDescent="0.25">
      <c r="A88" s="5"/>
      <c r="B88" s="2612"/>
      <c r="C88" s="180"/>
      <c r="D88" s="178"/>
      <c r="E88" s="178"/>
      <c r="F88" s="178"/>
      <c r="I88" s="178"/>
      <c r="J88" s="178"/>
      <c r="K88" s="178"/>
      <c r="L88" s="3511"/>
      <c r="M88" s="3512"/>
      <c r="N88" s="3514"/>
      <c r="O88" s="3512"/>
      <c r="P88" s="3514"/>
      <c r="Q88" s="3512"/>
      <c r="R88" s="3514"/>
      <c r="S88" s="3512"/>
      <c r="T88" s="3514"/>
      <c r="U88" s="3522"/>
      <c r="V88" s="179"/>
      <c r="W88" s="179"/>
      <c r="X88" s="179"/>
      <c r="Y88" s="179"/>
      <c r="Z88" s="179"/>
      <c r="AA88" s="179"/>
      <c r="AB88" s="3097"/>
      <c r="AC88" s="1805"/>
      <c r="AD88" s="2960"/>
      <c r="AE88" s="2987"/>
      <c r="AF88" s="2982"/>
      <c r="AG88" s="2987"/>
      <c r="AH88" s="2983"/>
      <c r="AI88" s="2987"/>
      <c r="AJ88" s="2987"/>
      <c r="AK88" s="2987"/>
      <c r="AL88" s="2001"/>
      <c r="AM88" s="2001"/>
      <c r="AN88" s="2001"/>
      <c r="AO88" s="2960"/>
      <c r="AP88" s="2001"/>
      <c r="AQ88" s="2001"/>
      <c r="AR88" s="2001"/>
      <c r="AS88" s="2001"/>
      <c r="AT88" s="2001"/>
      <c r="AU88" s="2001"/>
      <c r="AV88" s="2001"/>
      <c r="AW88" s="2001"/>
      <c r="AX88" s="2001"/>
      <c r="AY88" s="2001"/>
    </row>
    <row r="89" spans="1:51" s="23" customFormat="1" ht="12" customHeight="1" thickBot="1" x14ac:dyDescent="0.25">
      <c r="A89" s="5"/>
      <c r="B89" s="2612"/>
      <c r="C89" s="3556" t="s">
        <v>1823</v>
      </c>
      <c r="D89" s="1687" t="s">
        <v>1711</v>
      </c>
      <c r="E89" s="3591" t="s">
        <v>1687</v>
      </c>
      <c r="F89" s="3592"/>
      <c r="G89" s="3592"/>
      <c r="H89" s="3592"/>
      <c r="I89" s="3592"/>
      <c r="J89" s="3592"/>
      <c r="K89" s="3593"/>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92" t="s">
        <v>1803</v>
      </c>
      <c r="Y89" s="3592"/>
      <c r="Z89" s="1688" t="s">
        <v>1731</v>
      </c>
      <c r="AA89" s="1690" t="s">
        <v>1661</v>
      </c>
      <c r="AB89" s="3097"/>
      <c r="AC89" s="1805"/>
      <c r="AD89" s="2960"/>
      <c r="AE89" s="2960"/>
      <c r="AF89" s="2982"/>
      <c r="AG89" s="2987"/>
      <c r="AH89" s="2983"/>
      <c r="AI89" s="2987"/>
      <c r="AJ89" s="2987"/>
      <c r="AK89" s="2987"/>
      <c r="AL89" s="2001"/>
      <c r="AM89" s="2001"/>
      <c r="AN89" s="2001"/>
      <c r="AO89" s="2960"/>
      <c r="AP89" s="2001"/>
      <c r="AQ89" s="2001"/>
      <c r="AR89" s="2001"/>
      <c r="AS89" s="2001"/>
      <c r="AT89" s="2001"/>
      <c r="AU89" s="2001"/>
      <c r="AV89" s="2001"/>
      <c r="AW89" s="2001"/>
      <c r="AX89" s="2001"/>
      <c r="AY89" s="2001"/>
    </row>
    <row r="90" spans="1:51" s="23" customFormat="1" ht="12" customHeight="1" x14ac:dyDescent="0.2">
      <c r="A90" s="5"/>
      <c r="B90" s="2612"/>
      <c r="C90" s="3543"/>
      <c r="D90" s="3557" t="s">
        <v>1677</v>
      </c>
      <c r="E90" s="3594" t="s">
        <v>1824</v>
      </c>
      <c r="F90" s="3283"/>
      <c r="G90" s="3283"/>
      <c r="H90" s="3283"/>
      <c r="I90" s="3283"/>
      <c r="J90" s="3283"/>
      <c r="K90" s="3595"/>
      <c r="L90" s="141">
        <f>IF(Categoría_1=0,0,VLOOKUP(Categoría_1,Tabla_Categorías,MATCH("Coste"&amp;$E90,Name_Tabla_Cat,FALSE),FALSE))</f>
        <v>1</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619">
        <f>HLOOKUP($E90,Bonos_Cat_Base,2,FALSE)</f>
        <v>100</v>
      </c>
      <c r="Y90" s="3619">
        <f>HLOOKUP($E90,Bonos_Cat_Base,2,FALSE)</f>
        <v>100</v>
      </c>
      <c r="Z90" s="76"/>
      <c r="AA90" s="145">
        <f>Z90+X90+V90+W90</f>
        <v>100</v>
      </c>
      <c r="AB90" s="3097"/>
      <c r="AC90" s="1805"/>
      <c r="AD90" s="2960"/>
      <c r="AE90" s="2987"/>
      <c r="AF90" s="2982"/>
      <c r="AG90" s="2987"/>
      <c r="AH90" s="2983"/>
      <c r="AI90" s="2987"/>
      <c r="AJ90" s="2987"/>
      <c r="AK90" s="2987"/>
      <c r="AL90" s="2001"/>
      <c r="AM90" s="2001"/>
      <c r="AN90" s="2001"/>
      <c r="AO90" s="2960"/>
      <c r="AP90" s="2001"/>
      <c r="AQ90" s="2001"/>
      <c r="AR90" s="2001"/>
      <c r="AS90" s="2001"/>
      <c r="AT90" s="2001"/>
      <c r="AU90" s="2001"/>
      <c r="AV90" s="2001"/>
      <c r="AW90" s="2001"/>
      <c r="AX90" s="2001"/>
      <c r="AY90" s="2001"/>
    </row>
    <row r="91" spans="1:51" s="23" customFormat="1" ht="12" customHeight="1" x14ac:dyDescent="0.2">
      <c r="A91" s="5"/>
      <c r="B91" s="2612"/>
      <c r="C91" s="3543"/>
      <c r="D91" s="3557"/>
      <c r="E91" s="3596" t="s">
        <v>1825</v>
      </c>
      <c r="F91" s="3597"/>
      <c r="G91" s="3597"/>
      <c r="H91" s="3597"/>
      <c r="I91" s="3597"/>
      <c r="J91" s="3597"/>
      <c r="K91" s="3598"/>
      <c r="L91" s="146">
        <f>IF(Categoría_1=0,0,VLOOKUP(Categoría_1,Tabla_Categorías,MATCH("Coste"&amp;$E91,Name_Tabla_Cat,FALSE),FALSE))</f>
        <v>50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618" t="s">
        <v>1769</v>
      </c>
      <c r="Y91" s="3618"/>
      <c r="Z91" s="148"/>
      <c r="AA91" s="149">
        <f>Z91+W91+V91+IF(Bono_ATA&lt;0,TRUNC(Bono_ATA/2,0),0)</f>
        <v>0</v>
      </c>
      <c r="AB91" s="3097"/>
      <c r="AC91" s="1805"/>
      <c r="AD91" s="2960"/>
      <c r="AE91" s="2987"/>
      <c r="AF91" s="2982"/>
      <c r="AG91" s="2987"/>
      <c r="AH91" s="2983"/>
      <c r="AI91" s="2987"/>
      <c r="AJ91" s="2987"/>
      <c r="AK91" s="2987"/>
      <c r="AL91" s="2001"/>
      <c r="AM91" s="2001"/>
      <c r="AN91" s="2001"/>
      <c r="AO91" s="2960"/>
      <c r="AP91" s="2001"/>
      <c r="AQ91" s="2001"/>
      <c r="AR91" s="2001"/>
      <c r="AS91" s="2001"/>
      <c r="AT91" s="2001"/>
      <c r="AU91" s="2001"/>
      <c r="AV91" s="2001"/>
      <c r="AW91" s="2001"/>
      <c r="AX91" s="2001"/>
      <c r="AY91" s="2001"/>
    </row>
    <row r="92" spans="1:51" s="23" customFormat="1" ht="12" customHeight="1" x14ac:dyDescent="0.2">
      <c r="A92" s="5"/>
      <c r="B92" s="2612"/>
      <c r="C92" s="3543"/>
      <c r="D92" s="3557"/>
      <c r="E92" s="3594" t="s">
        <v>1826</v>
      </c>
      <c r="F92" s="3283"/>
      <c r="G92" s="3283"/>
      <c r="H92" s="3283"/>
      <c r="I92" s="3283"/>
      <c r="J92" s="3283"/>
      <c r="K92" s="3595"/>
      <c r="L92" s="141">
        <f>L$91/2</f>
        <v>25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619" t="s">
        <v>1769</v>
      </c>
      <c r="Y92" s="3619"/>
      <c r="Z92" s="113"/>
      <c r="AA92" s="145">
        <f>W92+V92+Z92</f>
        <v>0</v>
      </c>
      <c r="AB92" s="3097"/>
      <c r="AC92" s="1805"/>
      <c r="AD92" s="2960"/>
      <c r="AE92" s="2987"/>
      <c r="AF92" s="2982"/>
      <c r="AG92" s="2987"/>
      <c r="AH92" s="2983"/>
      <c r="AI92" s="2987"/>
      <c r="AJ92" s="2987"/>
      <c r="AK92" s="2987"/>
      <c r="AL92" s="2001"/>
      <c r="AM92" s="2001"/>
      <c r="AN92" s="2001"/>
      <c r="AO92" s="2960"/>
      <c r="AP92" s="2001"/>
      <c r="AQ92" s="2001"/>
      <c r="AR92" s="2001"/>
      <c r="AS92" s="2001"/>
      <c r="AT92" s="2001"/>
      <c r="AU92" s="2001"/>
      <c r="AV92" s="2001"/>
      <c r="AW92" s="2001"/>
      <c r="AX92" s="2001"/>
      <c r="AY92" s="2001"/>
    </row>
    <row r="93" spans="1:51" s="23" customFormat="1" ht="12" customHeight="1" x14ac:dyDescent="0.2">
      <c r="A93" s="5"/>
      <c r="B93" s="2612"/>
      <c r="C93" s="3543"/>
      <c r="D93" s="3557"/>
      <c r="E93" s="3596" t="s">
        <v>1827</v>
      </c>
      <c r="F93" s="3597"/>
      <c r="G93" s="3597"/>
      <c r="H93" s="3597"/>
      <c r="I93" s="3597"/>
      <c r="J93" s="3597"/>
      <c r="K93" s="3598"/>
      <c r="L93" s="146">
        <f>IF(Categoría_1=0,0,VLOOKUP(Categoría_1,Tabla_Categorías,MATCH("Coste"&amp;$E93,Name_Tabla_Cat,FALSE),FALSE))</f>
        <v>2</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618" t="s">
        <v>1769</v>
      </c>
      <c r="Y93" s="3618"/>
      <c r="Z93" s="148"/>
      <c r="AA93" s="149">
        <f>Z93+V93+W93+Bono_ATA</f>
        <v>0</v>
      </c>
      <c r="AB93" s="3097"/>
      <c r="AC93" s="1805"/>
      <c r="AD93" s="2960"/>
      <c r="AE93" s="2987"/>
      <c r="AF93" s="2982"/>
      <c r="AG93" s="2987"/>
      <c r="AH93" s="2983"/>
      <c r="AI93" s="2987"/>
      <c r="AJ93" s="2987"/>
      <c r="AK93" s="2987"/>
      <c r="AL93" s="2001"/>
      <c r="AM93" s="2001"/>
      <c r="AN93" s="2001"/>
      <c r="AO93" s="2960"/>
      <c r="AP93" s="2001"/>
      <c r="AQ93" s="2001"/>
      <c r="AR93" s="2001"/>
      <c r="AS93" s="2001"/>
      <c r="AT93" s="2001"/>
      <c r="AU93" s="2001"/>
      <c r="AV93" s="2001"/>
      <c r="AW93" s="2001"/>
      <c r="AX93" s="2001"/>
      <c r="AY93" s="2001"/>
    </row>
    <row r="94" spans="1:51" s="23" customFormat="1" ht="12" customHeight="1" x14ac:dyDescent="0.2">
      <c r="A94" s="5"/>
      <c r="B94" s="2612"/>
      <c r="C94" s="3543"/>
      <c r="D94" s="3558"/>
      <c r="E94" s="3594" t="s">
        <v>1828</v>
      </c>
      <c r="F94" s="3283"/>
      <c r="G94" s="3283"/>
      <c r="H94" s="3283"/>
      <c r="I94" s="3283"/>
      <c r="J94" s="3283"/>
      <c r="K94" s="3595"/>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619">
        <f>IF(Tablas!G442&gt;0,5*Nivel_Total,0)</f>
        <v>0</v>
      </c>
      <c r="Y94" s="3619"/>
      <c r="Z94" s="76"/>
      <c r="AA94" s="182">
        <f>Z94+V94+W94+X94</f>
        <v>0</v>
      </c>
      <c r="AB94" s="3097"/>
      <c r="AC94" s="1805"/>
      <c r="AD94" s="2960"/>
      <c r="AE94" s="2987"/>
      <c r="AF94" s="2982"/>
      <c r="AG94" s="2987"/>
      <c r="AH94" s="2983"/>
      <c r="AI94" s="2987"/>
      <c r="AJ94" s="2987"/>
      <c r="AK94" s="2987"/>
      <c r="AL94" s="2001"/>
      <c r="AM94" s="2001"/>
      <c r="AN94" s="2001"/>
      <c r="AO94" s="2960"/>
      <c r="AP94" s="2001"/>
      <c r="AQ94" s="2001"/>
      <c r="AR94" s="2001"/>
      <c r="AS94" s="2001"/>
      <c r="AT94" s="2001"/>
      <c r="AU94" s="2001"/>
      <c r="AV94" s="2001"/>
      <c r="AW94" s="2001"/>
      <c r="AX94" s="2001"/>
      <c r="AY94" s="2001"/>
    </row>
    <row r="95" spans="1:51" s="23" customFormat="1" ht="12" customHeight="1" x14ac:dyDescent="0.2">
      <c r="A95" s="5"/>
      <c r="B95" s="2612"/>
      <c r="C95" s="3543"/>
      <c r="D95" s="3550" t="s">
        <v>1829</v>
      </c>
      <c r="E95" s="3538" t="s">
        <v>1830</v>
      </c>
      <c r="F95" s="3539"/>
      <c r="G95" s="3539"/>
      <c r="H95" s="3539"/>
      <c r="I95" s="3539"/>
      <c r="J95" s="3539"/>
      <c r="K95" s="3599"/>
      <c r="L95" s="1724">
        <f>IF(Categoría_1=0,0,VLOOKUP(Categoría_1,Tabla_Categorías,MATCH("Coste"&amp;$E95,Name_Tabla_Cat,FALSE),FALSE))</f>
        <v>2</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783">
        <f t="shared" ref="X95:Y98" si="31">HLOOKUP($E95,Bonos_Cat_Base,2,FALSE)</f>
        <v>0</v>
      </c>
      <c r="Y95" s="3783">
        <f t="shared" si="31"/>
        <v>0</v>
      </c>
      <c r="Z95" s="1727"/>
      <c r="AA95" s="183">
        <f>Z95+X95+V95+W95+IF(Bono_ATA&lt;0,Bono_ATA,0)+IF(Raza="Devah",10,0)+IF(Nephilim="Nephilim Devah",10,0)</f>
        <v>0</v>
      </c>
      <c r="AB95" s="3097"/>
      <c r="AC95" s="1805"/>
      <c r="AD95" s="2960"/>
      <c r="AE95" s="2987"/>
      <c r="AF95" s="2982"/>
      <c r="AG95" s="2987"/>
      <c r="AH95" s="2983"/>
      <c r="AI95" s="2987"/>
      <c r="AJ95" s="2987"/>
      <c r="AK95" s="2987"/>
      <c r="AL95" s="2001"/>
      <c r="AM95" s="2001"/>
      <c r="AN95" s="2001"/>
      <c r="AO95" s="2960"/>
      <c r="AP95" s="2001"/>
      <c r="AQ95" s="2001"/>
      <c r="AR95" s="2001"/>
      <c r="AS95" s="2001"/>
      <c r="AT95" s="2001"/>
      <c r="AU95" s="2001"/>
      <c r="AV95" s="2001"/>
      <c r="AW95" s="2001"/>
      <c r="AX95" s="2001"/>
      <c r="AY95" s="2001"/>
    </row>
    <row r="96" spans="1:51" s="23" customFormat="1" ht="12" customHeight="1" x14ac:dyDescent="0.2">
      <c r="A96" s="5"/>
      <c r="B96" s="2612"/>
      <c r="C96" s="3543"/>
      <c r="D96" s="3551"/>
      <c r="E96" s="3534" t="s">
        <v>9028</v>
      </c>
      <c r="F96" s="3535"/>
      <c r="G96" s="3535"/>
      <c r="H96" s="3535"/>
      <c r="I96" s="3535"/>
      <c r="J96" s="3535"/>
      <c r="K96" s="3600"/>
      <c r="L96" s="151">
        <f>IF(Categoría_1=0,0,VLOOKUP(Categoría_1,Tabla_Categorías,MATCH("Coste"&amp;$E96,Name_Tabla_Cat,FALSE),FALSE))</f>
        <v>2</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589">
        <f t="shared" si="31"/>
        <v>0</v>
      </c>
      <c r="Y96" s="3589">
        <f t="shared" si="31"/>
        <v>0</v>
      </c>
      <c r="Z96" s="1286"/>
      <c r="AA96" s="1645">
        <f>Z96+X96+V96+W96+IF(Bono_ATA&lt;0,Bono_ATA,0)+IF(Raza="Devah",10,0)+Tablas!$K$2367</f>
        <v>0</v>
      </c>
      <c r="AB96" s="3097"/>
      <c r="AC96" s="1805"/>
      <c r="AD96" s="2960"/>
      <c r="AE96" s="2987"/>
      <c r="AF96" s="2982"/>
      <c r="AG96" s="2987"/>
      <c r="AH96" s="2986"/>
      <c r="AI96" s="2987"/>
      <c r="AJ96" s="2987"/>
      <c r="AK96" s="2987"/>
      <c r="AL96" s="2001"/>
      <c r="AM96" s="2001"/>
      <c r="AN96" s="2001"/>
      <c r="AO96" s="2960"/>
      <c r="AP96" s="2001"/>
      <c r="AQ96" s="2001"/>
      <c r="AR96" s="2001"/>
      <c r="AS96" s="2001"/>
      <c r="AT96" s="2001"/>
      <c r="AU96" s="2001"/>
      <c r="AV96" s="2001"/>
      <c r="AW96" s="2001"/>
      <c r="AX96" s="2001"/>
      <c r="AY96" s="2001"/>
    </row>
    <row r="97" spans="1:63" s="23" customFormat="1" ht="12" customHeight="1" x14ac:dyDescent="0.2">
      <c r="A97" s="5"/>
      <c r="B97" s="2612"/>
      <c r="C97" s="3543"/>
      <c r="D97" s="3551"/>
      <c r="E97" s="3532" t="s">
        <v>653</v>
      </c>
      <c r="F97" s="3533"/>
      <c r="G97" s="3533"/>
      <c r="H97" s="3533"/>
      <c r="I97" s="3533"/>
      <c r="J97" s="3533"/>
      <c r="K97" s="3601"/>
      <c r="L97" s="153">
        <f>IF(Categoría_1=0,0,VLOOKUP(Categoría_1,Tabla_Categorías,MATCH("Coste"&amp;$E97,Name_Tabla_Cat,FALSE),FALSE))</f>
        <v>2</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590">
        <f t="shared" si="31"/>
        <v>0</v>
      </c>
      <c r="Y97" s="3590">
        <f t="shared" si="31"/>
        <v>0</v>
      </c>
      <c r="Z97" s="1284"/>
      <c r="AA97" s="1648">
        <f>Z97+X97+V97+W97+IF(Bono_ATA&lt;0,Bono_ATA,0)+IF(Raza="Devah",10,0)</f>
        <v>0</v>
      </c>
      <c r="AB97" s="3097"/>
      <c r="AC97" s="1805"/>
      <c r="AD97" s="2960"/>
      <c r="AE97" s="2987"/>
      <c r="AF97" s="2982"/>
      <c r="AG97" s="2987"/>
      <c r="AH97" s="2983"/>
      <c r="AI97" s="2987"/>
      <c r="AJ97" s="2987"/>
      <c r="AK97" s="2987"/>
      <c r="AL97" s="2001"/>
      <c r="AM97" s="2001"/>
      <c r="AN97" s="2001"/>
      <c r="AO97" s="2960"/>
      <c r="AP97" s="2001"/>
      <c r="AQ97" s="2001"/>
      <c r="AR97" s="2001"/>
      <c r="AS97" s="2001"/>
      <c r="AT97" s="2001"/>
      <c r="AU97" s="2001"/>
      <c r="AV97" s="2001"/>
      <c r="AW97" s="2001"/>
      <c r="AX97" s="2001"/>
      <c r="AY97" s="2001"/>
    </row>
    <row r="98" spans="1:63" s="23" customFormat="1" ht="12" customHeight="1" x14ac:dyDescent="0.2">
      <c r="A98" s="5"/>
      <c r="B98" s="2612"/>
      <c r="C98" s="3543"/>
      <c r="D98" s="3559"/>
      <c r="E98" s="3536" t="s">
        <v>1833</v>
      </c>
      <c r="F98" s="3537"/>
      <c r="G98" s="3537"/>
      <c r="H98" s="3537"/>
      <c r="I98" s="3537"/>
      <c r="J98" s="3537"/>
      <c r="K98" s="3570"/>
      <c r="L98" s="1728">
        <f>IF(Categoría_1=0,0,VLOOKUP(Categoría_1,Tabla_Categorías,MATCH("Coste"&amp;$E98,Name_Tabla_Cat,FALSE),FALSE))</f>
        <v>2</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523">
        <f t="shared" si="31"/>
        <v>0</v>
      </c>
      <c r="Y98" s="3523">
        <f t="shared" si="31"/>
        <v>0</v>
      </c>
      <c r="Z98" s="1730"/>
      <c r="AA98" s="187">
        <f>Z98+X98+V98+W98+IF(Bono_ATA&lt;0,Bono_ATA,0)+IF(Raza="Devah",10,0)+IF(Nephilim="Nephilim Devah",10,0)</f>
        <v>0</v>
      </c>
      <c r="AB98" s="3097"/>
      <c r="AC98" s="1805"/>
      <c r="AD98" s="2960"/>
      <c r="AE98" s="2987"/>
      <c r="AF98" s="2982"/>
      <c r="AG98" s="2987"/>
      <c r="AH98" s="2983"/>
      <c r="AI98" s="2987"/>
      <c r="AJ98" s="2987"/>
      <c r="AK98" s="2987"/>
      <c r="AL98" s="2001"/>
      <c r="AM98" s="2001"/>
      <c r="AN98" s="2001"/>
      <c r="AO98" s="2960"/>
      <c r="AP98" s="2001"/>
      <c r="AQ98" s="2001"/>
      <c r="AR98" s="2001"/>
      <c r="AS98" s="2001"/>
      <c r="AT98" s="2001"/>
      <c r="AU98" s="2001"/>
      <c r="AV98" s="2001"/>
      <c r="AW98" s="2001"/>
      <c r="AX98" s="2001"/>
      <c r="AY98" s="2001"/>
    </row>
    <row r="99" spans="1:63" s="23" customFormat="1" ht="12" customHeight="1" x14ac:dyDescent="0.2">
      <c r="A99" s="5"/>
      <c r="B99" s="2612"/>
      <c r="C99" s="3543"/>
      <c r="D99" s="3560" t="s">
        <v>1834</v>
      </c>
      <c r="E99" s="3571"/>
      <c r="F99" s="3572"/>
      <c r="G99" s="3572"/>
      <c r="H99" s="3572"/>
      <c r="I99" s="3572"/>
      <c r="J99" s="3572"/>
      <c r="K99" s="3573"/>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577" t="str">
        <f>IF(E99=0,"",VLOOKUP(E99,Tablas!$E$999:$G$1000,3))</f>
        <v/>
      </c>
      <c r="W99" s="3578"/>
      <c r="X99" s="3578"/>
      <c r="Y99" s="3578"/>
      <c r="Z99" s="3578"/>
      <c r="AA99" s="3579"/>
      <c r="AB99" s="3097"/>
      <c r="AC99" s="1805"/>
      <c r="AD99" s="2960"/>
      <c r="AE99" s="2987"/>
      <c r="AF99" s="2982"/>
      <c r="AG99" s="2987"/>
      <c r="AH99" s="2983"/>
      <c r="AI99" s="2987"/>
      <c r="AJ99" s="2987"/>
      <c r="AK99" s="2987"/>
      <c r="AL99" s="2001"/>
      <c r="AM99" s="2001"/>
      <c r="AN99" s="2001"/>
      <c r="AO99" s="2960"/>
      <c r="AP99" s="2001"/>
      <c r="AQ99" s="2001"/>
      <c r="AR99" s="2001"/>
      <c r="AS99" s="2001"/>
      <c r="AT99" s="2001"/>
      <c r="AU99" s="2001"/>
      <c r="AV99" s="2001"/>
      <c r="AW99" s="2001"/>
      <c r="AX99" s="2001"/>
      <c r="AY99" s="2001"/>
    </row>
    <row r="100" spans="1:63" s="23" customFormat="1" ht="12" customHeight="1" thickBot="1" x14ac:dyDescent="0.25">
      <c r="A100" s="5"/>
      <c r="B100" s="2612"/>
      <c r="C100" s="3543"/>
      <c r="D100" s="3561"/>
      <c r="E100" s="3574"/>
      <c r="F100" s="3575"/>
      <c r="G100" s="3575"/>
      <c r="H100" s="3575"/>
      <c r="I100" s="3575"/>
      <c r="J100" s="3575"/>
      <c r="K100" s="3576"/>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580" t="str">
        <f>IF(E100=0,"",VLOOKUP(E100,Tablas!$E$999:$G$1000,3))</f>
        <v/>
      </c>
      <c r="W100" s="3581"/>
      <c r="X100" s="3581"/>
      <c r="Y100" s="3581"/>
      <c r="Z100" s="3581"/>
      <c r="AA100" s="3582"/>
      <c r="AB100" s="3097"/>
      <c r="AC100" s="1805"/>
      <c r="AD100" s="2960"/>
      <c r="AE100" s="2987"/>
      <c r="AF100" s="2982"/>
      <c r="AG100" s="2987"/>
      <c r="AH100" s="2983"/>
      <c r="AI100" s="2987"/>
      <c r="AJ100" s="2987"/>
      <c r="AK100" s="2987"/>
      <c r="AL100" s="2001"/>
      <c r="AM100" s="2001"/>
      <c r="AN100" s="2001"/>
      <c r="AO100" s="2960"/>
      <c r="AP100" s="2001"/>
      <c r="AQ100" s="2001"/>
      <c r="AR100" s="2001"/>
      <c r="AS100" s="2001"/>
      <c r="AT100" s="2001"/>
      <c r="AU100" s="2001"/>
      <c r="AV100" s="2001"/>
      <c r="AW100" s="2001"/>
      <c r="AX100" s="2001"/>
      <c r="AY100" s="2001"/>
    </row>
    <row r="101" spans="1:63" s="23" customFormat="1" ht="12" customHeight="1" x14ac:dyDescent="0.2">
      <c r="A101" s="1981"/>
      <c r="B101" s="2307"/>
      <c r="C101" s="3544"/>
      <c r="D101" s="3583" t="s">
        <v>1835</v>
      </c>
      <c r="E101" s="3584"/>
      <c r="F101" s="3584"/>
      <c r="G101" s="3584"/>
      <c r="H101" s="3584"/>
      <c r="I101" s="3584"/>
      <c r="J101" s="3584"/>
      <c r="K101" s="3726"/>
      <c r="L101" s="3568">
        <f>Y$5*IF(Categoría_1=0,0.5,VLOOKUP(Categoría_1,Tabla_Categorías,7,FALSE))</f>
        <v>360.00000000000006</v>
      </c>
      <c r="M101" s="3566">
        <f>SUM(M90:M100)</f>
        <v>0</v>
      </c>
      <c r="N101" s="3564">
        <f>SUM(Y$5:Y$8)*IF(Categoría_2=0,0,VLOOKUP(Categoría_2,Tabla_Categorías,7,FALSE))</f>
        <v>0</v>
      </c>
      <c r="O101" s="3566">
        <f>(SUM(O90:O100)+M101)*IF(Categoría_2=0,0,1)</f>
        <v>0</v>
      </c>
      <c r="P101" s="3564">
        <f>SUM(Y$5:Y$10)*IF(Categoría_3=0,0,VLOOKUP(Categoría_3,Tabla_Categorías,7,FALSE))</f>
        <v>0</v>
      </c>
      <c r="Q101" s="3562">
        <f>(SUM(Q90:Q100)+O101)*IF(Categoría_3=0,0,1)</f>
        <v>0</v>
      </c>
      <c r="R101" s="3564">
        <f>SUM(Y$5:Y$11)*IF(Categoría_4=0,0,VLOOKUP(Categoría_4,Tabla_Categorías,7,FALSE))</f>
        <v>0</v>
      </c>
      <c r="S101" s="3566">
        <f>(SUM(S90:S100)+Q101)*IF(Categoría_4=0,0,1)</f>
        <v>0</v>
      </c>
      <c r="T101" s="3564">
        <f>SUM(Y$5:Y$13)*IF(Categoría_5=0,0,VLOOKUP(Categoría_5,Tabla_Categorías,7,FALSE))</f>
        <v>0</v>
      </c>
      <c r="U101" s="3566">
        <f>(SUM(U90:U100)+S101)*IF(Categoría_5=0,0,1)</f>
        <v>0</v>
      </c>
      <c r="V101" s="3728"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729"/>
      <c r="X101" s="3729"/>
      <c r="Y101" s="3729"/>
      <c r="Z101" s="3729"/>
      <c r="AA101" s="3730"/>
      <c r="AB101" s="3049"/>
      <c r="AC101" s="1802"/>
      <c r="AD101" s="2960"/>
      <c r="AE101" s="2987"/>
      <c r="AF101" s="2982"/>
      <c r="AG101" s="2987"/>
      <c r="AH101" s="2983"/>
      <c r="AI101" s="2987"/>
      <c r="AJ101" s="2987"/>
      <c r="AK101" s="2987"/>
      <c r="AL101" s="2001"/>
      <c r="AM101" s="2001"/>
      <c r="AN101" s="2001"/>
      <c r="AO101" s="2960"/>
      <c r="AP101" s="2001"/>
      <c r="AQ101" s="2001"/>
      <c r="AR101" s="2001"/>
      <c r="AS101" s="2001"/>
      <c r="AT101" s="2001"/>
      <c r="AU101" s="2001"/>
      <c r="AV101" s="2001"/>
      <c r="AW101" s="2001"/>
      <c r="AX101" s="2001"/>
      <c r="AY101" s="2001"/>
    </row>
    <row r="102" spans="1:63" s="23" customFormat="1" ht="12" customHeight="1" thickBot="1" x14ac:dyDescent="0.25">
      <c r="A102" s="1981"/>
      <c r="B102" s="2307"/>
      <c r="C102" s="3545"/>
      <c r="D102" s="3586"/>
      <c r="E102" s="3587"/>
      <c r="F102" s="3587"/>
      <c r="G102" s="3587"/>
      <c r="H102" s="3587"/>
      <c r="I102" s="3587"/>
      <c r="J102" s="3587"/>
      <c r="K102" s="3727"/>
      <c r="L102" s="3569"/>
      <c r="M102" s="3567"/>
      <c r="N102" s="3565"/>
      <c r="O102" s="3567"/>
      <c r="P102" s="3565"/>
      <c r="Q102" s="3563"/>
      <c r="R102" s="3565"/>
      <c r="S102" s="3567"/>
      <c r="T102" s="3565"/>
      <c r="U102" s="3567"/>
      <c r="V102" s="3731"/>
      <c r="W102" s="3732"/>
      <c r="X102" s="3732"/>
      <c r="Y102" s="3732"/>
      <c r="Z102" s="3732"/>
      <c r="AA102" s="3733"/>
      <c r="AB102" s="3049"/>
      <c r="AC102" s="1802"/>
      <c r="AD102" s="2960"/>
      <c r="AE102" s="2987"/>
      <c r="AF102" s="2982"/>
      <c r="AG102" s="2987"/>
      <c r="AH102" s="2983"/>
      <c r="AI102" s="2987"/>
      <c r="AJ102" s="2987"/>
      <c r="AK102" s="2987"/>
      <c r="AL102" s="2001"/>
      <c r="AM102" s="2001"/>
      <c r="AN102" s="2001"/>
      <c r="AO102" s="2960"/>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9"/>
      <c r="AC103" s="1802"/>
      <c r="AD103" s="2960"/>
      <c r="AE103" s="2987"/>
      <c r="AF103" s="2982"/>
      <c r="AG103" s="2987"/>
      <c r="AH103" s="2983"/>
      <c r="AI103" s="2987"/>
      <c r="AJ103" s="2987"/>
      <c r="AK103" s="2987"/>
      <c r="AL103" s="2001"/>
      <c r="AM103" s="2001"/>
      <c r="AN103" s="2001"/>
      <c r="AO103" s="2960"/>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9"/>
      <c r="AC104" s="1802"/>
      <c r="AD104" s="2960"/>
      <c r="AE104" s="2987"/>
      <c r="AF104" s="2982"/>
      <c r="AG104" s="2987"/>
      <c r="AH104" s="2983"/>
      <c r="AI104" s="2987"/>
      <c r="AJ104" s="2987"/>
      <c r="AK104" s="2987"/>
      <c r="AL104" s="2001"/>
      <c r="AM104" s="2001"/>
      <c r="AN104" s="2001"/>
      <c r="AO104" s="2960"/>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509" t="str">
        <f>IF(Categoría_1=0,"",Categoría_1)</f>
        <v>Hechicero</v>
      </c>
      <c r="M105" s="3510"/>
      <c r="N105" s="3513" t="str">
        <f>IF(Categoría_2=0,"",Categoría_2)</f>
        <v/>
      </c>
      <c r="O105" s="3510"/>
      <c r="P105" s="3513" t="str">
        <f>IF(Categoría_3=0,"",Categoría_3)</f>
        <v/>
      </c>
      <c r="Q105" s="3510"/>
      <c r="R105" s="3513" t="str">
        <f>IF(Categoría_4=0,"",Categoría_4)</f>
        <v/>
      </c>
      <c r="S105" s="3510"/>
      <c r="T105" s="3513" t="str">
        <f>IF(Categoría_5=0,"",Categoría_5)</f>
        <v/>
      </c>
      <c r="U105" s="3521"/>
      <c r="V105" s="68"/>
      <c r="W105" s="68"/>
      <c r="X105" s="68"/>
      <c r="Y105" s="68"/>
      <c r="Z105" s="68"/>
      <c r="AA105" s="68"/>
      <c r="AB105" s="3049"/>
      <c r="AC105" s="1802"/>
      <c r="AD105" s="2960"/>
      <c r="AE105" s="2987"/>
      <c r="AF105" s="2982"/>
      <c r="AG105" s="2987"/>
      <c r="AH105" s="2983"/>
      <c r="AI105" s="2987"/>
      <c r="AJ105" s="2987"/>
      <c r="AK105" s="2987"/>
      <c r="AL105" s="2001"/>
      <c r="AM105" s="2001"/>
      <c r="AN105" s="2001"/>
      <c r="AO105" s="2960"/>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757"/>
      <c r="M106" s="3754"/>
      <c r="N106" s="3741"/>
      <c r="O106" s="3754"/>
      <c r="P106" s="3741"/>
      <c r="Q106" s="3754"/>
      <c r="R106" s="3741"/>
      <c r="S106" s="3754"/>
      <c r="T106" s="3741"/>
      <c r="U106" s="3742"/>
      <c r="V106" s="68"/>
      <c r="W106" s="68"/>
      <c r="X106" s="68"/>
      <c r="Y106" s="68"/>
      <c r="Z106" s="68"/>
      <c r="AA106" s="68"/>
      <c r="AB106" s="3049"/>
      <c r="AC106" s="1802"/>
      <c r="AD106" s="2960"/>
      <c r="AE106" s="2987"/>
      <c r="AF106" s="2982"/>
      <c r="AG106" s="2987"/>
      <c r="AH106" s="2983"/>
      <c r="AI106" s="2987"/>
      <c r="AJ106" s="2987"/>
      <c r="AK106" s="2987"/>
      <c r="AL106" s="2001"/>
      <c r="AM106" s="2001"/>
      <c r="AN106" s="2001"/>
      <c r="AO106" s="2960"/>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542" t="s">
        <v>1836</v>
      </c>
      <c r="D107" s="1647" t="s">
        <v>1711</v>
      </c>
      <c r="E107" s="3554" t="s">
        <v>1687</v>
      </c>
      <c r="F107" s="3525"/>
      <c r="G107" s="3525"/>
      <c r="H107" s="3525"/>
      <c r="I107" s="3525"/>
      <c r="J107" s="3525"/>
      <c r="K107" s="3555"/>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782" t="s">
        <v>1803</v>
      </c>
      <c r="Y107" s="3782"/>
      <c r="Z107" s="1647" t="s">
        <v>1731</v>
      </c>
      <c r="AA107" s="140" t="s">
        <v>1661</v>
      </c>
      <c r="AB107" s="3049"/>
      <c r="AC107" s="1802"/>
      <c r="AE107" s="2960"/>
      <c r="AO107" s="2960"/>
      <c r="AZ107" s="44"/>
    </row>
    <row r="108" spans="1:63" ht="12" customHeight="1" x14ac:dyDescent="0.2">
      <c r="A108" s="1981"/>
      <c r="B108" s="2307"/>
      <c r="C108" s="3543"/>
      <c r="D108" s="3755" t="s">
        <v>1677</v>
      </c>
      <c r="E108" s="3749" t="s">
        <v>1837</v>
      </c>
      <c r="F108" s="3535"/>
      <c r="G108" s="3535"/>
      <c r="H108" s="3535"/>
      <c r="I108" s="3535"/>
      <c r="J108" s="3535"/>
      <c r="K108" s="3600"/>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747">
        <f>ROUNDUP(HLOOKUP($E108,Bonos_Cat_Base,2,FALSE),0)</f>
        <v>1</v>
      </c>
      <c r="Y108" s="3747"/>
      <c r="Z108" s="193"/>
      <c r="AA108" s="181">
        <f>V108+Z108+X108</f>
        <v>1</v>
      </c>
      <c r="AB108" s="3049"/>
      <c r="AC108" s="1802"/>
      <c r="AO108" s="2960"/>
      <c r="AZ108" s="44"/>
    </row>
    <row r="109" spans="1:63" ht="12" customHeight="1" x14ac:dyDescent="0.2">
      <c r="A109" s="1981"/>
      <c r="B109" s="2307"/>
      <c r="C109" s="3543"/>
      <c r="D109" s="3756"/>
      <c r="E109" s="3750" t="s">
        <v>1838</v>
      </c>
      <c r="F109" s="3533"/>
      <c r="G109" s="3533"/>
      <c r="H109" s="3533"/>
      <c r="I109" s="3533"/>
      <c r="J109" s="3533"/>
      <c r="K109" s="3601"/>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748" t="s">
        <v>1769</v>
      </c>
      <c r="Y109" s="3748"/>
      <c r="Z109" s="194"/>
      <c r="AA109" s="150">
        <f>V109+W109+Z109+Bono_ATA</f>
        <v>0</v>
      </c>
      <c r="AB109" s="3049"/>
      <c r="AC109" s="1802"/>
      <c r="AO109" s="2960"/>
      <c r="AZ109" s="44"/>
    </row>
    <row r="110" spans="1:63" ht="12" customHeight="1" x14ac:dyDescent="0.2">
      <c r="A110" s="1981"/>
      <c r="B110" s="2307"/>
      <c r="C110" s="3543"/>
      <c r="D110" s="1731" t="s">
        <v>1834</v>
      </c>
      <c r="E110" s="3751"/>
      <c r="F110" s="3752"/>
      <c r="G110" s="3752"/>
      <c r="H110" s="3752"/>
      <c r="I110" s="3752"/>
      <c r="J110" s="3752"/>
      <c r="K110" s="3753"/>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758" t="str">
        <f>IF(E110=0,"",VLOOKUP(E110,Tablas_Psíquicas:F1122,3))</f>
        <v/>
      </c>
      <c r="W110" s="3759"/>
      <c r="X110" s="3759"/>
      <c r="Y110" s="3759"/>
      <c r="Z110" s="3759"/>
      <c r="AA110" s="3760"/>
      <c r="AB110" s="3049"/>
      <c r="AC110" s="1802"/>
      <c r="AO110" s="2960"/>
      <c r="AZ110" s="44"/>
    </row>
    <row r="111" spans="1:63" ht="12" customHeight="1" x14ac:dyDescent="0.2">
      <c r="A111" s="1981"/>
      <c r="B111" s="2307"/>
      <c r="C111" s="3543"/>
      <c r="D111" s="3550" t="s">
        <v>1839</v>
      </c>
      <c r="E111" s="3622"/>
      <c r="F111" s="3623"/>
      <c r="G111" s="3623"/>
      <c r="H111" s="3623"/>
      <c r="I111" s="3623"/>
      <c r="J111" s="3623"/>
      <c r="K111" s="3624"/>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761" t="str">
        <f>IF(E111=0,"",VLOOKUP(E111,Tablas!$D$1072:$R$1087,4,FALSE))</f>
        <v/>
      </c>
      <c r="W111" s="3762"/>
      <c r="X111" s="3762"/>
      <c r="Y111" s="3762"/>
      <c r="Z111" s="3762"/>
      <c r="AA111" s="3763"/>
      <c r="AB111" s="3049"/>
      <c r="AC111" s="1802"/>
      <c r="AO111" s="2960"/>
      <c r="AZ111" s="44"/>
    </row>
    <row r="112" spans="1:63" ht="12" customHeight="1" x14ac:dyDescent="0.2">
      <c r="A112" s="1981"/>
      <c r="B112" s="2307"/>
      <c r="C112" s="3543"/>
      <c r="D112" s="3551"/>
      <c r="E112" s="3625"/>
      <c r="F112" s="3575"/>
      <c r="G112" s="3575"/>
      <c r="H112" s="3575"/>
      <c r="I112" s="3575"/>
      <c r="J112" s="3575"/>
      <c r="K112" s="3576"/>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764" t="str">
        <f>IF(E112=0,"",VLOOKUP(E112,Tablas!$D$1072:$R$1087,4,FALSE))</f>
        <v/>
      </c>
      <c r="W112" s="3765"/>
      <c r="X112" s="3765"/>
      <c r="Y112" s="3765"/>
      <c r="Z112" s="3765"/>
      <c r="AA112" s="3766"/>
      <c r="AB112" s="3049"/>
      <c r="AC112" s="1802"/>
      <c r="AO112" s="2960"/>
      <c r="AZ112" s="44"/>
    </row>
    <row r="113" spans="1:52" ht="12" customHeight="1" x14ac:dyDescent="0.2">
      <c r="A113" s="1981"/>
      <c r="B113" s="2307"/>
      <c r="C113" s="3543"/>
      <c r="D113" s="3551"/>
      <c r="E113" s="3626"/>
      <c r="F113" s="3572"/>
      <c r="G113" s="3572"/>
      <c r="H113" s="3572"/>
      <c r="I113" s="3572"/>
      <c r="J113" s="3572"/>
      <c r="K113" s="3573"/>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767" t="str">
        <f>IF(E113=0,"",VLOOKUP(E113,Tablas!$D$1072:$R$1087,4,FALSE))</f>
        <v/>
      </c>
      <c r="W113" s="3768"/>
      <c r="X113" s="3768"/>
      <c r="Y113" s="3768"/>
      <c r="Z113" s="3768"/>
      <c r="AA113" s="3769"/>
      <c r="AB113" s="3049"/>
      <c r="AC113" s="1802"/>
      <c r="AO113" s="2960"/>
      <c r="AZ113" s="44"/>
    </row>
    <row r="114" spans="1:52" ht="12" customHeight="1" x14ac:dyDescent="0.2">
      <c r="A114" s="1981"/>
      <c r="B114" s="2307"/>
      <c r="C114" s="3543"/>
      <c r="D114" s="3551"/>
      <c r="E114" s="3625"/>
      <c r="F114" s="3575"/>
      <c r="G114" s="3575"/>
      <c r="H114" s="3575"/>
      <c r="I114" s="3575"/>
      <c r="J114" s="3575"/>
      <c r="K114" s="3576"/>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764" t="str">
        <f>IF(E114=0,"",VLOOKUP(E114,Tablas!$D$1072:$R$1087,4,FALSE))</f>
        <v/>
      </c>
      <c r="W114" s="3765"/>
      <c r="X114" s="3765"/>
      <c r="Y114" s="3765"/>
      <c r="Z114" s="3765"/>
      <c r="AA114" s="3766"/>
      <c r="AB114" s="3049"/>
      <c r="AC114" s="1802"/>
      <c r="AO114" s="2960"/>
      <c r="AZ114" s="44"/>
    </row>
    <row r="115" spans="1:52" ht="12" customHeight="1" x14ac:dyDescent="0.2">
      <c r="A115" s="1981"/>
      <c r="B115" s="2307"/>
      <c r="C115" s="3543"/>
      <c r="D115" s="3551"/>
      <c r="E115" s="3626"/>
      <c r="F115" s="3572"/>
      <c r="G115" s="3572"/>
      <c r="H115" s="3572"/>
      <c r="I115" s="3572"/>
      <c r="J115" s="3572"/>
      <c r="K115" s="3573"/>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767" t="str">
        <f>IF(E115=0,"",VLOOKUP(E115,Tablas!$D$1072:$R$1087,4,FALSE))</f>
        <v/>
      </c>
      <c r="W115" s="3768"/>
      <c r="X115" s="3768"/>
      <c r="Y115" s="3768"/>
      <c r="Z115" s="3768"/>
      <c r="AA115" s="3769"/>
      <c r="AB115" s="3049"/>
      <c r="AC115" s="1802"/>
      <c r="AH115" s="2986"/>
      <c r="AO115" s="2960"/>
      <c r="AZ115" s="44"/>
    </row>
    <row r="116" spans="1:52" ht="12" customHeight="1" thickBot="1" x14ac:dyDescent="0.25">
      <c r="A116" s="1981"/>
      <c r="B116" s="2307"/>
      <c r="C116" s="3543"/>
      <c r="D116" s="3551"/>
      <c r="E116" s="3625"/>
      <c r="F116" s="3575"/>
      <c r="G116" s="3575"/>
      <c r="H116" s="3575"/>
      <c r="I116" s="3575"/>
      <c r="J116" s="3575"/>
      <c r="K116" s="3576"/>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764" t="str">
        <f>IF(E116=0,"",VLOOKUP(E116,Tablas!$D$1072:$R$1087,4,FALSE))</f>
        <v/>
      </c>
      <c r="W116" s="3765"/>
      <c r="X116" s="3765"/>
      <c r="Y116" s="3765"/>
      <c r="Z116" s="3765"/>
      <c r="AA116" s="3766"/>
      <c r="AB116" s="3049"/>
      <c r="AC116" s="1802"/>
      <c r="AO116" s="2960"/>
      <c r="AZ116" s="44"/>
    </row>
    <row r="117" spans="1:52" ht="12" customHeight="1" x14ac:dyDescent="0.2">
      <c r="A117" s="1981"/>
      <c r="B117" s="2307"/>
      <c r="C117" s="3544"/>
      <c r="D117" s="3743" t="s">
        <v>1840</v>
      </c>
      <c r="E117" s="3744"/>
      <c r="F117" s="3744"/>
      <c r="G117" s="3744"/>
      <c r="H117" s="3744"/>
      <c r="I117" s="3744"/>
      <c r="J117" s="3744"/>
      <c r="K117" s="3548"/>
      <c r="L117" s="3546">
        <f>Y$5*IF(Categoría_1=0,0.5,VLOOKUP(Categoría_1,Tabla_Categorías,8,FALSE))</f>
        <v>300</v>
      </c>
      <c r="M117" s="3552">
        <f>SUM(M108:M116)</f>
        <v>0</v>
      </c>
      <c r="N117" s="3546">
        <f>SUM(Y$5:Y$7)*IF(Categoría_2=0,0,VLOOKUP(Categoría_2,Tabla_Categorías,8,FALSE))</f>
        <v>0</v>
      </c>
      <c r="O117" s="3552">
        <f>(SUM(O108:O116)+M117)*IF(Categoría_2=0,0,1)</f>
        <v>0</v>
      </c>
      <c r="P117" s="3546">
        <f>SUM(Y$5:Y$9)*IF(Categoría_3=0,0,VLOOKUP(Categoría_3,Tabla_Categorías,8,FALSE))</f>
        <v>0</v>
      </c>
      <c r="Q117" s="3548">
        <f>(SUM(Q108:Q116)+O117)*IF(Categoría_3=0,0,1)</f>
        <v>0</v>
      </c>
      <c r="R117" s="3546">
        <f>SUM(Y$5:Y$11)*IF(Categoría_4=0,0,VLOOKUP(Categoría_4,Tabla_Categorías,8,FALSE))</f>
        <v>0</v>
      </c>
      <c r="S117" s="3552">
        <f>(SUM(S108:S116)+Q117)*IF(Categoría_4=0,0,1)</f>
        <v>0</v>
      </c>
      <c r="T117" s="3546">
        <f>SUM(Y$5:Y$13)*IF(Categoría_5=0,0,VLOOKUP(Categoría_5,Tabla_Categorías,8,FALSE))</f>
        <v>0</v>
      </c>
      <c r="U117" s="3552">
        <f>(SUM(U108:U116)+S117)*IF(Categoría_5=0,0,1)</f>
        <v>0</v>
      </c>
      <c r="V117" s="3515" t="str">
        <f>IF(OR(M109&gt;L117/2,O109&gt;N117/2,Q109&gt;P117/2,S109&gt;R117/2,U109&gt;T117/2),"Exceso en Proyección Psíquica",IF(OR(M117&gt;L117,O117&gt;N117,Q117&gt;P117,S117&gt;R117,U117&gt;T117),"Exceso de PDs en Habilidades Psíquicas",""))</f>
        <v/>
      </c>
      <c r="W117" s="3516"/>
      <c r="X117" s="3516"/>
      <c r="Y117" s="3516"/>
      <c r="Z117" s="3516"/>
      <c r="AA117" s="3517"/>
      <c r="AB117" s="3049"/>
      <c r="AC117" s="1802"/>
      <c r="AO117" s="2960"/>
      <c r="AZ117" s="44"/>
    </row>
    <row r="118" spans="1:52" ht="12" customHeight="1" thickBot="1" x14ac:dyDescent="0.25">
      <c r="A118" s="1981"/>
      <c r="B118" s="2307"/>
      <c r="C118" s="3545"/>
      <c r="D118" s="3745"/>
      <c r="E118" s="3746"/>
      <c r="F118" s="3746"/>
      <c r="G118" s="3746"/>
      <c r="H118" s="3746"/>
      <c r="I118" s="3746"/>
      <c r="J118" s="3746"/>
      <c r="K118" s="3549"/>
      <c r="L118" s="3547"/>
      <c r="M118" s="3553"/>
      <c r="N118" s="3547"/>
      <c r="O118" s="3553"/>
      <c r="P118" s="3547"/>
      <c r="Q118" s="3549"/>
      <c r="R118" s="3547"/>
      <c r="S118" s="3553"/>
      <c r="T118" s="3547"/>
      <c r="U118" s="3553"/>
      <c r="V118" s="3518"/>
      <c r="W118" s="3519"/>
      <c r="X118" s="3519"/>
      <c r="Y118" s="3519"/>
      <c r="Z118" s="3519"/>
      <c r="AA118" s="3520"/>
      <c r="AB118" s="3049"/>
      <c r="AC118" s="1802"/>
      <c r="AE118" s="2962" t="str">
        <f>IF(Tablas!N136="","","Tablas!$M$31:$M$32")</f>
        <v/>
      </c>
      <c r="AO118" s="2960"/>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9"/>
      <c r="AC119" s="1802"/>
      <c r="AZ119" s="44"/>
    </row>
    <row r="120" spans="1:52" ht="12" customHeight="1" thickBot="1" x14ac:dyDescent="0.25">
      <c r="A120" s="1981"/>
      <c r="B120" s="2613"/>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8"/>
      <c r="AC120" s="3050"/>
      <c r="AZ120" s="44"/>
    </row>
    <row r="121" spans="1:52" ht="12" customHeight="1" thickBot="1" x14ac:dyDescent="0.25">
      <c r="A121" s="1981"/>
      <c r="B121" s="2614"/>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7"/>
      <c r="AC121" s="3050"/>
      <c r="AZ121" s="44"/>
    </row>
    <row r="122" spans="1:52" ht="12" customHeight="1" thickBot="1" x14ac:dyDescent="0.25">
      <c r="A122" s="1981"/>
      <c r="B122" s="2307"/>
      <c r="AB122" s="3049"/>
      <c r="AC122" s="3050"/>
      <c r="AZ122" s="44"/>
    </row>
    <row r="123" spans="1:52" ht="12" customHeight="1" thickBot="1" x14ac:dyDescent="0.25">
      <c r="A123" s="1984"/>
      <c r="B123" s="2307"/>
      <c r="C123" s="44"/>
      <c r="D123" s="44"/>
      <c r="E123" s="44"/>
      <c r="F123" s="44"/>
      <c r="G123" s="44"/>
      <c r="H123" s="44"/>
      <c r="I123" s="173"/>
      <c r="J123" s="3833" t="str">
        <f>IF(Categoría_1=0,"",Categoría_1)</f>
        <v>Hechicero</v>
      </c>
      <c r="K123" s="3831"/>
      <c r="L123" s="3827" t="str">
        <f>IF(Categoría_2=0,"",Categoría_2)</f>
        <v/>
      </c>
      <c r="M123" s="3831"/>
      <c r="N123" s="3827" t="str">
        <f>IF(Categoría_3=0,"",Categoría_3)</f>
        <v/>
      </c>
      <c r="O123" s="3831"/>
      <c r="P123" s="3827" t="str">
        <f>IF(Categoría_4=0,"",Categoría_4)</f>
        <v/>
      </c>
      <c r="Q123" s="3831"/>
      <c r="R123" s="3827" t="str">
        <f>IF(Categoría_5=0,"",Categoría_5)</f>
        <v/>
      </c>
      <c r="S123" s="3828"/>
      <c r="T123" s="173"/>
      <c r="U123" s="173"/>
      <c r="V123" s="173"/>
      <c r="W123" s="68"/>
      <c r="X123" s="68"/>
      <c r="Y123" s="173"/>
      <c r="Z123" s="173"/>
      <c r="AA123" s="173"/>
      <c r="AB123" s="3049"/>
      <c r="AC123" s="1802"/>
      <c r="AE123" s="2982" t="s">
        <v>9026</v>
      </c>
      <c r="AF123" s="2970" t="b">
        <f>IF(Tablas!G480&gt;0,TRUE,IF(Personalización!G22="Si",TRUE,FALSE))</f>
        <v>1</v>
      </c>
    </row>
    <row r="124" spans="1:52" ht="12" customHeight="1" thickBot="1" x14ac:dyDescent="0.25">
      <c r="A124" s="1982"/>
      <c r="B124" s="2307"/>
      <c r="C124" s="173"/>
      <c r="D124" s="173"/>
      <c r="E124" s="173"/>
      <c r="F124" s="173"/>
      <c r="I124" s="173"/>
      <c r="J124" s="3834"/>
      <c r="K124" s="3832"/>
      <c r="L124" s="3829"/>
      <c r="M124" s="3832"/>
      <c r="N124" s="3829"/>
      <c r="O124" s="3832"/>
      <c r="P124" s="3829"/>
      <c r="Q124" s="3832"/>
      <c r="R124" s="3829"/>
      <c r="S124" s="3830"/>
      <c r="T124" s="173"/>
      <c r="U124" s="173"/>
      <c r="V124" s="173"/>
      <c r="W124" s="3825" t="s">
        <v>1852</v>
      </c>
      <c r="X124" s="3826"/>
      <c r="Y124" s="173"/>
      <c r="Z124" s="173"/>
      <c r="AA124" s="173"/>
      <c r="AB124" s="3049"/>
      <c r="AC124" s="1802"/>
      <c r="AE124" s="3493" t="s">
        <v>3000</v>
      </c>
      <c r="AF124" s="3493"/>
      <c r="AG124" s="3493"/>
      <c r="AH124" s="3493"/>
      <c r="AI124" s="3493"/>
      <c r="AJ124" s="3493"/>
      <c r="AL124" s="3493" t="s">
        <v>9423</v>
      </c>
      <c r="AM124" s="3493"/>
      <c r="AN124" s="3493"/>
      <c r="AO124" s="3493"/>
      <c r="AP124" s="3493"/>
      <c r="AQ124" s="3493"/>
      <c r="AR124" s="3493"/>
      <c r="AS124" s="3493"/>
      <c r="AT124" s="3493"/>
    </row>
    <row r="125" spans="1:52" ht="12" customHeight="1" thickBot="1" x14ac:dyDescent="0.25">
      <c r="A125" s="1982"/>
      <c r="B125" s="2307"/>
      <c r="C125" s="3556" t="s">
        <v>1707</v>
      </c>
      <c r="D125" s="1752" t="s">
        <v>1711</v>
      </c>
      <c r="E125" s="3524" t="s">
        <v>1687</v>
      </c>
      <c r="F125" s="3525"/>
      <c r="G125" s="3525"/>
      <c r="H125" s="3526"/>
      <c r="I125" s="2226" t="s">
        <v>8234</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9"/>
      <c r="AC125" s="1802"/>
      <c r="AD125" s="2960" t="s">
        <v>9025</v>
      </c>
      <c r="AE125" s="2960" t="s">
        <v>9027</v>
      </c>
      <c r="AF125" s="2960" t="s">
        <v>8536</v>
      </c>
      <c r="AG125" s="2960" t="s">
        <v>8537</v>
      </c>
      <c r="AH125" s="2983" t="s">
        <v>1791</v>
      </c>
      <c r="AI125" s="2960" t="s">
        <v>8354</v>
      </c>
      <c r="AJ125" s="2960" t="s">
        <v>8338</v>
      </c>
      <c r="AL125" s="2001" t="s">
        <v>9344</v>
      </c>
      <c r="AN125" s="2001" t="s">
        <v>9342</v>
      </c>
      <c r="AP125" s="2001" t="s">
        <v>9343</v>
      </c>
      <c r="AR125" s="2001" t="s">
        <v>9346</v>
      </c>
      <c r="AT125" s="2001" t="s">
        <v>9345</v>
      </c>
    </row>
    <row r="126" spans="1:52" ht="12" customHeight="1" x14ac:dyDescent="0.2">
      <c r="A126" s="1982"/>
      <c r="B126" s="2307" t="str">
        <f>D126</f>
        <v>Atléticas</v>
      </c>
      <c r="C126" s="3544"/>
      <c r="D126" s="3836" t="s">
        <v>1716</v>
      </c>
      <c r="E126" s="3807" t="s">
        <v>1717</v>
      </c>
      <c r="F126" s="3808"/>
      <c r="G126" s="3808"/>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9">
        <f t="shared" ref="AB126:AB157" si="34">IF(AA126="-",0,IF(AA126&gt;VLOOKUP(Nivel_Total,Tabla_LímiteSecundarias,2),1,0))</f>
        <v>0</v>
      </c>
      <c r="AC126" s="1802"/>
      <c r="AD126" s="2988">
        <f>'Tablas psiquica'!AH66+'Tablas psiquica'!AH68</f>
        <v>0</v>
      </c>
      <c r="AE126" s="2987">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82">
        <f>IF(AF$123,IF(OR(Region="",ClaseSocial="",Personalización!$AN$21),0,IF(OR(AND(AI126,AJ126),AND(NOT(AI126),NOT(AJ126))),LEFT(AG126,2)+LEFT(AH126,2),0)),0)</f>
        <v>0</v>
      </c>
      <c r="AG126" s="2960">
        <f>HLOOKUP(Region&amp;ClaseSocial,Tabla_RaicesCulturales,Tablas!F142,FALSE)</f>
        <v>0</v>
      </c>
      <c r="AH126" s="2987">
        <f>IF(AND(E126="Historia",Personalización!$E$26="Historia (Local)"),20&amp;" "&amp;Personalización!$E$26,IF(OR(E126=Personalización!$E$25,E126=Personalización!$E$26),VLOOKUP(E126,Tablas!$L$136:$M$137,2,FALSE),0))</f>
        <v>0</v>
      </c>
      <c r="AI126" s="2987" t="b">
        <f t="shared" ref="AI126:AI143" si="35">OR(ISNUMBER(FIND("(",AG126)),ISNUMBER(FIND("(",AH126)))</f>
        <v>0</v>
      </c>
      <c r="AJ126" s="2987"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44"/>
      <c r="D127" s="3293"/>
      <c r="E127" s="3532" t="s">
        <v>1719</v>
      </c>
      <c r="F127" s="3533"/>
      <c r="G127" s="3533"/>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9">
        <f t="shared" si="34"/>
        <v>0</v>
      </c>
      <c r="AC127" s="1802"/>
      <c r="AD127" s="2989">
        <f>'Tablas psiquica'!$AH$68</f>
        <v>0</v>
      </c>
      <c r="AE127" s="2987">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82">
        <f>IF(AF$123,IF(OR(Region="",ClaseSocial="",Personalización!$AN$21),0,IF(OR(AND(AI127,AJ127),AND(NOT(AI127),NOT(AJ127))),LEFT(AG127,2)+LEFT(AH127,2),0)),0)</f>
        <v>0</v>
      </c>
      <c r="AG127" s="2960">
        <f>HLOOKUP(Region&amp;ClaseSocial,Tabla_RaicesCulturales,Tablas!F143,FALSE)</f>
        <v>0</v>
      </c>
      <c r="AH127" s="2987">
        <f>IF(AND(E127="Historia",Personalización!$E$26="Historia (Local)"),20&amp;" "&amp;Personalización!$E$26,IF(OR(E127=Personalización!$E$25,E127=Personalización!$E$26),VLOOKUP(E127,Tablas!$L$136:$M$137,2,FALSE),0))</f>
        <v>0</v>
      </c>
      <c r="AI127" s="2987" t="b">
        <f t="shared" si="35"/>
        <v>0</v>
      </c>
      <c r="AJ127" s="2987"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44"/>
      <c r="D128" s="3293"/>
      <c r="E128" s="3534" t="s">
        <v>1722</v>
      </c>
      <c r="F128" s="3535"/>
      <c r="G128" s="3535"/>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-10</v>
      </c>
      <c r="AB128" s="3089">
        <f t="shared" si="34"/>
        <v>0</v>
      </c>
      <c r="AC128" s="1802"/>
      <c r="AD128" s="2989">
        <f>'Tablas psiquica'!$AH$68</f>
        <v>0</v>
      </c>
      <c r="AE128" s="298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82">
        <f>IF(AF$123,IF(OR(Region="",ClaseSocial="",Personalización!$AN$21),0,IF(OR(AND(AI128,AJ128),AND(NOT(AI128),NOT(AJ128))),LEFT(AG128,2)+LEFT(AH128,2),0)),0)</f>
        <v>20</v>
      </c>
      <c r="AG128" s="2960">
        <f>HLOOKUP(Region&amp;ClaseSocial,Tabla_RaicesCulturales,Tablas!F144,FALSE)</f>
        <v>20</v>
      </c>
      <c r="AH128" s="2987">
        <f>IF(AND(E128="Historia",Personalización!$E$26="Historia (Local)"),20&amp;" "&amp;Personalización!$E$26,IF(OR(E128=Personalización!$E$25,E128=Personalización!$E$26),VLOOKUP(E128,Tablas!$L$136:$M$137,2,FALSE),0))</f>
        <v>0</v>
      </c>
      <c r="AI128" s="2987" t="b">
        <f t="shared" si="35"/>
        <v>0</v>
      </c>
      <c r="AJ128" s="2987"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44"/>
      <c r="D129" s="3293"/>
      <c r="E129" s="3532" t="s">
        <v>1726</v>
      </c>
      <c r="F129" s="3533"/>
      <c r="G129" s="3533"/>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9">
        <f t="shared" si="34"/>
        <v>0</v>
      </c>
      <c r="AC129" s="1802"/>
      <c r="AD129" s="2989">
        <f>'Tablas psiquica'!$AH$68</f>
        <v>0</v>
      </c>
      <c r="AE129" s="298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82">
        <f>IF(AF$123,IF(OR(Region="",ClaseSocial="",Personalización!$AN$21),0,IF(OR(AND(AI129,AJ129),AND(NOT(AI129),NOT(AJ129))),LEFT(AG129,2)+LEFT(AH129,2),0)),0)</f>
        <v>0</v>
      </c>
      <c r="AG129" s="2960">
        <f>HLOOKUP(Region&amp;ClaseSocial,Tabla_RaicesCulturales,Tablas!F145,FALSE)</f>
        <v>0</v>
      </c>
      <c r="AH129" s="2987">
        <f>IF(AND(E129="Historia",Personalización!$E$26="Historia (Local)"),20&amp;" "&amp;Personalización!$E$26,IF(OR(E129=Personalización!$E$25,E129=Personalización!$E$26),VLOOKUP(E129,Tablas!$L$136:$M$137,2,FALSE),0))</f>
        <v>0</v>
      </c>
      <c r="AI129" s="2987" t="b">
        <f t="shared" si="35"/>
        <v>0</v>
      </c>
      <c r="AJ129" s="2987"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44"/>
      <c r="D130" s="3293"/>
      <c r="E130" s="3534" t="s">
        <v>1729</v>
      </c>
      <c r="F130" s="3535"/>
      <c r="G130" s="3535"/>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9">
        <f t="shared" si="34"/>
        <v>0</v>
      </c>
      <c r="AC130" s="1802"/>
      <c r="AD130" s="2989">
        <f>'Tablas psiquica'!$AH$68</f>
        <v>0</v>
      </c>
      <c r="AE130" s="298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82">
        <f>IF(AF$123,IF(OR(Region="",ClaseSocial="",Personalización!$AN$21),0,IF(OR(AND(AI130,AJ130),AND(NOT(AI130),NOT(AJ130))),LEFT(AG130,2)+LEFT(AH130,2),0)),0)</f>
        <v>0</v>
      </c>
      <c r="AG130" s="2960">
        <f>HLOOKUP(Region&amp;ClaseSocial,Tabla_RaicesCulturales,Tablas!F146,FALSE)</f>
        <v>0</v>
      </c>
      <c r="AH130" s="2987">
        <f>IF(AND(E130="Historia",Personalización!$E$26="Historia (Local)"),20&amp;" "&amp;Personalización!$E$26,IF(OR(E130=Personalización!$E$25,E130=Personalización!$E$26),VLOOKUP(E130,Tablas!$L$136:$M$137,2,FALSE),0))</f>
        <v>0</v>
      </c>
      <c r="AI130" s="2987" t="b">
        <f t="shared" si="35"/>
        <v>0</v>
      </c>
      <c r="AJ130" s="2987"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44"/>
      <c r="D131" s="3293"/>
      <c r="E131" s="3532" t="s">
        <v>1732</v>
      </c>
      <c r="F131" s="3533"/>
      <c r="G131" s="3533"/>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9">
        <f t="shared" si="34"/>
        <v>0</v>
      </c>
      <c r="AC131" s="1802"/>
      <c r="AD131" s="2989">
        <f>'Tablas psiquica'!AH65+'Tablas psiquica'!$AH$68</f>
        <v>0</v>
      </c>
      <c r="AE131" s="2987">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82">
        <f>IF(AF$123,IF(OR(Region="",ClaseSocial="",Personalización!$AN$21),0,IF(OR(AND(AI131,AJ131),AND(NOT(AI131),NOT(AJ131))),LEFT(AG131,2)+LEFT(AH131,2),0)),0)</f>
        <v>0</v>
      </c>
      <c r="AG131" s="2960">
        <f>HLOOKUP(Region&amp;ClaseSocial,Tabla_RaicesCulturales,Tablas!F147,FALSE)</f>
        <v>0</v>
      </c>
      <c r="AH131" s="2987">
        <f>IF(AND(E131="Historia",Personalización!$E$26="Historia (Local)"),20&amp;" "&amp;Personalización!$E$26,IF(OR(E131=Personalización!$E$25,E131=Personalización!$E$26),VLOOKUP(E131,Tablas!$L$136:$M$137,2,FALSE),0))</f>
        <v>0</v>
      </c>
      <c r="AI131" s="2987" t="b">
        <f t="shared" si="35"/>
        <v>0</v>
      </c>
      <c r="AJ131" s="2987"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44"/>
      <c r="D132" s="3293"/>
      <c r="E132" s="3534" t="s">
        <v>8229</v>
      </c>
      <c r="F132" s="3535"/>
      <c r="G132" s="3535"/>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9">
        <f t="shared" si="34"/>
        <v>0</v>
      </c>
      <c r="AC132" s="1802"/>
      <c r="AD132" s="2989">
        <f>'Tablas psiquica'!$AH$68</f>
        <v>0</v>
      </c>
      <c r="AE132" s="298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82">
        <f>IF(AF$123,IF(OR(Region="",ClaseSocial="",Personalización!$AN$21),0,IF(OR(AND(AI132,AJ132),AND(NOT(AI132),NOT(AJ132))),LEFT(AG132,2)+LEFT(AH132,2),0)),0)</f>
        <v>0</v>
      </c>
      <c r="AG132" s="2960">
        <f>HLOOKUP(Region&amp;ClaseSocial,Tabla_RaicesCulturales,Tablas!F148,FALSE)</f>
        <v>0</v>
      </c>
      <c r="AH132" s="2987">
        <f>IF(AND(E132="Historia",Personalización!$E$26="Historia (Local)"),20&amp;" "&amp;Personalización!$E$26,IF(OR(E132=Personalización!$E$25,E132=Personalización!$E$26),VLOOKUP(E132,Tablas!$L$136:$M$137,2,FALSE),0))</f>
        <v>0</v>
      </c>
      <c r="AI132" s="2987" t="b">
        <f t="shared" si="35"/>
        <v>0</v>
      </c>
      <c r="AJ132" s="2987"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44"/>
      <c r="D133" s="3835" t="s">
        <v>1735</v>
      </c>
      <c r="E133" s="3538" t="s">
        <v>1736</v>
      </c>
      <c r="F133" s="3539"/>
      <c r="G133" s="3539"/>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-10</v>
      </c>
      <c r="AB133" s="3089">
        <f t="shared" si="34"/>
        <v>0</v>
      </c>
      <c r="AC133" s="1802"/>
      <c r="AD133" s="2960">
        <f>Tablas!$K$2457</f>
        <v>0</v>
      </c>
      <c r="AE133" s="2987">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82">
        <f>IF(AF$123,IF(OR(Region="",ClaseSocial="",Personalización!$AN$21),0,IF(OR(AND(AI133,AJ133),AND(NOT(AI133),NOT(AJ133))),LEFT(AG133,2)+LEFT(AH133,2),0)),0)</f>
        <v>20</v>
      </c>
      <c r="AG133" s="2960">
        <f>HLOOKUP(Region&amp;ClaseSocial,Tabla_RaicesCulturales,Tablas!F149,FALSE)</f>
        <v>20</v>
      </c>
      <c r="AH133" s="2987">
        <f>IF(AND(E133="Historia",Personalización!$E$26="Historia (Local)"),20&amp;" "&amp;Personalización!$E$26,IF(OR(E133=Personalización!$E$25,E133=Personalización!$E$26),VLOOKUP(E133,Tablas!$L$136:$M$137,2,FALSE),0))</f>
        <v>0</v>
      </c>
      <c r="AI133" s="2987" t="b">
        <f t="shared" si="35"/>
        <v>0</v>
      </c>
      <c r="AJ133" s="2987"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44"/>
      <c r="D134" s="3293"/>
      <c r="E134" s="3534" t="s">
        <v>1738</v>
      </c>
      <c r="F134" s="3535"/>
      <c r="G134" s="3535"/>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9">
        <f t="shared" si="34"/>
        <v>0</v>
      </c>
      <c r="AC134" s="1802"/>
      <c r="AD134" s="2960">
        <f>Tablas!$K$2421</f>
        <v>0</v>
      </c>
      <c r="AE134" s="2987">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82">
        <f>IF(AF$123,IF(OR(Region="",ClaseSocial="",Personalización!$AN$21),0,IF(OR(AND(AI134,AJ134),AND(NOT(AI134),NOT(AJ134))),LEFT(AG134,2)+LEFT(AH134,2),0)),0)</f>
        <v>0</v>
      </c>
      <c r="AG134" s="2960">
        <f>HLOOKUP(Region&amp;ClaseSocial,Tabla_RaicesCulturales,Tablas!F150,FALSE)</f>
        <v>0</v>
      </c>
      <c r="AH134" s="2987">
        <f>IF(AND(E134="Historia",Personalización!$E$26="Historia (Local)"),20&amp;" "&amp;Personalización!$E$26,IF(OR(E134=Personalización!$E$25,E134=Personalización!$E$26),VLOOKUP(E134,Tablas!$L$136:$M$137,2,FALSE),0))</f>
        <v>0</v>
      </c>
      <c r="AI134" s="2987" t="b">
        <f t="shared" si="35"/>
        <v>0</v>
      </c>
      <c r="AJ134" s="2987"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44"/>
      <c r="D135" s="3293"/>
      <c r="E135" s="3532" t="s">
        <v>1741</v>
      </c>
      <c r="F135" s="3533"/>
      <c r="G135" s="3533"/>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10</v>
      </c>
      <c r="AB135" s="3089">
        <f t="shared" si="34"/>
        <v>0</v>
      </c>
      <c r="AC135" s="1802"/>
      <c r="AD135" s="2960">
        <f>Tablas!$K$2366+Tablas!$K$2432</f>
        <v>0</v>
      </c>
      <c r="AE135" s="2987">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82">
        <f>IF(AF$123,IF(OR(Region="",ClaseSocial="",Personalización!$AN$21),0,IF(OR(AND(AI135,AJ135),AND(NOT(AI135),NOT(AJ135))),LEFT(AG135,2)+LEFT(AH135,2),0)),0)</f>
        <v>40</v>
      </c>
      <c r="AG135" s="2960">
        <f>HLOOKUP(Region&amp;ClaseSocial,Tabla_RaicesCulturales,Tablas!F151,FALSE)</f>
        <v>40</v>
      </c>
      <c r="AH135" s="2987">
        <f>IF(AND(E135="Historia",Personalización!$E$26="Historia (Local)"),20&amp;" "&amp;Personalización!$E$26,IF(OR(E135=Personalización!$E$25,E135=Personalización!$E$26),VLOOKUP(E135,Tablas!$L$136:$M$137,2,FALSE),0))</f>
        <v>0</v>
      </c>
      <c r="AI135" s="2987" t="b">
        <f t="shared" si="35"/>
        <v>0</v>
      </c>
      <c r="AJ135" s="2987"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44"/>
      <c r="D136" s="3293"/>
      <c r="E136" s="3534" t="s">
        <v>1743</v>
      </c>
      <c r="F136" s="3535"/>
      <c r="G136" s="3535"/>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-10</v>
      </c>
      <c r="AB136" s="3089">
        <f t="shared" si="34"/>
        <v>0</v>
      </c>
      <c r="AC136" s="1802"/>
      <c r="AD136" s="2960">
        <f>Tablas!$K$2366</f>
        <v>0</v>
      </c>
      <c r="AE136" s="2987">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82">
        <f>IF(AF$123,IF(OR(Region="",ClaseSocial="",Personalización!$AN$21),0,IF(OR(AND(AI136,AJ136),AND(NOT(AI136),NOT(AJ136))),LEFT(AG136,2)+LEFT(AH136,2),0)),0)</f>
        <v>20</v>
      </c>
      <c r="AG136" s="2960">
        <f>HLOOKUP(Region&amp;ClaseSocial,Tabla_RaicesCulturales,Tablas!F152,FALSE)</f>
        <v>20</v>
      </c>
      <c r="AH136" s="2987">
        <f>IF(AND(E136="Historia",Personalización!$E$26="Historia (Local)"),20&amp;" "&amp;Personalización!$E$26,IF(OR(E136=Personalización!$E$25,E136=Personalización!$E$26),VLOOKUP(E136,Tablas!$L$136:$M$137,2,FALSE),0))</f>
        <v>0</v>
      </c>
      <c r="AI136" s="2987" t="b">
        <f t="shared" si="35"/>
        <v>0</v>
      </c>
      <c r="AJ136" s="2987"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44"/>
      <c r="D137" s="3293"/>
      <c r="E137" s="3532" t="s">
        <v>1088</v>
      </c>
      <c r="F137" s="3533"/>
      <c r="G137" s="3533"/>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9">
        <f t="shared" si="34"/>
        <v>0</v>
      </c>
      <c r="AC137" s="1802"/>
      <c r="AE137" s="298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82">
        <f>IF(AF$123,IF(OR(Region="",ClaseSocial="",Personalización!$AN$21),0,IF(OR(AND(AI137,AJ137),AND(NOT(AI137),NOT(AJ137))),LEFT(AG137,2)+LEFT(AH137,2),0)),0)</f>
        <v>0</v>
      </c>
      <c r="AG137" s="2960">
        <f>HLOOKUP(Region&amp;ClaseSocial,Tabla_RaicesCulturales,Tablas!F153,FALSE)</f>
        <v>0</v>
      </c>
      <c r="AH137" s="2987">
        <f>IF(AND(E137="Historia",Personalización!$E$26="Historia (Local)"),20&amp;" "&amp;Personalización!$E$26,IF(OR(E137=Personalización!$E$25,E137=Personalización!$E$26),VLOOKUP(E137,Tablas!$L$136:$M$137,2,FALSE),0))</f>
        <v>0</v>
      </c>
      <c r="AI137" s="2987" t="b">
        <f t="shared" si="35"/>
        <v>0</v>
      </c>
      <c r="AJ137" s="2987"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44"/>
      <c r="D138" s="3293"/>
      <c r="E138" s="3534" t="s">
        <v>1089</v>
      </c>
      <c r="F138" s="3535"/>
      <c r="G138" s="3535"/>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9">
        <f t="shared" si="34"/>
        <v>0</v>
      </c>
      <c r="AC138" s="1802"/>
      <c r="AE138" s="298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82">
        <f>IF(AF$123,IF(OR(Region="",ClaseSocial="",Personalización!$AN$21),0,IF(OR(AND(AI138,AJ138),AND(NOT(AI138),NOT(AJ138))),LEFT(AG138,2)+LEFT(AH138,2),0)),0)</f>
        <v>0</v>
      </c>
      <c r="AG138" s="2960">
        <f>HLOOKUP(Region&amp;ClaseSocial,Tabla_RaicesCulturales,Tablas!F154,FALSE)</f>
        <v>0</v>
      </c>
      <c r="AH138" s="2987">
        <f>IF(AND(E138="Historia",Personalización!$E$26="Historia (Local)"),20&amp;" "&amp;Personalización!$E$26,IF(OR(E138=Personalización!$E$25,E138=Personalización!$E$26),VLOOKUP(E138,Tablas!$L$136:$M$137,2,FALSE),0))</f>
        <v>0</v>
      </c>
      <c r="AI138" s="2987" t="b">
        <f t="shared" si="35"/>
        <v>0</v>
      </c>
      <c r="AJ138" s="2987"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44"/>
      <c r="D139" s="3368"/>
      <c r="E139" s="3837" t="s">
        <v>1090</v>
      </c>
      <c r="F139" s="3838"/>
      <c r="G139" s="3838"/>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9">
        <f t="shared" si="34"/>
        <v>0</v>
      </c>
      <c r="AC139" s="1802"/>
      <c r="AE139" s="298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82">
        <f>IF(AF$123,IF(OR(Region="",ClaseSocial="",Personalización!$AN$21),0,IF(OR(AND(AI139,AJ139),AND(NOT(AI139),NOT(AJ139))),LEFT(AG139,2)+LEFT(AH139,2),0)),0)</f>
        <v>0</v>
      </c>
      <c r="AG139" s="2960">
        <f>HLOOKUP(Region&amp;ClaseSocial,Tabla_RaicesCulturales,Tablas!F155,FALSE)</f>
        <v>0</v>
      </c>
      <c r="AH139" s="2987">
        <f>IF(AND(E139="Historia",Personalización!$E$26="Historia (Local)"),20&amp;" "&amp;Personalización!$E$26,IF(OR(E139=Personalización!$E$25,E139=Personalización!$E$26),VLOOKUP(E139,Tablas!$L$136:$M$137,2,FALSE),0))</f>
        <v>0</v>
      </c>
      <c r="AI139" s="2987" t="b">
        <f t="shared" si="35"/>
        <v>0</v>
      </c>
      <c r="AJ139" s="2987"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44"/>
      <c r="D140" s="3293" t="s">
        <v>1744</v>
      </c>
      <c r="E140" s="3534" t="s">
        <v>1745</v>
      </c>
      <c r="F140" s="3535"/>
      <c r="G140" s="3535"/>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9">
        <f t="shared" si="34"/>
        <v>0</v>
      </c>
      <c r="AC140" s="1802"/>
      <c r="AD140" s="2960">
        <f>IF(Raza="Tuan Dalyr",80,50)*Tablas!G271+IF(Raza="Turak",IF(OR(Personalización!C10="Ojos de cazador",Personalización!C11="Ojos de cazador",Personalización!C12="Ojos de cazador"),20,0))</f>
        <v>0</v>
      </c>
      <c r="AE140" s="2987">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82">
        <f>IF(AF$123,IF(OR(Region="",ClaseSocial="",Personalización!$AN$21),0,IF(OR(AND(AI140,AJ140),AND(NOT(AI140),NOT(AJ140))),LEFT(AG140,2)+LEFT(AH140,2),0)),0)</f>
        <v>0</v>
      </c>
      <c r="AG140" s="2960">
        <f>HLOOKUP(Region&amp;ClaseSocial,Tabla_RaicesCulturales,Tablas!F156,FALSE)</f>
        <v>0</v>
      </c>
      <c r="AH140" s="2987">
        <f>IF(AND(E140="Historia",Personalización!$E$26="Historia (Local)"),20&amp;" "&amp;Personalización!$E$26,IF(OR(E140=Personalización!$E$25,E140=Personalización!$E$26),VLOOKUP(E140,Tablas!$L$136:$M$137,2,FALSE),0))</f>
        <v>0</v>
      </c>
      <c r="AI140" s="2987" t="b">
        <f t="shared" si="35"/>
        <v>0</v>
      </c>
      <c r="AJ140" s="2987"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44"/>
      <c r="D141" s="3293"/>
      <c r="E141" s="3532" t="s">
        <v>1746</v>
      </c>
      <c r="F141" s="3533"/>
      <c r="G141" s="3533"/>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9">
        <f t="shared" si="34"/>
        <v>0</v>
      </c>
      <c r="AC141" s="1802"/>
      <c r="AD141" s="2960">
        <f>IF(Raza="Tuan Dalyr",80,50)*Tablas!G271</f>
        <v>0</v>
      </c>
      <c r="AE141" s="2987">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82">
        <f>IF(AF$123,IF(OR(Region="",ClaseSocial="",Personalización!$AN$21),0,IF(OR(AND(AI141,AJ141),AND(NOT(AI141),NOT(AJ141))),LEFT(AG141,2)+LEFT(AH141,2),0)),0)</f>
        <v>0</v>
      </c>
      <c r="AG141" s="2960">
        <f>HLOOKUP(Region&amp;ClaseSocial,Tabla_RaicesCulturales,Tablas!F157,FALSE)</f>
        <v>0</v>
      </c>
      <c r="AH141" s="2987">
        <f>IF(AND(E141="Historia",Personalización!$E$26="Historia (Local)"),20&amp;" "&amp;Personalización!$E$26,IF(OR(E141=Personalización!$E$25,E141=Personalización!$E$26),VLOOKUP(E141,Tablas!$L$136:$M$137,2,FALSE),0))</f>
        <v>0</v>
      </c>
      <c r="AI141" s="2987" t="b">
        <f t="shared" si="35"/>
        <v>0</v>
      </c>
      <c r="AJ141" s="2987"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44"/>
      <c r="D142" s="3293"/>
      <c r="E142" s="3534" t="s">
        <v>1747</v>
      </c>
      <c r="F142" s="3535"/>
      <c r="G142" s="3535"/>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9">
        <f t="shared" si="34"/>
        <v>0</v>
      </c>
      <c r="AC142" s="1802"/>
      <c r="AE142" s="2987">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82">
        <f>IF(AF$123,IF(OR(Region="",ClaseSocial="",Personalización!$AN$21),0,IF(OR(AND(AI142,AJ142),AND(NOT(AI142),NOT(AJ142))),LEFT(AG142,2)+LEFT(AH142,2),0)),0)</f>
        <v>0</v>
      </c>
      <c r="AG142" s="2960">
        <f>HLOOKUP(Region&amp;ClaseSocial,Tabla_RaicesCulturales,Tablas!F158,FALSE)</f>
        <v>0</v>
      </c>
      <c r="AH142" s="2987">
        <f>IF(AND(E142="Historia",Personalización!$E$26="Historia (Local)"),20&amp;" "&amp;Personalización!$E$26,IF(OR(E142=Personalización!$E$25,E142=Personalización!$E$26),VLOOKUP(E142,Tablas!$L$136:$M$137,2,FALSE),0))</f>
        <v>0</v>
      </c>
      <c r="AI142" s="2987" t="b">
        <f t="shared" si="35"/>
        <v>0</v>
      </c>
      <c r="AJ142" s="2987"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44"/>
      <c r="D143" s="3835" t="s">
        <v>1748</v>
      </c>
      <c r="E143" s="3538" t="s">
        <v>1749</v>
      </c>
      <c r="F143" s="3539"/>
      <c r="G143" s="3539"/>
      <c r="H143" s="2243" t="s">
        <v>1698</v>
      </c>
      <c r="I143" s="1779"/>
      <c r="J143" s="1597">
        <f>IF(ISNA(AL143),0,MAX(MIN(AL143-Tablas!$G$280-Tablas!$O286-2*Tablas!$Q286-3*Tablas!$S286,3),1))</f>
        <v>2</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9">
        <f t="shared" si="34"/>
        <v>0</v>
      </c>
      <c r="AC143" s="1802"/>
      <c r="AD143" s="2960">
        <f>Tablas!$K$2370+Tablas!$K$2407</f>
        <v>0</v>
      </c>
      <c r="AE143" s="2987">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82">
        <f>IF(AF$123,IF(OR(Region="",ClaseSocial="",Personalización!$AN$21),0,IF(OR(AND(AI143,AJ143),AND(NOT(AI143),NOT(AJ143))),LEFT(AG143,2)+LEFT(AH143,2),0)),0)</f>
        <v>0</v>
      </c>
      <c r="AG143" s="2960">
        <f>HLOOKUP(Region&amp;ClaseSocial,Tabla_RaicesCulturales,Tablas!F159,FALSE)</f>
        <v>0</v>
      </c>
      <c r="AH143" s="2987">
        <f>IF(AND(E143="Historia",Personalización!$E$26="Historia (Local)"),20&amp;" "&amp;Personalización!$E$26,IF(OR(E143=Personalización!$E$25,E143=Personalización!$E$26),VLOOKUP(E143,Tablas!$L$136:$M$137,2,FALSE),0))</f>
        <v>0</v>
      </c>
      <c r="AI143" s="2987" t="b">
        <f t="shared" si="35"/>
        <v>0</v>
      </c>
      <c r="AJ143" s="2987" t="b">
        <f t="shared" si="36"/>
        <v>0</v>
      </c>
      <c r="AL143" s="2001">
        <f t="shared" si="37"/>
        <v>2</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44"/>
      <c r="D144" s="3293"/>
      <c r="E144" s="3534" t="s">
        <v>1750</v>
      </c>
      <c r="F144" s="3535"/>
      <c r="G144" s="3535"/>
      <c r="H144" s="2242" t="s">
        <v>1698</v>
      </c>
      <c r="I144" s="1778"/>
      <c r="J144" s="206">
        <f>IF(ISNA(AL144),0,MAX(MIN(AL144-Tablas!$G$280-Tablas!$O287-2*Tablas!$Q287-3*Tablas!$S287,3),1))</f>
        <v>2</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9">
        <f t="shared" si="34"/>
        <v>0</v>
      </c>
      <c r="AC144" s="1802"/>
      <c r="AD144" s="2960">
        <f>Tablas!$K$2370+Tablas!$K$2459</f>
        <v>0</v>
      </c>
      <c r="AE144" s="298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82">
        <f>IF(AF$123,IF(OR(Region="",ClaseSocial="",Personalización!$AN$21),0,IF(OR(AND(AI144,AJ144),AND(NOT(AI144),NOT(AJ144))),LEFT(AG144,2)+LEFT(AH144,2),0)),0)</f>
        <v>0</v>
      </c>
      <c r="AG144" s="2960">
        <f>HLOOKUP(Region&amp;ClaseSocial,Tabla_RaicesCulturales,Tablas!F160,FALSE)</f>
        <v>0</v>
      </c>
      <c r="AH144" s="2987">
        <f>IF(AND(E144="Historia",Personalización!$E$26="Historia (Local)"),20&amp;" "&amp;Personalización!$E$26,IF(OR(E144=Personalización!$E$25,E144=Personalización!$E$26),VLOOKUP(E144,Tablas!$L$136:$M$137,2,FALSE),0))</f>
        <v>0</v>
      </c>
      <c r="AI144" s="2987" t="b">
        <f t="shared" ref="AI144:AI157" si="46">OR(ISNUMBER(FIND("(",AG144)),ISNUMBER(FIND("(",AH144)))</f>
        <v>0</v>
      </c>
      <c r="AJ144" s="2987" t="b">
        <f t="shared" ref="AJ144:AJ157" si="47">AND(NOT(I144=""),OR(ISNUMBER(SEARCH(I144,AG144)),ISNUMBER(SEARCH(I144,AH144))))</f>
        <v>0</v>
      </c>
      <c r="AL144" s="2001">
        <f t="shared" si="37"/>
        <v>2</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44"/>
      <c r="D145" s="3293"/>
      <c r="E145" s="3532" t="s">
        <v>3126</v>
      </c>
      <c r="F145" s="3533"/>
      <c r="G145" s="3533"/>
      <c r="H145" s="2241" t="s">
        <v>1698</v>
      </c>
      <c r="I145" s="2216"/>
      <c r="J145" s="205">
        <f>IF(ISNA(AL145),0,MAX(MIN(AL145-Tablas!$G$280-Tablas!$O288-2*Tablas!$Q288-3*Tablas!$S288,3),1))</f>
        <v>2</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9">
        <f t="shared" si="34"/>
        <v>0</v>
      </c>
      <c r="AC145" s="1802"/>
      <c r="AD145" s="2960">
        <f>Tablas!$K$2370</f>
        <v>0</v>
      </c>
      <c r="AE145" s="298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82">
        <f>IF(AF$123,IF(OR(Region="",ClaseSocial="",Personalización!$AN$21),0,IF(OR(AND(AI145,AJ145),AND(NOT(AI145),NOT(AJ145))),LEFT(AG145,2)+LEFT(AH145,2),0)),0)</f>
        <v>0</v>
      </c>
      <c r="AG145" s="2960">
        <f>HLOOKUP(Region&amp;ClaseSocial,Tabla_RaicesCulturales,Tablas!F161,FALSE)</f>
        <v>0</v>
      </c>
      <c r="AH145" s="2987">
        <f>IF(AND(E145="Historia",Personalización!$E$26="Historia (Local)"),20&amp;" "&amp;Personalización!$E$26,IF(OR(E145=Personalización!$E$25,E145=Personalización!$E$26),VLOOKUP(E145,Tablas!$L$136:$M$137,2,FALSE),0))</f>
        <v>0</v>
      </c>
      <c r="AI145" s="2987" t="b">
        <f t="shared" si="46"/>
        <v>0</v>
      </c>
      <c r="AJ145" s="2987" t="b">
        <f t="shared" si="47"/>
        <v>0</v>
      </c>
      <c r="AL145" s="2001">
        <f t="shared" si="37"/>
        <v>2</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44"/>
      <c r="D146" s="3293"/>
      <c r="E146" s="3534" t="s">
        <v>1751</v>
      </c>
      <c r="F146" s="3535"/>
      <c r="G146" s="3535"/>
      <c r="H146" s="2242" t="s">
        <v>1698</v>
      </c>
      <c r="I146" s="2217"/>
      <c r="J146" s="206">
        <f>IF(ISNA(AL146),0,MAX(MIN(AL146-Tablas!$G$280-Tablas!$O289-2*Tablas!$Q289-3*Tablas!$S289,3),1))</f>
        <v>2</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9">
        <f t="shared" si="34"/>
        <v>0</v>
      </c>
      <c r="AC146" s="1802"/>
      <c r="AD146" s="2960">
        <f>Tablas!$K$2370+Tablas!$K2406</f>
        <v>0</v>
      </c>
      <c r="AE146" s="2987">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82">
        <f>IF(AF$123,IF(OR(Region="",ClaseSocial="",Personalización!$AN$21),0,IF(OR(AND(AI146,AJ146),AND(NOT(AI146),NOT(AJ146))),LEFT(AG146,2)+LEFT(AH146,2),0)),0)</f>
        <v>0</v>
      </c>
      <c r="AG146" s="2960">
        <f>HLOOKUP(Region&amp;ClaseSocial,Tabla_RaicesCulturales,Tablas!F162,FALSE)</f>
        <v>0</v>
      </c>
      <c r="AH146" s="2987">
        <f>IF(AND(E146="Historia",Personalización!$E$26="Historia (Local)"),20&amp;" "&amp;Personalización!$E$26,IF(OR(E146=Personalización!$E$25,E146=Personalización!$E$26),VLOOKUP(E146,Tablas!$L$136:$M$137,2,FALSE),0))</f>
        <v>0</v>
      </c>
      <c r="AI146" s="2987" t="b">
        <f t="shared" si="46"/>
        <v>0</v>
      </c>
      <c r="AJ146" s="2987" t="b">
        <f t="shared" si="47"/>
        <v>0</v>
      </c>
      <c r="AL146" s="2001">
        <f t="shared" si="37"/>
        <v>2</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44"/>
      <c r="D147" s="3293"/>
      <c r="E147" s="3532" t="s">
        <v>1753</v>
      </c>
      <c r="F147" s="3533"/>
      <c r="G147" s="3533"/>
      <c r="H147" s="2241" t="s">
        <v>1698</v>
      </c>
      <c r="I147" s="1777"/>
      <c r="J147" s="205">
        <f>IF(ISNA(AL147),0,MAX(MIN(AL147-Tablas!$G$280-Tablas!$O290-2*Tablas!$Q290-3*Tablas!$S290,3),1))</f>
        <v>2</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9">
        <f t="shared" si="34"/>
        <v>0</v>
      </c>
      <c r="AC147" s="1802"/>
      <c r="AD147" s="2960">
        <f>Tablas!$K$2370</f>
        <v>0</v>
      </c>
      <c r="AE147" s="298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82">
        <f>IF(AF$123,IF(OR(Region="",ClaseSocial="",Personalización!$AN$21),0,IF(OR(AND(AI147,AJ147),AND(NOT(AI147),NOT(AJ147))),LEFT(AG147,2)+LEFT(AH147,2),0)),0)</f>
        <v>0</v>
      </c>
      <c r="AG147" s="2960" t="str">
        <f>HLOOKUP(Region&amp;ClaseSocial,Tabla_RaicesCulturales,Tablas!F163,FALSE)</f>
        <v>20 Historia (Local)</v>
      </c>
      <c r="AH147" s="2987">
        <f>IF(AND(E147="Historia",Personalización!$E$26="Historia (Local)"),20&amp;" "&amp;Personalización!$E$26,IF(OR(E147=Personalización!$E$25,E147=Personalización!$E$26),VLOOKUP(E147,Tablas!$L$136:$M$137,2,FALSE),0))</f>
        <v>0</v>
      </c>
      <c r="AI147" s="2987" t="b">
        <f t="shared" si="46"/>
        <v>1</v>
      </c>
      <c r="AJ147" s="2987" t="b">
        <f t="shared" si="47"/>
        <v>0</v>
      </c>
      <c r="AL147" s="2001">
        <f t="shared" si="37"/>
        <v>2</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44"/>
      <c r="D148" s="3293"/>
      <c r="E148" s="3534" t="s">
        <v>1091</v>
      </c>
      <c r="F148" s="3535"/>
      <c r="G148" s="3535"/>
      <c r="H148" s="2242" t="s">
        <v>1698</v>
      </c>
      <c r="I148" s="2217"/>
      <c r="J148" s="206">
        <f>IF(ISNA(AL148),0,MAX(MIN(AL148-Tablas!$G$280-Tablas!$O291-2*Tablas!$Q291-3*Tablas!$S291,3),1))</f>
        <v>2</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9">
        <f t="shared" si="34"/>
        <v>0</v>
      </c>
      <c r="AC148" s="1802"/>
      <c r="AD148" s="2960">
        <f>Tablas!$K$2370</f>
        <v>0</v>
      </c>
      <c r="AE148" s="298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82">
        <f>IF(AF$123,IF(OR(Region="",ClaseSocial="",Personalización!$AN$21),0,IF(OR(AND(AI148,AJ148),AND(NOT(AI148),NOT(AJ148))),LEFT(AG148,2)+LEFT(AH148,2),0)),0)</f>
        <v>0</v>
      </c>
      <c r="AG148" s="2960">
        <f>HLOOKUP(Region&amp;ClaseSocial,Tabla_RaicesCulturales,Tablas!F164,FALSE)</f>
        <v>0</v>
      </c>
      <c r="AH148" s="2987">
        <f>IF(AND(E148="Historia",Personalización!$E$26="Historia (Local)"),20&amp;" "&amp;Personalización!$E$26,IF(OR(E148=Personalización!$E$25,E148=Personalización!$E$26),VLOOKUP(E148,Tablas!$L$136:$M$137,2,FALSE),0))</f>
        <v>0</v>
      </c>
      <c r="AI148" s="2987" t="b">
        <f t="shared" si="46"/>
        <v>0</v>
      </c>
      <c r="AJ148" s="2987" t="b">
        <f t="shared" si="47"/>
        <v>0</v>
      </c>
      <c r="AL148" s="2001">
        <f t="shared" si="37"/>
        <v>2</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44"/>
      <c r="D149" s="3293"/>
      <c r="E149" s="3532" t="s">
        <v>1756</v>
      </c>
      <c r="F149" s="3533"/>
      <c r="G149" s="3533"/>
      <c r="H149" s="2241" t="s">
        <v>1698</v>
      </c>
      <c r="I149" s="1777"/>
      <c r="J149" s="205">
        <f>IF(ISNA(AL149),0,MAX(MIN(AL149-Tablas!$G$280-Tablas!$O292-2*Tablas!$Q292-3*Tablas!$S292,3),1))</f>
        <v>2</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9">
        <f t="shared" si="34"/>
        <v>0</v>
      </c>
      <c r="AC149" s="1802"/>
      <c r="AD149" s="2960">
        <f>Tablas!$K$2370</f>
        <v>0</v>
      </c>
      <c r="AE149" s="298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82">
        <f>IF(AF$123,IF(OR(Region="",ClaseSocial="",Personalización!$AN$21),0,IF(OR(AND(AI149,AJ149),AND(NOT(AI149),NOT(AJ149))),LEFT(AG149,2)+LEFT(AH149,2),0)),0)</f>
        <v>0</v>
      </c>
      <c r="AG149" s="2960">
        <f>HLOOKUP(Region&amp;ClaseSocial,Tabla_RaicesCulturales,Tablas!F165,FALSE)</f>
        <v>0</v>
      </c>
      <c r="AH149" s="2987">
        <f>IF(AND(E149="Historia",Personalización!$E$26="Historia (Local)"),20&amp;" "&amp;Personalización!$E$26,IF(OR(E149=Personalización!$E$25,E149=Personalización!$E$26),VLOOKUP(E149,Tablas!$L$136:$M$137,2,FALSE),0))</f>
        <v>0</v>
      </c>
      <c r="AI149" s="2987" t="b">
        <f t="shared" si="46"/>
        <v>0</v>
      </c>
      <c r="AJ149" s="2987" t="b">
        <f t="shared" si="47"/>
        <v>0</v>
      </c>
      <c r="AL149" s="2001">
        <f t="shared" si="37"/>
        <v>2</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44"/>
      <c r="D150" s="3293"/>
      <c r="E150" s="3534" t="s">
        <v>1757</v>
      </c>
      <c r="F150" s="3535"/>
      <c r="G150" s="3535"/>
      <c r="H150" s="2242" t="s">
        <v>1698</v>
      </c>
      <c r="I150" s="2217"/>
      <c r="J150" s="206">
        <f>IF(ISNA(AL150),0,MAX(MIN(AL150-Tablas!$G$280-Tablas!$O293-2*Tablas!$Q293-3*Tablas!$S293,3),1))</f>
        <v>2</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9">
        <f t="shared" si="34"/>
        <v>0</v>
      </c>
      <c r="AC150" s="1802"/>
      <c r="AD150" s="2960">
        <f>Tablas!$K$2370</f>
        <v>0</v>
      </c>
      <c r="AE150" s="298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82">
        <f>IF(AF$123,IF(OR(Region="",ClaseSocial="",Personalización!$AN$21),0,IF(OR(AND(AI150,AJ150),AND(NOT(AI150),NOT(AJ150))),LEFT(AG150,2)+LEFT(AH150,2),0)),0)</f>
        <v>0</v>
      </c>
      <c r="AG150" s="2960">
        <f>HLOOKUP(Region&amp;ClaseSocial,Tabla_RaicesCulturales,Tablas!F166,FALSE)</f>
        <v>0</v>
      </c>
      <c r="AH150" s="2987">
        <f>IF(AND(E150="Historia",Personalización!$E$26="Historia (Local)"),20&amp;" "&amp;Personalización!$E$26,IF(OR(E150=Personalización!$E$25,E150=Personalización!$E$26),VLOOKUP(E150,Tablas!$L$136:$M$137,2,FALSE),0))</f>
        <v>0</v>
      </c>
      <c r="AI150" s="2987" t="b">
        <f t="shared" si="46"/>
        <v>0</v>
      </c>
      <c r="AJ150" s="2987" t="b">
        <f t="shared" si="47"/>
        <v>0</v>
      </c>
      <c r="AL150" s="2001">
        <f t="shared" si="37"/>
        <v>2</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44"/>
      <c r="D151" s="3293"/>
      <c r="E151" s="3532" t="s">
        <v>1758</v>
      </c>
      <c r="F151" s="3533"/>
      <c r="G151" s="3533"/>
      <c r="H151" s="2241" t="s">
        <v>1698</v>
      </c>
      <c r="I151" s="2216"/>
      <c r="J151" s="205">
        <f>IF(ISNA(AL151),0,MAX(MIN(AL151-Tablas!$G$280-Tablas!$O294-2*Tablas!$Q294-3*Tablas!$S294,3),1))</f>
        <v>2</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9">
        <f t="shared" si="34"/>
        <v>0</v>
      </c>
      <c r="AC151" s="1802"/>
      <c r="AD151" s="2960">
        <f>Tablas!$K$2370</f>
        <v>0</v>
      </c>
      <c r="AE151" s="298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82">
        <f>IF(AF$123,IF(OR(Region="",ClaseSocial="",Personalización!$AN$21),0,IF(OR(AND(AI151,AJ151),AND(NOT(AI151),NOT(AJ151))),LEFT(AG151,2)+LEFT(AH151,2),0)),0)</f>
        <v>0</v>
      </c>
      <c r="AG151" s="2960">
        <f>HLOOKUP(Region&amp;ClaseSocial,Tabla_RaicesCulturales,Tablas!F167,FALSE)</f>
        <v>0</v>
      </c>
      <c r="AH151" s="2987">
        <f>IF(AND(E151="Historia",Personalización!$E$26="Historia (Local)"),20&amp;" "&amp;Personalización!$E$26,IF(OR(E151=Personalización!$E$25,E151=Personalización!$E$26),VLOOKUP(E151,Tablas!$L$136:$M$137,2,FALSE),0))</f>
        <v>0</v>
      </c>
      <c r="AI151" s="2987" t="b">
        <f t="shared" si="46"/>
        <v>0</v>
      </c>
      <c r="AJ151" s="2987" t="b">
        <f t="shared" si="47"/>
        <v>0</v>
      </c>
      <c r="AL151" s="2001">
        <f t="shared" si="37"/>
        <v>2</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44"/>
      <c r="D152" s="3293"/>
      <c r="E152" s="3534" t="s">
        <v>1759</v>
      </c>
      <c r="F152" s="3535"/>
      <c r="G152" s="3535"/>
      <c r="H152" s="2242" t="s">
        <v>1698</v>
      </c>
      <c r="I152" s="1778"/>
      <c r="J152" s="206">
        <f>IF(ISNA(AL152),0,MAX(MIN(AL152-Tablas!$G$280-Tablas!$O295-2*Tablas!$Q295-3*Tablas!$S295,3),1))</f>
        <v>2</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5</v>
      </c>
      <c r="W152" s="1621"/>
      <c r="X152" s="1605"/>
      <c r="Y152" s="1642"/>
      <c r="Z152" s="203"/>
      <c r="AA152" s="1634">
        <f>IF(AND(T152&lt;5,Tablas!G$303=0),-30,0)+T152+U152+V152+Z152+IF(I152="",0,40)+Bono_ATA+AD152+AF152</f>
        <v>-25</v>
      </c>
      <c r="AB152" s="3089">
        <f t="shared" si="34"/>
        <v>0</v>
      </c>
      <c r="AC152" s="1802"/>
      <c r="AD152" s="2960">
        <f>Tablas!$K$2370+Tablas!$K$2420</f>
        <v>0</v>
      </c>
      <c r="AE152" s="2987">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2982">
        <f>IF(AF$123,IF(OR(Region="",ClaseSocial="",Personalización!$AN$21),0,IF(OR(AND(AI152,AJ152),AND(NOT(AI152),NOT(AJ152))),LEFT(AG152,2)+LEFT(AH152,2),0)),0)</f>
        <v>0</v>
      </c>
      <c r="AG152" s="2960">
        <f>HLOOKUP(Region&amp;ClaseSocial,Tabla_RaicesCulturales,Tablas!F168,FALSE)</f>
        <v>0</v>
      </c>
      <c r="AH152" s="2987">
        <f>IF(AND(E152="Historia",Personalización!$E$26="Historia (Local)"),20&amp;" "&amp;Personalización!$E$26,IF(OR(E152=Personalización!$E$25,E152=Personalización!$E$26),VLOOKUP(E152,Tablas!$L$136:$M$137,2,FALSE),0))</f>
        <v>0</v>
      </c>
      <c r="AI152" s="2987" t="b">
        <f t="shared" si="46"/>
        <v>0</v>
      </c>
      <c r="AJ152" s="2987" t="b">
        <f t="shared" si="47"/>
        <v>0</v>
      </c>
      <c r="AL152" s="2001">
        <f t="shared" si="37"/>
        <v>2</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44"/>
      <c r="D153" s="3293"/>
      <c r="E153" s="3532" t="s">
        <v>1760</v>
      </c>
      <c r="F153" s="3533"/>
      <c r="G153" s="3533"/>
      <c r="H153" s="2241" t="s">
        <v>1698</v>
      </c>
      <c r="I153" s="2216"/>
      <c r="J153" s="205">
        <f>IF(ISNA(AL153),0,MAX(MIN(AL153-Tablas!$G$280-Tablas!$O296-2*Tablas!$Q296-3*Tablas!$S296,3),1))</f>
        <v>2</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9">
        <f t="shared" si="34"/>
        <v>0</v>
      </c>
      <c r="AC153" s="1802"/>
      <c r="AD153" s="2960">
        <f>Tablas!$K$2370</f>
        <v>0</v>
      </c>
      <c r="AE153" s="298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82">
        <f>IF(AF$123,IF(OR(Region="",ClaseSocial="",Personalización!$AN$21),0,IF(OR(AND(AI153,AJ153),AND(NOT(AI153),NOT(AJ153))),LEFT(AG153,2)+LEFT(AH153,2),0)),0)</f>
        <v>0</v>
      </c>
      <c r="AG153" s="2960">
        <f>HLOOKUP(Region&amp;ClaseSocial,Tabla_RaicesCulturales,Tablas!F169,FALSE)</f>
        <v>0</v>
      </c>
      <c r="AH153" s="2987">
        <f>IF(AND(E153="Historia",Personalización!$E$26="Historia (Local)"),20&amp;" "&amp;Personalización!$E$26,IF(OR(E153=Personalización!$E$25,E153=Personalización!$E$26),VLOOKUP(E153,Tablas!$L$136:$M$137,2,FALSE),0))</f>
        <v>0</v>
      </c>
      <c r="AI153" s="2987" t="b">
        <f t="shared" si="46"/>
        <v>0</v>
      </c>
      <c r="AJ153" s="2987" t="b">
        <f t="shared" si="47"/>
        <v>0</v>
      </c>
      <c r="AL153" s="2001">
        <f t="shared" si="37"/>
        <v>2</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44"/>
      <c r="D154" s="3368"/>
      <c r="E154" s="3536" t="s">
        <v>1761</v>
      </c>
      <c r="F154" s="3537"/>
      <c r="G154" s="3537"/>
      <c r="H154" s="2245" t="s">
        <v>1703</v>
      </c>
      <c r="I154" s="2220"/>
      <c r="J154" s="1594">
        <f>IF(ISNA(AL154),0,MAX(MIN(AL154-Tablas!$G$280-Tablas!$O297-2*Tablas!$Q297-3*Tablas!$S297,3),1))</f>
        <v>1</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10</v>
      </c>
      <c r="W154" s="1622"/>
      <c r="X154" s="1607"/>
      <c r="Y154" s="1595"/>
      <c r="Z154" s="1596"/>
      <c r="AA154" s="1635" t="str">
        <f>IF(AND(T154&lt;5,Tablas!G$303=0),"-",T154+U154+V154+Z154+IF(I154="",0,40)+Bono_ATA+AD154+AF154)</f>
        <v>-</v>
      </c>
      <c r="AB154" s="3089">
        <f t="shared" si="34"/>
        <v>0</v>
      </c>
      <c r="AC154" s="1802"/>
      <c r="AD154" s="2960">
        <f>Tablas!$K$2370</f>
        <v>0</v>
      </c>
      <c r="AE154" s="2987">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2982">
        <f>IF(AF$123,IF(OR(Region="",ClaseSocial="",Personalización!$AN$21),0,IF(OR(AND(AI154,AJ154),AND(NOT(AI154),NOT(AJ154))),LEFT(AG154,2)+LEFT(AH154,2),0)),0)</f>
        <v>0</v>
      </c>
      <c r="AG154" s="2960">
        <f>HLOOKUP(Region&amp;ClaseSocial,Tabla_RaicesCulturales,Tablas!F170,FALSE)</f>
        <v>0</v>
      </c>
      <c r="AH154" s="2987">
        <f>IF(AND(E154="Historia",Personalización!$E$26="Historia (Local)"),20&amp;" "&amp;Personalización!$E$26,IF(OR(E154=Personalización!$E$25,E154=Personalización!$E$26),VLOOKUP(E154,Tablas!$L$136:$M$137,2,FALSE),0))</f>
        <v>0</v>
      </c>
      <c r="AI154" s="2987" t="b">
        <f t="shared" si="46"/>
        <v>0</v>
      </c>
      <c r="AJ154" s="2987" t="b">
        <f t="shared" si="47"/>
        <v>0</v>
      </c>
      <c r="AL154" s="2001">
        <f t="shared" si="37"/>
        <v>1</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44"/>
      <c r="D155" s="3293" t="s">
        <v>1762</v>
      </c>
      <c r="E155" s="3532" t="s">
        <v>1763</v>
      </c>
      <c r="F155" s="3533"/>
      <c r="G155" s="3533"/>
      <c r="H155" s="2241" t="s">
        <v>1704</v>
      </c>
      <c r="I155" s="2216"/>
      <c r="J155" s="205">
        <f>IF(ISNA(AL155),0,MAX(MIN(AL155-Tablas!$G$280-Tablas!$O298-2*Tablas!$Q298-3*Tablas!$S298,3),1))</f>
        <v>3</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9">
        <f t="shared" si="34"/>
        <v>0</v>
      </c>
      <c r="AC155" s="1802"/>
      <c r="AD155" s="2960">
        <f>Tablas!$K$2433+Tablas!$K$2495</f>
        <v>0</v>
      </c>
      <c r="AE155" s="2987">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82">
        <f>IF(AF$123,IF(OR(Region="",ClaseSocial="",Personalización!$AN$21),0,IF(OR(AND(AI155,AJ155),AND(NOT(AI155),NOT(AJ155))),LEFT(AG155,2)+LEFT(AH155,2),0)),0)</f>
        <v>0</v>
      </c>
      <c r="AG155" s="2960">
        <f>HLOOKUP(Region&amp;ClaseSocial,Tabla_RaicesCulturales,Tablas!F171,FALSE)</f>
        <v>0</v>
      </c>
      <c r="AH155" s="2987">
        <f>IF(AND(E155="Historia",Personalización!$E$26="Historia (Local)"),20&amp;" "&amp;Personalización!$E$26,IF(OR(E155=Personalización!$E$25,E155=Personalización!$E$26),VLOOKUP(E155,Tablas!$L$136:$M$137,2,FALSE),0))</f>
        <v>0</v>
      </c>
      <c r="AI155" s="2987" t="b">
        <f t="shared" si="46"/>
        <v>0</v>
      </c>
      <c r="AJ155" s="2987" t="b">
        <f t="shared" si="47"/>
        <v>0</v>
      </c>
      <c r="AL155" s="2001">
        <f t="shared" si="37"/>
        <v>3</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44"/>
      <c r="D156" s="3293"/>
      <c r="E156" s="3534" t="s">
        <v>1764</v>
      </c>
      <c r="F156" s="3535"/>
      <c r="G156" s="3535"/>
      <c r="H156" s="2242" t="s">
        <v>1695</v>
      </c>
      <c r="I156" s="2217"/>
      <c r="J156" s="206">
        <f>IF(ISNA(AL156),0,MAX(MIN(AL156-Tablas!$G$280-Tablas!$O299-2*Tablas!$Q299-3*Tablas!$S299,3),1))</f>
        <v>3</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0</v>
      </c>
      <c r="W156" s="1621"/>
      <c r="X156" s="1605"/>
      <c r="Y156" s="1642"/>
      <c r="Z156" s="203"/>
      <c r="AA156" s="1634">
        <f>IF(AND(T156&lt;5,Tablas!G$303=0),-30,0)+T156+U156+V156+Z156+IF(I156="",0,40)+Bono_ATA+AD156+AF156</f>
        <v>-30</v>
      </c>
      <c r="AB156" s="3089">
        <f t="shared" si="34"/>
        <v>0</v>
      </c>
      <c r="AC156" s="1802"/>
      <c r="AE156" s="2987">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2982">
        <f>IF(AF$123,IF(OR(Region="",ClaseSocial="",Personalización!$AN$21),0,IF(OR(AND(AI156,AJ156),AND(NOT(AI156),NOT(AJ156))),LEFT(AG156,2)+LEFT(AH156,2),0)),0)</f>
        <v>0</v>
      </c>
      <c r="AG156" s="2960">
        <f>HLOOKUP(Region&amp;ClaseSocial,Tabla_RaicesCulturales,Tablas!F172,FALSE)</f>
        <v>0</v>
      </c>
      <c r="AH156" s="2987">
        <f>IF(AND(E156="Historia",Personalización!$E$26="Historia (Local)"),20&amp;" "&amp;Personalización!$E$26,IF(OR(E156=Personalización!$E$25,E156=Personalización!$E$26),VLOOKUP(E156,Tablas!$L$136:$M$137,2,FALSE),0))</f>
        <v>0</v>
      </c>
      <c r="AI156" s="2987" t="b">
        <f t="shared" si="46"/>
        <v>0</v>
      </c>
      <c r="AJ156" s="2987" t="b">
        <f t="shared" si="47"/>
        <v>0</v>
      </c>
      <c r="AL156" s="2001">
        <f t="shared" si="37"/>
        <v>3</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44"/>
      <c r="D157" s="3293"/>
      <c r="E157" s="3532" t="s">
        <v>1767</v>
      </c>
      <c r="F157" s="3533"/>
      <c r="G157" s="3533"/>
      <c r="H157" s="2241" t="s">
        <v>1704</v>
      </c>
      <c r="I157" s="2216"/>
      <c r="J157" s="205">
        <f>IF(ISNA(AL157),0,MAX(MIN(AL157-Tablas!$G$280-Tablas!$O300-2*Tablas!$Q300-3*Tablas!$S300,3),1))</f>
        <v>3</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9">
        <f t="shared" si="34"/>
        <v>0</v>
      </c>
      <c r="AC157" s="1802"/>
      <c r="AD157" s="2960">
        <f>Tablas!$K$2495</f>
        <v>0</v>
      </c>
      <c r="AE157" s="2987">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82">
        <f>IF(AF$123,IF(OR(Region="",ClaseSocial="",Personalización!$AN$21),0,IF(OR(AND(AI157,AJ157),AND(NOT(AI157),NOT(AJ157))),LEFT(AG157,2)+LEFT(AH157,2),0)),0)</f>
        <v>0</v>
      </c>
      <c r="AG157" s="2960">
        <f>HLOOKUP(Region&amp;ClaseSocial,Tabla_RaicesCulturales,Tablas!F173,FALSE)</f>
        <v>0</v>
      </c>
      <c r="AH157" s="2987">
        <f>IF(AND(E157="Historia",Personalización!$E$26="Historia (Local)"),20&amp;" "&amp;Personalización!$E$26,IF(OR(E157=Personalización!$E$25,E157=Personalización!$E$26),VLOOKUP(E157,Tablas!$L$136:$M$137,2,FALSE),0))</f>
        <v>0</v>
      </c>
      <c r="AI157" s="2987" t="b">
        <f t="shared" si="46"/>
        <v>0</v>
      </c>
      <c r="AJ157" s="2987" t="b">
        <f t="shared" si="47"/>
        <v>0</v>
      </c>
      <c r="AL157" s="2001">
        <f t="shared" si="37"/>
        <v>3</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44"/>
      <c r="D158" s="3835" t="s">
        <v>1770</v>
      </c>
      <c r="E158" s="3540" t="s">
        <v>1771</v>
      </c>
      <c r="F158" s="3541"/>
      <c r="G158" s="3541"/>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9">
        <f t="shared" ref="AB158:AB181" si="50">IF(AA158="-",0,IF(AA158&gt;VLOOKUP(Nivel_Total,Tabla_LímiteSecundarias,2),1,0))</f>
        <v>0</v>
      </c>
      <c r="AC158" s="1802"/>
      <c r="AE158" s="298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82">
        <f>IF(AF$123,IF(OR(Region="",ClaseSocial="",Personalización!$AN$21),0,IF(OR(AND(AI158,AJ158),AND(NOT(AI158),NOT(AJ158))),LEFT(AG158,2)+LEFT(AH158,2),0)),0)</f>
        <v>0</v>
      </c>
      <c r="AG158" s="2960">
        <f>HLOOKUP(Region&amp;ClaseSocial,Tabla_RaicesCulturales,Tablas!F174,FALSE)</f>
        <v>0</v>
      </c>
      <c r="AH158" s="2987">
        <f>IF(AND(E158="Historia",Personalización!$E$26="Historia (Local)"),20&amp;" "&amp;Personalización!$E$26,IF(OR(E158=Personalización!$E$25,E158=Personalización!$E$26),VLOOKUP(E158,Tablas!$L$136:$M$137,2,FALSE),0))</f>
        <v>0</v>
      </c>
      <c r="AI158" s="2987" t="b">
        <f t="shared" ref="AI158:AI176" si="51">OR(ISNUMBER(FIND("(",AG158)),ISNUMBER(FIND("(",AH158)))</f>
        <v>0</v>
      </c>
      <c r="AJ158" s="2987"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44"/>
      <c r="D159" s="3293"/>
      <c r="E159" s="3532" t="s">
        <v>1773</v>
      </c>
      <c r="F159" s="3533"/>
      <c r="G159" s="3533"/>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9">
        <f t="shared" si="50"/>
        <v>0</v>
      </c>
      <c r="AC159" s="1802"/>
      <c r="AE159" s="2987">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82">
        <f>IF(AF$123,IF(OR(Region="",ClaseSocial="",Personalización!$AN$21),0,IF(OR(AND(AI159,AJ159),AND(NOT(AI159),NOT(AJ159))),LEFT(AG159,2)+LEFT(AH159,2),0)),0)</f>
        <v>0</v>
      </c>
      <c r="AG159" s="2960">
        <f>HLOOKUP(Region&amp;ClaseSocial,Tabla_RaicesCulturales,Tablas!F175,FALSE)</f>
        <v>0</v>
      </c>
      <c r="AH159" s="2987">
        <f>IF(AND(E159="Historia",Personalización!$E$26="Historia (Local)"),20&amp;" "&amp;Personalización!$E$26,IF(OR(E159=Personalización!$E$25,E159=Personalización!$E$26),VLOOKUP(E159,Tablas!$L$136:$M$137,2,FALSE),0))</f>
        <v>0</v>
      </c>
      <c r="AI159" s="2987" t="b">
        <f t="shared" si="51"/>
        <v>0</v>
      </c>
      <c r="AJ159" s="2987"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44"/>
      <c r="D160" s="3293"/>
      <c r="E160" s="3534" t="s">
        <v>1775</v>
      </c>
      <c r="F160" s="3535"/>
      <c r="G160" s="3535"/>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9">
        <f t="shared" si="50"/>
        <v>0</v>
      </c>
      <c r="AC160" s="1802"/>
      <c r="AE160" s="2987">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82">
        <f>IF(AF$123,IF(OR(Region="",ClaseSocial="",Personalización!$AN$21),0,IF(OR(AND(AI160,AJ160),AND(NOT(AI160),NOT(AJ160))),LEFT(AG160,2)+LEFT(AH160,2),0)),0)</f>
        <v>0</v>
      </c>
      <c r="AG160" s="2960">
        <f>HLOOKUP(Region&amp;ClaseSocial,Tabla_RaicesCulturales,Tablas!F176,FALSE)</f>
        <v>0</v>
      </c>
      <c r="AH160" s="2987">
        <f>IF(AND(E160="Historia",Personalización!$E$26="Historia (Local)"),20&amp;" "&amp;Personalización!$E$26,IF(OR(E160=Personalización!$E$25,E160=Personalización!$E$26),VLOOKUP(E160,Tablas!$L$136:$M$137,2,FALSE),0))</f>
        <v>0</v>
      </c>
      <c r="AI160" s="2987" t="b">
        <f t="shared" si="51"/>
        <v>0</v>
      </c>
      <c r="AJ160" s="2987"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44"/>
      <c r="D161" s="3293"/>
      <c r="E161" s="3532" t="s">
        <v>1777</v>
      </c>
      <c r="F161" s="3533"/>
      <c r="G161" s="3533"/>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9">
        <f t="shared" si="50"/>
        <v>0</v>
      </c>
      <c r="AC161" s="1802"/>
      <c r="AE161" s="2987">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82">
        <f>IF(AF$123,IF(OR(Region="",ClaseSocial="",Personalización!$AN$21),0,IF(OR(AND(AI161,AJ161),AND(NOT(AI161),NOT(AJ161))),LEFT(AG161,2)+LEFT(AH161,2),0)),0)</f>
        <v>0</v>
      </c>
      <c r="AG161" s="2960">
        <f>HLOOKUP(Region&amp;ClaseSocial,Tabla_RaicesCulturales,Tablas!F177,FALSE)</f>
        <v>0</v>
      </c>
      <c r="AH161" s="2987">
        <f>IF(AND(E161="Historia",Personalización!$E$26="Historia (Local)"),20&amp;" "&amp;Personalización!$E$26,IF(OR(E161=Personalización!$E$25,E161=Personalización!$E$26),VLOOKUP(E161,Tablas!$L$136:$M$137,2,FALSE),0))</f>
        <v>0</v>
      </c>
      <c r="AI161" s="2987" t="b">
        <f t="shared" si="51"/>
        <v>0</v>
      </c>
      <c r="AJ161" s="2987"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44"/>
      <c r="D162" s="3293"/>
      <c r="E162" s="3534" t="s">
        <v>1779</v>
      </c>
      <c r="F162" s="3535"/>
      <c r="G162" s="3535"/>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9">
        <f t="shared" si="50"/>
        <v>0</v>
      </c>
      <c r="AC162" s="1802"/>
      <c r="AE162" s="2987">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82">
        <f>IF(AF$123,IF(OR(Region="",ClaseSocial="",Personalización!$AN$21),0,IF(OR(AND(AI162,AJ162),AND(NOT(AI162),NOT(AJ162))),LEFT(AG162,2)+LEFT(AH162,2),0)),0)</f>
        <v>0</v>
      </c>
      <c r="AG162" s="2960">
        <f>HLOOKUP(Region&amp;ClaseSocial,Tabla_RaicesCulturales,Tablas!F178,FALSE)</f>
        <v>0</v>
      </c>
      <c r="AH162" s="2987">
        <f>IF(AND(E162="Historia",Personalización!$E$26="Historia (Local)"),20&amp;" "&amp;Personalización!$E$26,IF(OR(E162=Personalización!$E$25,E162=Personalización!$E$26),VLOOKUP(E162,Tablas!$L$136:$M$137,2,FALSE),0))</f>
        <v>0</v>
      </c>
      <c r="AI162" s="2987" t="b">
        <f t="shared" si="51"/>
        <v>0</v>
      </c>
      <c r="AJ162" s="2987"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44"/>
      <c r="D163" s="3293"/>
      <c r="E163" s="3532" t="s">
        <v>1781</v>
      </c>
      <c r="F163" s="3533"/>
      <c r="G163" s="3533"/>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9">
        <f t="shared" si="50"/>
        <v>0</v>
      </c>
      <c r="AC163" s="1802"/>
      <c r="AE163" s="2987">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82">
        <f>IF(AF$123,IF(OR(Region="",ClaseSocial="",Personalización!$AN$21),0,IF(OR(AND(AI163,AJ163),AND(NOT(AI163),NOT(AJ163))),LEFT(AG163,2)+LEFT(AH163,2),0)),0)</f>
        <v>0</v>
      </c>
      <c r="AG163" s="2960">
        <f>HLOOKUP(Region&amp;ClaseSocial,Tabla_RaicesCulturales,Tablas!F179,FALSE)</f>
        <v>0</v>
      </c>
      <c r="AH163" s="2987">
        <f>IF(AND(E163="Historia",Personalización!$E$26="Historia (Local)"),20&amp;" "&amp;Personalización!$E$26,IF(OR(E163=Personalización!$E$25,E163=Personalización!$E$26),VLOOKUP(E163,Tablas!$L$136:$M$137,2,FALSE),0))</f>
        <v>0</v>
      </c>
      <c r="AI163" s="2987" t="b">
        <f t="shared" si="51"/>
        <v>0</v>
      </c>
      <c r="AJ163" s="2987"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44"/>
      <c r="D164" s="3368"/>
      <c r="E164" s="3536" t="s">
        <v>1782</v>
      </c>
      <c r="F164" s="3537"/>
      <c r="G164" s="3537"/>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9">
        <f t="shared" si="50"/>
        <v>0</v>
      </c>
      <c r="AC164" s="1802"/>
      <c r="AE164" s="2987">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82">
        <f>IF(AF$123,IF(OR(Region="",ClaseSocial="",Personalización!$AN$21),0,IF(OR(AND(AI164,AJ164),AND(NOT(AI164),NOT(AJ164))),LEFT(AG164,2)+LEFT(AH164,2),0)),0)</f>
        <v>0</v>
      </c>
      <c r="AG164" s="2960">
        <f>HLOOKUP(Region&amp;ClaseSocial,Tabla_RaicesCulturales,Tablas!F180,FALSE)</f>
        <v>0</v>
      </c>
      <c r="AH164" s="2987">
        <f>IF(AND(E164="Historia",Personalización!$E$26="Historia (Local)"),20&amp;" "&amp;Personalización!$E$26,IF(OR(E164=Personalización!$E$25,E164=Personalización!$E$26),VLOOKUP(E164,Tablas!$L$136:$M$137,2,FALSE),0))</f>
        <v>0</v>
      </c>
      <c r="AI164" s="2987" t="b">
        <f t="shared" si="51"/>
        <v>0</v>
      </c>
      <c r="AJ164" s="2987"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44"/>
      <c r="D165" s="3293" t="s">
        <v>1783</v>
      </c>
      <c r="E165" s="3532" t="s">
        <v>1784</v>
      </c>
      <c r="F165" s="3533"/>
      <c r="G165" s="3533"/>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9">
        <f t="shared" si="50"/>
        <v>0</v>
      </c>
      <c r="AC165" s="1802"/>
      <c r="AD165" s="2960">
        <f>Tablas!$K$2380</f>
        <v>0</v>
      </c>
      <c r="AE165" s="298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82">
        <f>IF(AF$123,IF(OR(Region="",ClaseSocial="",Personalización!$AN$21),0,IF(OR(AND(AI165,AJ165),AND(NOT(AI165),NOT(AJ165))),LEFT(AG165,2)+LEFT(AH165,2),0)),0)</f>
        <v>0</v>
      </c>
      <c r="AG165" s="2960">
        <f>HLOOKUP(Region&amp;ClaseSocial,Tabla_RaicesCulturales,Tablas!F181,FALSE)</f>
        <v>0</v>
      </c>
      <c r="AH165" s="2987">
        <f>IF(AND(E165="Historia",Personalización!$E$26="Historia (Local)"),20&amp;" "&amp;Personalización!$E$26,IF(OR(E165=Personalización!$E$25,E165=Personalización!$E$26),VLOOKUP(E165,Tablas!$L$136:$M$137,2,FALSE),0))</f>
        <v>0</v>
      </c>
      <c r="AI165" s="2987" t="b">
        <f t="shared" si="51"/>
        <v>0</v>
      </c>
      <c r="AJ165" s="2987"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44"/>
      <c r="D166" s="3293"/>
      <c r="E166" s="3534" t="s">
        <v>1785</v>
      </c>
      <c r="F166" s="3535"/>
      <c r="G166" s="3535"/>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-10</v>
      </c>
      <c r="AB166" s="3089">
        <f t="shared" si="50"/>
        <v>0</v>
      </c>
      <c r="AC166" s="1802"/>
      <c r="AE166" s="298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82">
        <f>IF(AF$123,IF(OR(Region="",ClaseSocial="",Personalización!$AN$21),0,IF(OR(AND(AI166,AJ166),AND(NOT(AI166),NOT(AJ166))),LEFT(AG166,2)+LEFT(AH166,2),0)),0)</f>
        <v>20</v>
      </c>
      <c r="AG166" s="2960">
        <f>HLOOKUP(Region&amp;ClaseSocial,Tabla_RaicesCulturales,Tablas!F182,FALSE)</f>
        <v>20</v>
      </c>
      <c r="AH166" s="2987">
        <f>IF(AND(E166="Historia",Personalización!$E$26="Historia (Local)"),20&amp;" "&amp;Personalización!$E$26,IF(OR(E166=Personalización!$E$25,E166=Personalización!$E$26),VLOOKUP(E166,Tablas!$L$136:$M$137,2,FALSE),0))</f>
        <v>0</v>
      </c>
      <c r="AI166" s="2987" t="b">
        <f t="shared" si="51"/>
        <v>0</v>
      </c>
      <c r="AJ166" s="2987"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44"/>
      <c r="D167" s="3293"/>
      <c r="E167" s="3532" t="s">
        <v>1786</v>
      </c>
      <c r="F167" s="3533"/>
      <c r="G167" s="3533"/>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9">
        <f t="shared" si="50"/>
        <v>0</v>
      </c>
      <c r="AC167" s="1802"/>
      <c r="AE167" s="298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82">
        <f>IF(AF$123,IF(OR(Region="",ClaseSocial="",Personalización!$AN$21),0,IF(OR(AND(AI167,AJ167),AND(NOT(AI167),NOT(AJ167))),LEFT(AG167,2)+LEFT(AH167,2),0)),0)</f>
        <v>0</v>
      </c>
      <c r="AG167" s="2960">
        <f>HLOOKUP(Region&amp;ClaseSocial,Tabla_RaicesCulturales,Tablas!F183,FALSE)</f>
        <v>0</v>
      </c>
      <c r="AH167" s="2987">
        <f>IF(AND(E167="Historia",Personalización!$E$26="Historia (Local)"),20&amp;" "&amp;Personalización!$E$26,IF(OR(E167=Personalización!$E$25,E167=Personalización!$E$26),VLOOKUP(E167,Tablas!$L$136:$M$137,2,FALSE),0))</f>
        <v>0</v>
      </c>
      <c r="AI167" s="2987" t="b">
        <f t="shared" si="51"/>
        <v>0</v>
      </c>
      <c r="AJ167" s="2987"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44"/>
      <c r="D168" s="3293"/>
      <c r="E168" s="3534" t="s">
        <v>1085</v>
      </c>
      <c r="F168" s="3535"/>
      <c r="G168" s="3535"/>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9">
        <f t="shared" si="50"/>
        <v>0</v>
      </c>
      <c r="AC168" s="1802"/>
      <c r="AE168" s="298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82">
        <f>IF(AF$123,IF(OR(Region="",ClaseSocial="",Personalización!$AN$21),0,IF(OR(AND(AI168,AJ168),AND(NOT(AI168),NOT(AJ168))),LEFT(AG168,2)+LEFT(AH168,2),0)),0)</f>
        <v>0</v>
      </c>
      <c r="AG168" s="2960">
        <f>HLOOKUP(Region&amp;ClaseSocial,Tabla_RaicesCulturales,Tablas!F184,FALSE)</f>
        <v>0</v>
      </c>
      <c r="AH168" s="2987">
        <f>IF(AND(E168="Historia",Personalización!$E$26="Historia (Local)"),20&amp;" "&amp;Personalización!$E$26,IF(OR(E168=Personalización!$E$25,E168=Personalización!$E$26),VLOOKUP(E168,Tablas!$L$136:$M$137,2,FALSE),0))</f>
        <v>0</v>
      </c>
      <c r="AI168" s="2987" t="b">
        <f t="shared" si="51"/>
        <v>0</v>
      </c>
      <c r="AJ168" s="2987"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44"/>
      <c r="D169" s="3293"/>
      <c r="E169" s="3532" t="s">
        <v>1086</v>
      </c>
      <c r="F169" s="3533"/>
      <c r="G169" s="3533"/>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9">
        <f t="shared" si="50"/>
        <v>0</v>
      </c>
      <c r="AC169" s="1802"/>
      <c r="AE169" s="298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82">
        <f>IF(AF$123,IF(OR(Region="",ClaseSocial="",Personalización!$AN$21),0,IF(OR(AND(AI169,AJ169),AND(NOT(AI169),NOT(AJ169))),LEFT(AG169,2)+LEFT(AH169,2),0)),0)</f>
        <v>0</v>
      </c>
      <c r="AG169" s="2960">
        <f>HLOOKUP(Region&amp;ClaseSocial,Tabla_RaicesCulturales,Tablas!F185,FALSE)</f>
        <v>0</v>
      </c>
      <c r="AH169" s="2987">
        <f>IF(AND(E169="Historia",Personalización!$E$26="Historia (Local)"),20&amp;" "&amp;Personalización!$E$26,IF(OR(E169=Personalización!$E$25,E169=Personalización!$E$26),VLOOKUP(E169,Tablas!$L$136:$M$137,2,FALSE),0))</f>
        <v>0</v>
      </c>
      <c r="AI169" s="2987" t="b">
        <f>OR(ISNUMBER(FIND("(",AG169)),ISNUMBER(FIND("(",AH169)))</f>
        <v>0</v>
      </c>
      <c r="AJ169" s="2987"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44"/>
      <c r="D170" s="3293"/>
      <c r="E170" s="3534" t="s">
        <v>1087</v>
      </c>
      <c r="F170" s="3535"/>
      <c r="G170" s="3535"/>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9">
        <f t="shared" si="50"/>
        <v>0</v>
      </c>
      <c r="AC170" s="1802"/>
      <c r="AE170" s="298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82">
        <f>IF(AF$123,IF(OR(Region="",ClaseSocial="",Personalización!$AN$21),0,IF(OR(AND(AI170,AJ170),AND(NOT(AI170),NOT(AJ170))),LEFT(AG170,2)+LEFT(AH170,2),0)),0)</f>
        <v>0</v>
      </c>
      <c r="AG170" s="2960">
        <f>HLOOKUP(Region&amp;ClaseSocial,Tabla_RaicesCulturales,Tablas!F186,FALSE)</f>
        <v>0</v>
      </c>
      <c r="AH170" s="2987">
        <f>IF(AND(E170="Historia",Personalización!$E$26="Historia (Local)"),20&amp;" "&amp;Personalización!$E$26,IF(OR(E170=Personalización!$E$25,E170=Personalización!$E$26),VLOOKUP(E170,Tablas!$L$136:$M$137,2,FALSE),0))</f>
        <v>0</v>
      </c>
      <c r="AI170" s="2987" t="b">
        <f>OR(ISNUMBER(FIND("(",AG170)),ISNUMBER(FIND("(",AH170)))</f>
        <v>0</v>
      </c>
      <c r="AJ170" s="2987"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44"/>
      <c r="D171" s="3293"/>
      <c r="E171" s="3532" t="s">
        <v>1787</v>
      </c>
      <c r="F171" s="3533"/>
      <c r="G171" s="3533"/>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9">
        <f t="shared" si="50"/>
        <v>0</v>
      </c>
      <c r="AC171" s="1802"/>
      <c r="AD171" s="2960">
        <f>Tablas!$K$2380</f>
        <v>0</v>
      </c>
      <c r="AE171" s="298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82">
        <f>IF(AF$123,IF(OR(Region="",ClaseSocial="",Personalización!$AN$21),0,IF(OR(AND(AI171,AJ171),AND(NOT(AI171),NOT(AJ171))),LEFT(AG171,2)+LEFT(AH171,2),0)),0)</f>
        <v>0</v>
      </c>
      <c r="AG171" s="2960">
        <f>HLOOKUP(Region&amp;ClaseSocial,Tabla_RaicesCulturales,Tablas!F187,FALSE)</f>
        <v>0</v>
      </c>
      <c r="AH171" s="2987">
        <f>IF(AND(E171="Historia",Personalización!$E$26="Historia (Local)"),20&amp;" "&amp;Personalización!$E$26,IF(OR(E171=Personalización!$E$25,E171=Personalización!$E$26),VLOOKUP(E171,Tablas!$L$136:$M$137,2,FALSE),0))</f>
        <v>0</v>
      </c>
      <c r="AI171" s="2987" t="b">
        <f t="shared" si="51"/>
        <v>0</v>
      </c>
      <c r="AJ171" s="2987"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44"/>
      <c r="D172" s="3293"/>
      <c r="E172" s="3534" t="s">
        <v>1790</v>
      </c>
      <c r="F172" s="3535"/>
      <c r="G172" s="3535"/>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9">
        <f t="shared" si="50"/>
        <v>0</v>
      </c>
      <c r="AC172" s="1802"/>
      <c r="AD172" s="2960">
        <f>IF(Tablas!$G$368&gt;0,30,0)</f>
        <v>0</v>
      </c>
      <c r="AE172" s="2987">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82">
        <f>IF(AF$123,IF(OR(Region="",ClaseSocial="",Personalización!$AN$21),0,IF(OR(AND(AI172,AJ172),AND(NOT(AI172),NOT(AJ172))),LEFT(AG172,2)+LEFT(AH172,2),0)),0)</f>
        <v>0</v>
      </c>
      <c r="AG172" s="2960">
        <f>HLOOKUP(Region&amp;ClaseSocial,Tabla_RaicesCulturales,Tablas!F188,FALSE)</f>
        <v>0</v>
      </c>
      <c r="AH172" s="2987">
        <f>IF(AND(E172="Historia",Personalización!$E$26="Historia (Local)"),20&amp;" "&amp;Personalización!$E$26,IF(OR(E172=Personalización!$E$25,E172=Personalización!$E$26),VLOOKUP(E172,Tablas!$L$136:$M$137,2,FALSE),0))</f>
        <v>0</v>
      </c>
      <c r="AI172" s="2987" t="b">
        <f t="shared" si="51"/>
        <v>0</v>
      </c>
      <c r="AJ172" s="2987"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44"/>
      <c r="D173" s="3293"/>
      <c r="E173" s="3532" t="s">
        <v>8230</v>
      </c>
      <c r="F173" s="3533"/>
      <c r="G173" s="3533"/>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9">
        <f t="shared" si="50"/>
        <v>0</v>
      </c>
      <c r="AC173" s="1802"/>
      <c r="AE173" s="298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82">
        <f>IF(AF$123,IF(OR(Region="",ClaseSocial="",Personalización!$AN$21),0,IF(OR(AND(AI173,AJ173),AND(NOT(AI173),NOT(AJ173))),LEFT(AG173,2)+LEFT(AH173,2),0)),0)</f>
        <v>0</v>
      </c>
      <c r="AG173" s="2960">
        <f>HLOOKUP(Region&amp;ClaseSocial,Tabla_RaicesCulturales,Tablas!F189,FALSE)</f>
        <v>0</v>
      </c>
      <c r="AH173" s="2987">
        <f>IF(AND(E173="Historia",Personalización!$E$26="Historia (Local)"),20&amp;" "&amp;Personalización!$E$26,IF(OR(E173=Personalización!$E$25,E173=Personalización!$E$26),VLOOKUP(E173,Tablas!$L$136:$M$137,2,FALSE),0))</f>
        <v>0</v>
      </c>
      <c r="AI173" s="2987" t="b">
        <f t="shared" si="51"/>
        <v>0</v>
      </c>
      <c r="AJ173" s="2987"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44"/>
      <c r="D174" s="3293"/>
      <c r="E174" s="3534" t="s">
        <v>8231</v>
      </c>
      <c r="F174" s="3535"/>
      <c r="G174" s="3535"/>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9">
        <f t="shared" si="50"/>
        <v>0</v>
      </c>
      <c r="AC174" s="1802"/>
      <c r="AE174" s="298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82">
        <f>IF(AF$123,IF(OR(Region="",ClaseSocial="",Personalización!$AN$21),0,IF(OR(AND(AI174,AJ174),AND(NOT(AI174),NOT(AJ174))),LEFT(AG174,2)+LEFT(AH174,2),0)),0)</f>
        <v>0</v>
      </c>
      <c r="AG174" s="2960">
        <f>HLOOKUP(Region&amp;ClaseSocial,Tabla_RaicesCulturales,Tablas!F190,FALSE)</f>
        <v>0</v>
      </c>
      <c r="AH174" s="2987">
        <f>IF(AND(E174="Historia",Personalización!$E$26="Historia (Local)"),20&amp;" "&amp;Personalización!$E$26,IF(OR(E174=Personalización!$E$25,E174=Personalización!$E$26),VLOOKUP(E174,Tablas!$L$136:$M$137,2,FALSE),0))</f>
        <v>0</v>
      </c>
      <c r="AI174" s="2987" t="b">
        <f t="shared" si="51"/>
        <v>0</v>
      </c>
      <c r="AJ174" s="2987"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44"/>
      <c r="D175" s="3293"/>
      <c r="E175" s="3532" t="s">
        <v>8232</v>
      </c>
      <c r="F175" s="3533"/>
      <c r="G175" s="3533"/>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9">
        <f t="shared" si="50"/>
        <v>0</v>
      </c>
      <c r="AC175" s="1802"/>
      <c r="AE175" s="298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82">
        <f>IF(AF$123,IF(OR(Region="",ClaseSocial="",Personalización!$AN$21),0,IF(OR(AND(AI175,AJ175),AND(NOT(AI175),NOT(AJ175))),LEFT(AG175,2)+LEFT(AH175,2),0)),0)</f>
        <v>0</v>
      </c>
      <c r="AG175" s="2960">
        <f>HLOOKUP(Region&amp;ClaseSocial,Tabla_RaicesCulturales,Tablas!F191,FALSE)</f>
        <v>0</v>
      </c>
      <c r="AH175" s="2987">
        <f>IF(AND(E175="Historia",Personalización!$E$26="Historia (Local)"),20&amp;" "&amp;Personalización!$E$26,IF(OR(E175=Personalización!$E$25,E175=Personalización!$E$26),VLOOKUP(E175,Tablas!$L$136:$M$137,2,FALSE),0))</f>
        <v>0</v>
      </c>
      <c r="AI175" s="2987" t="b">
        <f t="shared" si="51"/>
        <v>0</v>
      </c>
      <c r="AJ175" s="2987"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44"/>
      <c r="D176" s="3293"/>
      <c r="E176" s="3534" t="s">
        <v>8233</v>
      </c>
      <c r="F176" s="3535"/>
      <c r="G176" s="3535"/>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9">
        <f t="shared" si="50"/>
        <v>0</v>
      </c>
      <c r="AC176" s="1802"/>
      <c r="AE176" s="298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82">
        <f>IF(AF$123,IF(OR(Region="",ClaseSocial="",Personalización!$AN$21),0,IF(OR(AND(AI176,AJ176),AND(NOT(AI176),NOT(AJ176))),LEFT(AG176,2)+LEFT(AH176,2),0)),0)</f>
        <v>0</v>
      </c>
      <c r="AG176" s="2960">
        <f>HLOOKUP(Region&amp;ClaseSocial,Tabla_RaicesCulturales,Tablas!F192,FALSE)</f>
        <v>0</v>
      </c>
      <c r="AH176" s="2987">
        <f>IF(AND(E176="Historia",Personalización!$E$26="Historia (Local)"),20&amp;" "&amp;Personalización!$E$26,IF(OR(E176=Personalización!$E$25,E176=Personalización!$E$26),VLOOKUP(E176,Tablas!$L$136:$M$137,2,FALSE),0))</f>
        <v>0</v>
      </c>
      <c r="AI176" s="2987" t="b">
        <f t="shared" si="51"/>
        <v>0</v>
      </c>
      <c r="AJ176" s="2987"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44"/>
      <c r="D177" s="2409" t="s">
        <v>1769</v>
      </c>
      <c r="E177" s="3819"/>
      <c r="F177" s="3820"/>
      <c r="G177" s="3820"/>
      <c r="H177" s="2222"/>
      <c r="I177" s="1779"/>
      <c r="J177" s="1744"/>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9">
        <f>IF(AA177="-",0,IF(AA177&gt;VLOOKUP(Nivel_Total,Tabla_LímiteSecundarias,2),1,0))</f>
        <v>0</v>
      </c>
      <c r="AC177" s="1802"/>
      <c r="AE177" s="2982"/>
      <c r="AH177" s="2983" t="s">
        <v>1769</v>
      </c>
    </row>
    <row r="178" spans="1:35" ht="12" customHeight="1" x14ac:dyDescent="0.2">
      <c r="A178" s="1981"/>
      <c r="B178" s="2307">
        <f>IF(OR(U178="FUE",U178="CON",U178="DES",U178="AGI"),1,IF(OR(U178="INT",U178="POD",U178="VOL",U178="PER"),2,0))</f>
        <v>0</v>
      </c>
      <c r="C178" s="3544"/>
      <c r="D178" s="2410" t="s">
        <v>1769</v>
      </c>
      <c r="E178" s="3821"/>
      <c r="F178" s="3822"/>
      <c r="G178" s="3822"/>
      <c r="H178" s="2223"/>
      <c r="I178" s="1778"/>
      <c r="J178" s="1746"/>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9">
        <f t="shared" si="50"/>
        <v>0</v>
      </c>
      <c r="AC178" s="1802"/>
      <c r="AH178" s="2983" t="s">
        <v>9195</v>
      </c>
      <c r="AI178" s="2987" t="s">
        <v>1716</v>
      </c>
    </row>
    <row r="179" spans="1:35" ht="12" customHeight="1" x14ac:dyDescent="0.2">
      <c r="A179" s="1984"/>
      <c r="B179" s="2307">
        <f>IF(OR(U179="FUE",U179="CON",U179="DES",U179="AGI"),1,IF(OR(U179="INT",U179="POD",U179="VOL",U179="PER"),2,0))</f>
        <v>0</v>
      </c>
      <c r="C179" s="3544"/>
      <c r="D179" s="2410" t="s">
        <v>1769</v>
      </c>
      <c r="E179" s="3823"/>
      <c r="F179" s="3824"/>
      <c r="G179" s="3824"/>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9">
        <f t="shared" si="50"/>
        <v>0</v>
      </c>
      <c r="AC179" s="1802"/>
      <c r="AH179" s="2983" t="s">
        <v>9191</v>
      </c>
      <c r="AI179" s="2987" t="s">
        <v>1735</v>
      </c>
    </row>
    <row r="180" spans="1:35" ht="12" customHeight="1" x14ac:dyDescent="0.2">
      <c r="A180" s="1984"/>
      <c r="B180" s="2307">
        <f>IF(OR(U180="FUE",U180="CON",U180="DES",U180="AGI"),1,IF(OR(U180="INT",U180="POD",U180="VOL",U180="PER"),2,0))</f>
        <v>0</v>
      </c>
      <c r="C180" s="3544"/>
      <c r="D180" s="2410" t="s">
        <v>1769</v>
      </c>
      <c r="E180" s="3821"/>
      <c r="F180" s="3822"/>
      <c r="G180" s="3822"/>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9">
        <f t="shared" si="50"/>
        <v>0</v>
      </c>
      <c r="AC180" s="1802"/>
      <c r="AH180" s="2983" t="s">
        <v>9196</v>
      </c>
      <c r="AI180" s="2987" t="s">
        <v>9174</v>
      </c>
    </row>
    <row r="181" spans="1:35" ht="12" customHeight="1" x14ac:dyDescent="0.2">
      <c r="A181" s="1984"/>
      <c r="B181" s="2307">
        <f>IF(OR(U181="FUE",U181="CON",U181="DES",U181="AGI"),1,IF(OR(U181="INT",U181="POD",U181="VOL",U181="PER"),2,0))</f>
        <v>0</v>
      </c>
      <c r="C181" s="3544"/>
      <c r="D181" s="2411" t="s">
        <v>1769</v>
      </c>
      <c r="E181" s="3813"/>
      <c r="F181" s="3814"/>
      <c r="G181" s="3814"/>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9">
        <f t="shared" si="50"/>
        <v>0</v>
      </c>
      <c r="AC181" s="1802"/>
      <c r="AH181" s="2983" t="s">
        <v>9192</v>
      </c>
      <c r="AI181" s="2987" t="s">
        <v>1748</v>
      </c>
    </row>
    <row r="182" spans="1:35" ht="12" customHeight="1" thickBot="1" x14ac:dyDescent="0.25">
      <c r="A182" s="1984"/>
      <c r="B182" s="2307"/>
      <c r="C182" s="3544"/>
      <c r="D182" s="3790" t="s">
        <v>1856</v>
      </c>
      <c r="E182" s="3791"/>
      <c r="F182" s="3791"/>
      <c r="G182" s="3791"/>
      <c r="H182" s="3791"/>
      <c r="I182" s="3791"/>
      <c r="J182" s="3791"/>
      <c r="K182" s="3791"/>
      <c r="L182" s="3791"/>
      <c r="M182" s="3791"/>
      <c r="N182" s="3791"/>
      <c r="O182" s="3791"/>
      <c r="P182" s="3791"/>
      <c r="Q182" s="3791"/>
      <c r="R182" s="3791"/>
      <c r="S182" s="3791"/>
      <c r="T182" s="3791"/>
      <c r="U182" s="3791"/>
      <c r="V182" s="3791"/>
      <c r="W182" s="3791"/>
      <c r="X182" s="3791"/>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91"/>
      <c r="AC182" s="1802"/>
      <c r="AH182" s="2983" t="s">
        <v>1762</v>
      </c>
      <c r="AI182" s="2987" t="s">
        <v>1762</v>
      </c>
    </row>
    <row r="183" spans="1:35" ht="12" customHeight="1" x14ac:dyDescent="0.2">
      <c r="A183" s="1984"/>
      <c r="B183" s="2307"/>
      <c r="C183" s="3544"/>
      <c r="D183" s="3792" t="s">
        <v>1858</v>
      </c>
      <c r="E183" s="3793"/>
      <c r="F183" s="3793"/>
      <c r="G183" s="3793"/>
      <c r="H183" s="3793"/>
      <c r="I183" s="3793"/>
      <c r="J183" s="3793"/>
      <c r="K183" s="3793"/>
      <c r="L183" s="3793"/>
      <c r="M183" s="3793"/>
      <c r="N183" s="3793"/>
      <c r="O183" s="3793"/>
      <c r="P183" s="3793"/>
      <c r="Q183" s="3793"/>
      <c r="R183" s="3793"/>
      <c r="S183" s="3793"/>
      <c r="T183" s="3793"/>
      <c r="U183" s="3793"/>
      <c r="V183" s="3793"/>
      <c r="W183" s="3793"/>
      <c r="X183" s="3793"/>
      <c r="Y183" s="212">
        <f>SUM($X126:$X181)</f>
        <v>0</v>
      </c>
      <c r="Z183" s="211" t="s">
        <v>1857</v>
      </c>
      <c r="AA183" s="1639">
        <f>IF(Nivel_Total=0,5,Nivel_Total*5)</f>
        <v>5</v>
      </c>
      <c r="AB183" s="3091"/>
      <c r="AC183" s="1802"/>
      <c r="AH183" s="2983" t="s">
        <v>9193</v>
      </c>
      <c r="AI183" s="2987" t="s">
        <v>1770</v>
      </c>
    </row>
    <row r="184" spans="1:35" ht="12" customHeight="1" x14ac:dyDescent="0.2">
      <c r="A184" s="1984"/>
      <c r="B184" s="2307"/>
      <c r="C184" s="3544"/>
      <c r="D184" s="3794" t="s">
        <v>1859</v>
      </c>
      <c r="E184" s="3535"/>
      <c r="F184" s="3535"/>
      <c r="G184" s="3535"/>
      <c r="H184" s="3535"/>
      <c r="I184" s="3535"/>
      <c r="J184" s="3535"/>
      <c r="K184" s="3535"/>
      <c r="L184" s="3535"/>
      <c r="M184" s="3535"/>
      <c r="N184" s="3535"/>
      <c r="O184" s="3535"/>
      <c r="P184" s="3535"/>
      <c r="Q184" s="3535"/>
      <c r="R184" s="3535"/>
      <c r="S184" s="3535"/>
      <c r="T184" s="3535"/>
      <c r="U184" s="3535"/>
      <c r="V184" s="3535"/>
      <c r="W184" s="3535"/>
      <c r="X184" s="3535"/>
      <c r="Y184" s="213">
        <f>SUM($Y126:$Y181)</f>
        <v>0</v>
      </c>
      <c r="Z184" s="214" t="s">
        <v>1857</v>
      </c>
      <c r="AA184" s="1640">
        <f>(IF(ISNUMBER(MATCH("Novel",U5:U14,0)),VLOOKUP("Novel",U5:X14,4,FALSE)))*5</f>
        <v>0</v>
      </c>
      <c r="AB184" s="3099"/>
      <c r="AC184" s="1802"/>
      <c r="AH184" s="2983" t="s">
        <v>9194</v>
      </c>
      <c r="AI184" s="2987" t="s">
        <v>1783</v>
      </c>
    </row>
    <row r="185" spans="1:35" ht="12" customHeight="1" x14ac:dyDescent="0.2">
      <c r="A185" s="1984"/>
      <c r="B185" s="2307"/>
      <c r="C185" s="3544"/>
      <c r="D185" s="3799" t="s">
        <v>1860</v>
      </c>
      <c r="E185" s="3815" t="str">
        <f>IF(Acumulacion="Si","Múltiplos de Acumulación","Múltiplos de Vida")</f>
        <v>Múltiplos de Vida</v>
      </c>
      <c r="F185" s="3816"/>
      <c r="G185" s="3816"/>
      <c r="H185" s="3816"/>
      <c r="I185" s="3817"/>
      <c r="J185" s="3795">
        <f>IF(Acumulacion="Si","X",IF(Categoría_1=0,0,VLOOKUP(Categoría_1,Tabla_Categorías,4,FALSE)))</f>
        <v>20</v>
      </c>
      <c r="K185" s="3797"/>
      <c r="L185" s="3795">
        <f>IF(Acumulacion="Si","X",IF(Categoría_2=0,0,VLOOKUP(Categoría_2,Tabla_Categorías,4,FALSE)))</f>
        <v>0</v>
      </c>
      <c r="M185" s="3797"/>
      <c r="N185" s="3795">
        <f>IF(Acumulacion="Si","X",IF(Categoría_3=0,0,VLOOKUP(Categoría_3,Tabla_Categorías,4,FALSE)))</f>
        <v>0</v>
      </c>
      <c r="O185" s="3797"/>
      <c r="P185" s="3795">
        <f>IF(Acumulacion="Si","X",IF(Categoría_4=0,0,VLOOKUP(Categoría_4,Tabla_Categorías,4,FALSE)))</f>
        <v>0</v>
      </c>
      <c r="Q185" s="3797"/>
      <c r="R185" s="3795">
        <f>IF(Acumulacion="Si","X",IF(Categoría_5=0,0,VLOOKUP(Categoría_5,Tabla_Categorías,4,FALSE)))</f>
        <v>0</v>
      </c>
      <c r="S185" s="3797"/>
      <c r="T185" s="3795">
        <f>IF(Acumulacion="Si",IF(Tablas!$S$2300&gt;0,Tablas!$S$2300,VLOOKUP(Tamaño,Tabla_CreaciónSeres,5)),IF(J185=0,0,TRUNC((K185/J185),0))+IF(L185=0,0,TRUNC((M185/L185),0))+IF(N185=0,0,TRUNC((O185/N185),0))+IF(P185=0,0,TRUNC((Q185/P185),0))+IF(R185=0,0,TRUNC((S185/R185),0)))</f>
        <v>0</v>
      </c>
      <c r="U185" s="3801">
        <f>20+CON*10+Bono_Con</f>
        <v>20</v>
      </c>
      <c r="V185" s="3801">
        <f>(HLOOKUP("PV",Bonos_Cat_Base,2,FALSE)+(10*Tablas!$G$349+20*Tablas!$G$350+30*Tablas!$G$351)*Nivel_Total)*IF(Acumulacion="Si",VLOOKUP(Tamaño,Tabla_CreaciónSeres,5),1)</f>
        <v>5</v>
      </c>
      <c r="W185" s="3801">
        <f>IF(Acumulacion="Si",T185*(K185+M185+O185+Q185+S185),T185*CON)</f>
        <v>0</v>
      </c>
      <c r="X185" s="3803"/>
      <c r="Y185" s="3804"/>
      <c r="Z185" s="3809">
        <f>U185+W185+V185+X185</f>
        <v>25</v>
      </c>
      <c r="AA185" s="3810"/>
      <c r="AB185" s="3049"/>
      <c r="AC185" s="1802"/>
    </row>
    <row r="186" spans="1:35" ht="12" customHeight="1" thickBot="1" x14ac:dyDescent="0.25">
      <c r="A186" s="1984"/>
      <c r="B186" s="2307"/>
      <c r="C186" s="3545"/>
      <c r="D186" s="3800"/>
      <c r="E186" s="3796"/>
      <c r="F186" s="3802"/>
      <c r="G186" s="3802"/>
      <c r="H186" s="3802"/>
      <c r="I186" s="3818"/>
      <c r="J186" s="3796"/>
      <c r="K186" s="3798"/>
      <c r="L186" s="3796"/>
      <c r="M186" s="3798"/>
      <c r="N186" s="3796"/>
      <c r="O186" s="3798"/>
      <c r="P186" s="3796"/>
      <c r="Q186" s="3798"/>
      <c r="R186" s="3796"/>
      <c r="S186" s="3798"/>
      <c r="T186" s="3796"/>
      <c r="U186" s="3802"/>
      <c r="V186" s="3802"/>
      <c r="W186" s="3802"/>
      <c r="X186" s="3805"/>
      <c r="Y186" s="3806"/>
      <c r="Z186" s="3811"/>
      <c r="AA186" s="3812"/>
      <c r="AB186" s="3100"/>
      <c r="AC186" s="1802"/>
    </row>
    <row r="187" spans="1:35" ht="12" customHeight="1" x14ac:dyDescent="0.2">
      <c r="A187" s="1984"/>
      <c r="B187" s="2615"/>
      <c r="AB187" s="3049"/>
      <c r="AC187" s="1802"/>
    </row>
    <row r="188" spans="1:35" ht="12" customHeight="1" thickBot="1" x14ac:dyDescent="0.25">
      <c r="A188" s="1984"/>
      <c r="B188" s="2307"/>
      <c r="AB188" s="3049"/>
      <c r="AC188" s="1802"/>
    </row>
    <row r="189" spans="1:35" ht="12" customHeight="1" x14ac:dyDescent="0.2">
      <c r="A189" s="1984"/>
      <c r="B189" s="2307"/>
      <c r="C189" s="3743" t="s">
        <v>1861</v>
      </c>
      <c r="D189" s="3744"/>
      <c r="E189" s="3744"/>
      <c r="F189" s="3744"/>
      <c r="G189" s="3744"/>
      <c r="H189" s="3744"/>
      <c r="I189" s="3548"/>
      <c r="J189" s="3546">
        <f>$AA$5</f>
        <v>585</v>
      </c>
      <c r="K189" s="3552">
        <f>M83+M101+M117+SUM(K126:K181)+K185</f>
        <v>0</v>
      </c>
      <c r="L189" s="3546">
        <f>SUM($AA$5:$AA$7)</f>
        <v>585</v>
      </c>
      <c r="M189" s="3552">
        <f>O83+O101+O117+M185+SUM(M126:M181)+K189-M83-M101-M117</f>
        <v>0</v>
      </c>
      <c r="N189" s="3546">
        <f>SUM($AA$5:$AA$9)</f>
        <v>585</v>
      </c>
      <c r="O189" s="3552">
        <f>Q83+Q101+Q117+O185+SUM(O126:O181)+M189-O83-O101-O117</f>
        <v>0</v>
      </c>
      <c r="P189" s="3546">
        <f>SUM($AA$5:$AA$11)</f>
        <v>585</v>
      </c>
      <c r="Q189" s="3552">
        <f>S83+S101+S117+Q185+SUM(Q126:Q181)+O189-Q83-Q101-Q117</f>
        <v>0</v>
      </c>
      <c r="R189" s="3546">
        <f>SUM($AA$5:$AA$13)</f>
        <v>585</v>
      </c>
      <c r="S189" s="3552">
        <f>U83+U101+U117+S185+SUM(S126:S181)+Q189-S83-S101-S117</f>
        <v>0</v>
      </c>
      <c r="T189" s="3784" t="str">
        <f>IF(OR(K189&gt;J189,M189&gt;L189,O189&gt;N189,Q189&gt;P189,S189&gt;R189),"Límite por Categoría excedido","")</f>
        <v/>
      </c>
      <c r="U189" s="3785"/>
      <c r="V189" s="3785"/>
      <c r="W189" s="3785"/>
      <c r="X189" s="3785"/>
      <c r="Y189" s="3785"/>
      <c r="Z189" s="3785"/>
      <c r="AA189" s="3786"/>
      <c r="AB189" s="3049"/>
      <c r="AC189" s="1802"/>
    </row>
    <row r="190" spans="1:35" ht="12" customHeight="1" thickBot="1" x14ac:dyDescent="0.25">
      <c r="A190" s="1984"/>
      <c r="B190" s="2307"/>
      <c r="C190" s="3745"/>
      <c r="D190" s="3746"/>
      <c r="E190" s="3746"/>
      <c r="F190" s="3746"/>
      <c r="G190" s="3746"/>
      <c r="H190" s="3746"/>
      <c r="I190" s="3549"/>
      <c r="J190" s="3547"/>
      <c r="K190" s="3553"/>
      <c r="L190" s="3547"/>
      <c r="M190" s="3553"/>
      <c r="N190" s="3547"/>
      <c r="O190" s="3553"/>
      <c r="P190" s="3547"/>
      <c r="Q190" s="3553"/>
      <c r="R190" s="3547"/>
      <c r="S190" s="3553"/>
      <c r="T190" s="3787"/>
      <c r="U190" s="3788"/>
      <c r="V190" s="3788"/>
      <c r="W190" s="3788"/>
      <c r="X190" s="3788"/>
      <c r="Y190" s="3788"/>
      <c r="Z190" s="3788"/>
      <c r="AA190" s="3789"/>
      <c r="AB190" s="3049"/>
      <c r="AC190" s="1802"/>
    </row>
    <row r="191" spans="1:35" ht="12" customHeight="1" x14ac:dyDescent="0.2">
      <c r="A191" s="1982"/>
      <c r="B191" s="2307"/>
      <c r="AB191" s="3049"/>
      <c r="AC191" s="3050"/>
    </row>
    <row r="192" spans="1:35" ht="12" customHeight="1" thickBot="1" x14ac:dyDescent="0.25">
      <c r="A192" s="1982"/>
      <c r="B192" s="2613"/>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8"/>
      <c r="AC192" s="3050"/>
    </row>
    <row r="193" spans="1:29" ht="12" customHeight="1" x14ac:dyDescent="0.2">
      <c r="A193" s="1982"/>
      <c r="B193" s="2616"/>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672" priority="376" stopIfTrue="1" operator="equal">
      <formula>"Tabla de Esquiva con Escudo"</formula>
    </cfRule>
  </conditionalFormatting>
  <conditionalFormatting sqref="K189">
    <cfRule type="cellIs" dxfId="671" priority="377" stopIfTrue="1" operator="greaterThan">
      <formula>$J$189</formula>
    </cfRule>
  </conditionalFormatting>
  <conditionalFormatting sqref="Y184">
    <cfRule type="cellIs" dxfId="670" priority="378" stopIfTrue="1" operator="notEqual">
      <formula>$AA$184</formula>
    </cfRule>
  </conditionalFormatting>
  <conditionalFormatting sqref="Y183">
    <cfRule type="cellIs" dxfId="669" priority="379" stopIfTrue="1" operator="notEqual">
      <formula>$AA$183</formula>
    </cfRule>
  </conditionalFormatting>
  <conditionalFormatting sqref="Y182">
    <cfRule type="cellIs" dxfId="668" priority="380" stopIfTrue="1" operator="notEqual">
      <formula>$AA$182</formula>
    </cfRule>
  </conditionalFormatting>
  <conditionalFormatting sqref="Y126:Y128">
    <cfRule type="cellIs" dxfId="667" priority="381" stopIfTrue="1" operator="greaterThan">
      <formula>$AA$184/5</formula>
    </cfRule>
  </conditionalFormatting>
  <conditionalFormatting sqref="M83">
    <cfRule type="cellIs" dxfId="666" priority="384" stopIfTrue="1" operator="greaterThan">
      <formula>$L$83</formula>
    </cfRule>
  </conditionalFormatting>
  <conditionalFormatting sqref="AA126:AA128">
    <cfRule type="expression" dxfId="665" priority="385" stopIfTrue="1">
      <formula>B1</formula>
    </cfRule>
  </conditionalFormatting>
  <conditionalFormatting sqref="U7 U9 U11 U13">
    <cfRule type="expression" dxfId="664" priority="427" stopIfTrue="1">
      <formula>$U$5=0</formula>
    </cfRule>
  </conditionalFormatting>
  <conditionalFormatting sqref="M101">
    <cfRule type="cellIs" dxfId="663" priority="149" stopIfTrue="1" operator="greaterThan">
      <formula>$L$101</formula>
    </cfRule>
  </conditionalFormatting>
  <conditionalFormatting sqref="M117">
    <cfRule type="cellIs" dxfId="662" priority="134" stopIfTrue="1" operator="greaterThan">
      <formula>$L$117</formula>
    </cfRule>
  </conditionalFormatting>
  <conditionalFormatting sqref="Y129:Y132">
    <cfRule type="cellIs" dxfId="661" priority="57" stopIfTrue="1" operator="greaterThan">
      <formula>$AA$184/5</formula>
    </cfRule>
  </conditionalFormatting>
  <conditionalFormatting sqref="AA129:AA132">
    <cfRule type="expression" dxfId="660" priority="58" stopIfTrue="1">
      <formula>B4</formula>
    </cfRule>
  </conditionalFormatting>
  <conditionalFormatting sqref="Y133:Y180">
    <cfRule type="cellIs" dxfId="659" priority="46" stopIfTrue="1" operator="greaterThan">
      <formula>$AA$184/5</formula>
    </cfRule>
  </conditionalFormatting>
  <conditionalFormatting sqref="AA133:AA180">
    <cfRule type="expression" dxfId="658" priority="47" stopIfTrue="1">
      <formula>B8</formula>
    </cfRule>
  </conditionalFormatting>
  <conditionalFormatting sqref="Y181">
    <cfRule type="cellIs" dxfId="657" priority="39" stopIfTrue="1" operator="greaterThan">
      <formula>$AA$184/5</formula>
    </cfRule>
  </conditionalFormatting>
  <conditionalFormatting sqref="AA181">
    <cfRule type="expression" dxfId="656" priority="40" stopIfTrue="1">
      <formula>B56</formula>
    </cfRule>
  </conditionalFormatting>
  <conditionalFormatting sqref="V41:V45">
    <cfRule type="expression" dxfId="655" priority="1593" stopIfTrue="1">
      <formula>AND(NOT($V41="Armas improvisadas"),$Y41=0)</formula>
    </cfRule>
  </conditionalFormatting>
  <conditionalFormatting sqref="E40:E56 E99:E100 E110:E116 E75:E82">
    <cfRule type="expression" dxfId="654" priority="1596">
      <formula>NOT(OR(L40=M40,$N40=$O40,$P40=$Q40,$R40=$S40,$T40=$U40))</formula>
    </cfRule>
  </conditionalFormatting>
  <conditionalFormatting sqref="Y40:AA45">
    <cfRule type="expression" dxfId="653" priority="38" stopIfTrue="1">
      <formula>$V40=""</formula>
    </cfRule>
  </conditionalFormatting>
  <conditionalFormatting sqref="E113">
    <cfRule type="expression" dxfId="652" priority="1708" stopIfTrue="1">
      <formula>NOT(OR(#REF!=#REF!,#REF!=#REF!,#REF!=#REF!,#REF!=#REF!,#REF!=#REF!))</formula>
    </cfRule>
  </conditionalFormatting>
  <conditionalFormatting sqref="E114">
    <cfRule type="expression" dxfId="651" priority="2248" stopIfTrue="1">
      <formula>NOT(OR(#REF!=#REF!,#REF!=#REF!,#REF!=#REF!,#REF!=#REF!,#REF!=#REF!))</formula>
    </cfRule>
  </conditionalFormatting>
  <conditionalFormatting sqref="E115:E116">
    <cfRule type="expression" dxfId="650" priority="2251" stopIfTrue="1">
      <formula>NOT(OR(M123=L123,O123=N123,Q123=P123,S123=R123,U123=T123))</formula>
    </cfRule>
  </conditionalFormatting>
  <conditionalFormatting sqref="E57">
    <cfRule type="expression" dxfId="649" priority="22">
      <formula>NOT(OR(L57=M57,$N57=$O57,$P57=$Q57,$R57=$S57,$T57=$U57))</formula>
    </cfRule>
  </conditionalFormatting>
  <conditionalFormatting sqref="E59">
    <cfRule type="expression" dxfId="648" priority="20">
      <formula>NOT(OR(L59=M59,$N59=$O59,$P59=$Q59,$R59=$S59,$T59=$U59))</formula>
    </cfRule>
  </conditionalFormatting>
  <conditionalFormatting sqref="E58">
    <cfRule type="expression" dxfId="647" priority="19">
      <formula>NOT(OR(L58=M58,$N58=$O58,$P58=$Q58,$R58=$S58,$T58=$U58))</formula>
    </cfRule>
  </conditionalFormatting>
  <conditionalFormatting sqref="E61">
    <cfRule type="expression" dxfId="646" priority="18">
      <formula>NOT(OR(L61=M61,$N61=$O61,$P61=$Q61,$R61=$S61,$T61=$U61))</formula>
    </cfRule>
  </conditionalFormatting>
  <conditionalFormatting sqref="E60">
    <cfRule type="expression" dxfId="645" priority="17">
      <formula>NOT(OR(L60=M60,$N60=$O60,$P60=$Q60,$R60=$S60,$T60=$U60))</formula>
    </cfRule>
  </conditionalFormatting>
  <conditionalFormatting sqref="E63">
    <cfRule type="expression" dxfId="644" priority="16">
      <formula>NOT(OR(L63=M63,$N63=$O63,$P63=$Q63,$R63=$S63,$T63=$U63))</formula>
    </cfRule>
  </conditionalFormatting>
  <conditionalFormatting sqref="E62">
    <cfRule type="expression" dxfId="643" priority="15">
      <formula>NOT(OR(L62=M62,$N62=$O62,$P62=$Q62,$R62=$S62,$T62=$U62))</formula>
    </cfRule>
  </conditionalFormatting>
  <conditionalFormatting sqref="E65">
    <cfRule type="expression" dxfId="642" priority="14">
      <formula>NOT(OR(L65=M65,$N65=$O65,$P65=$Q65,$R65=$S65,$T65=$U65))</formula>
    </cfRule>
  </conditionalFormatting>
  <conditionalFormatting sqref="E64">
    <cfRule type="expression" dxfId="641" priority="13">
      <formula>NOT(OR(L64=M64,$N64=$O64,$P64=$Q64,$R64=$S64,$T64=$U64))</formula>
    </cfRule>
  </conditionalFormatting>
  <conditionalFormatting sqref="E67">
    <cfRule type="expression" dxfId="640" priority="12">
      <formula>NOT(OR(L67=M67,$N67=$O67,$P67=$Q67,$R67=$S67,$T67=$U67))</formula>
    </cfRule>
  </conditionalFormatting>
  <conditionalFormatting sqref="E66">
    <cfRule type="expression" dxfId="639" priority="11">
      <formula>NOT(OR(L66=M66,$N66=$O66,$P66=$Q66,$R66=$S66,$T66=$U66))</formula>
    </cfRule>
  </conditionalFormatting>
  <conditionalFormatting sqref="E69">
    <cfRule type="expression" dxfId="638" priority="10">
      <formula>NOT(OR(L69=M69,$N69=$O69,$P69=$Q69,$R69=$S69,$T69=$U69))</formula>
    </cfRule>
  </conditionalFormatting>
  <conditionalFormatting sqref="E68">
    <cfRule type="expression" dxfId="637" priority="9">
      <formula>NOT(OR(L68=M68,$N68=$O68,$P68=$Q68,$R68=$S68,$T68=$U68))</formula>
    </cfRule>
  </conditionalFormatting>
  <conditionalFormatting sqref="E71">
    <cfRule type="expression" dxfId="636" priority="8">
      <formula>NOT(OR(L71=M71,$N71=$O71,$P71=$Q71,$R71=$S71,$T71=$U71))</formula>
    </cfRule>
  </conditionalFormatting>
  <conditionalFormatting sqref="E70">
    <cfRule type="expression" dxfId="635" priority="7">
      <formula>NOT(OR(L70=M70,$N70=$O70,$P70=$Q70,$R70=$S70,$T70=$U70))</formula>
    </cfRule>
  </conditionalFormatting>
  <conditionalFormatting sqref="E73">
    <cfRule type="expression" dxfId="634" priority="6">
      <formula>NOT(OR(L73=M73,$N73=$O73,$P73=$Q73,$R73=$S73,$T73=$U73))</formula>
    </cfRule>
  </conditionalFormatting>
  <conditionalFormatting sqref="E72">
    <cfRule type="expression" dxfId="633" priority="5">
      <formula>NOT(OR(L72=M72,$N72=$O72,$P72=$Q72,$R72=$S72,$T72=$U72))</formula>
    </cfRule>
  </conditionalFormatting>
  <conditionalFormatting sqref="E74">
    <cfRule type="expression" dxfId="632" priority="4">
      <formula>NOT(OR(L74=M74,$N74=$O74,$P74=$Q74,$R74=$S74,$T74=$U74))</formula>
    </cfRule>
  </conditionalFormatting>
  <conditionalFormatting sqref="E56:I74">
    <cfRule type="expression" dxfId="631" priority="2">
      <formula>$J56=""</formula>
    </cfRule>
  </conditionalFormatting>
  <conditionalFormatting sqref="L189:M189">
    <cfRule type="cellIs" dxfId="630" priority="4043" stopIfTrue="1" operator="greaterThan">
      <formula>$L$189</formula>
    </cfRule>
    <cfRule type="expression" dxfId="629" priority="4044" stopIfTrue="1">
      <formula>$U$7=0</formula>
    </cfRule>
  </conditionalFormatting>
  <conditionalFormatting sqref="N189:O189">
    <cfRule type="cellIs" dxfId="628" priority="4045" stopIfTrue="1" operator="greaterThan">
      <formula>$N$189</formula>
    </cfRule>
    <cfRule type="expression" dxfId="627" priority="4046" stopIfTrue="1">
      <formula>$U$9=0</formula>
    </cfRule>
  </conditionalFormatting>
  <conditionalFormatting sqref="P189:Q189">
    <cfRule type="cellIs" dxfId="626" priority="4047" stopIfTrue="1" operator="greaterThan">
      <formula>$P$189</formula>
    </cfRule>
    <cfRule type="expression" dxfId="625" priority="4048" stopIfTrue="1">
      <formula>$U$11=0</formula>
    </cfRule>
  </conditionalFormatting>
  <conditionalFormatting sqref="R189:S189">
    <cfRule type="cellIs" dxfId="624" priority="4049" stopIfTrue="1" operator="greaterThan">
      <formula>$R$189</formula>
    </cfRule>
    <cfRule type="expression" dxfId="623"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22"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21"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20"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19" priority="4261" stopIfTrue="1">
      <formula>Categoría_5=0</formula>
    </cfRule>
  </conditionalFormatting>
  <conditionalFormatting sqref="W126:X181">
    <cfRule type="cellIs" dxfId="618"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17"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16"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15"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14" priority="4533" stopIfTrue="1">
      <formula>Categoría_5=0</formula>
    </cfRule>
  </conditionalFormatting>
  <conditionalFormatting sqref="N83:O83 N101:O101 N117:O117">
    <cfRule type="expression" dxfId="613" priority="4601" stopIfTrue="1">
      <formula>Categoría_2=0</formula>
    </cfRule>
  </conditionalFormatting>
  <conditionalFormatting sqref="P83:Q83 P101:Q101 P117:Q117">
    <cfRule type="expression" dxfId="612" priority="4607" stopIfTrue="1">
      <formula>Categoría_3=0</formula>
    </cfRule>
  </conditionalFormatting>
  <conditionalFormatting sqref="R83 R101 R117">
    <cfRule type="expression" dxfId="611" priority="4613" stopIfTrue="1">
      <formula>Categoría_4=0</formula>
    </cfRule>
  </conditionalFormatting>
  <conditionalFormatting sqref="T83 T101 T117">
    <cfRule type="expression" dxfId="610" priority="4619" stopIfTrue="1">
      <formula>Categoría_5=0</formula>
    </cfRule>
  </conditionalFormatting>
  <conditionalFormatting sqref="S83 S101 S117">
    <cfRule type="cellIs" dxfId="609" priority="4624" stopIfTrue="1" operator="greaterThan">
      <formula>$N$83</formula>
    </cfRule>
    <cfRule type="expression" dxfId="608" priority="4625" stopIfTrue="1">
      <formula>Categoría_4=0</formula>
    </cfRule>
  </conditionalFormatting>
  <conditionalFormatting sqref="U83 U101 U117">
    <cfRule type="cellIs" dxfId="607" priority="4630" stopIfTrue="1" operator="greaterThan">
      <formula>$N$83</formula>
    </cfRule>
    <cfRule type="expression" dxfId="606" priority="4631" stopIfTrue="1">
      <formula>$U$13=0</formula>
    </cfRule>
  </conditionalFormatting>
  <conditionalFormatting sqref="V40">
    <cfRule type="expression" dxfId="605"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C12" sqref="C12:E12"/>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91"/>
    <col min="43" max="43" width="3.28515625" style="2991" customWidth="1"/>
    <col min="44" max="44" width="5" style="2991" customWidth="1"/>
    <col min="45" max="45" width="5.7109375" style="2991"/>
    <col min="46" max="50" width="4.7109375" style="2991" customWidth="1"/>
    <col min="51" max="52" width="5.7109375" style="2991"/>
    <col min="53" max="54" width="5.7109375" style="2997"/>
    <col min="55" max="55" width="5.7109375" style="2479"/>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90"/>
      <c r="AO1" s="2990"/>
      <c r="AV1" s="2992"/>
      <c r="AW1" s="2992"/>
      <c r="AX1" s="2992"/>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1"/>
      <c r="U2" s="45"/>
      <c r="V2" s="45"/>
      <c r="W2" s="125"/>
      <c r="X2" s="126"/>
      <c r="Y2" s="126"/>
      <c r="Z2" s="126"/>
      <c r="AA2" s="126"/>
      <c r="AB2" s="126"/>
      <c r="AC2" s="126"/>
      <c r="AD2" s="126"/>
      <c r="AE2" s="126"/>
      <c r="AF2" s="126"/>
      <c r="AG2" s="126"/>
      <c r="AH2" s="126"/>
      <c r="AI2" s="126"/>
      <c r="AJ2" s="126"/>
      <c r="AK2" s="126"/>
      <c r="AL2" s="126"/>
      <c r="AM2" s="126"/>
      <c r="AN2" s="2993"/>
      <c r="AO2" s="2990"/>
      <c r="BA2" s="2002"/>
      <c r="BB2" s="2002"/>
      <c r="BC2" s="2597"/>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10"/>
      <c r="D3" s="3210"/>
      <c r="E3" s="3210"/>
      <c r="F3" s="3210"/>
      <c r="G3" s="3210"/>
      <c r="H3" s="3210"/>
      <c r="I3" s="9"/>
      <c r="J3" s="9"/>
      <c r="K3" s="9"/>
      <c r="L3" s="9"/>
      <c r="M3" s="9"/>
      <c r="N3" s="9"/>
      <c r="O3" s="9"/>
      <c r="P3" s="9"/>
      <c r="Q3" s="9"/>
      <c r="R3" s="9"/>
      <c r="S3" s="2188"/>
      <c r="T3" s="2552"/>
      <c r="U3" s="45"/>
      <c r="V3" s="45"/>
      <c r="W3" s="131"/>
      <c r="X3" s="3210"/>
      <c r="Y3" s="3210"/>
      <c r="Z3" s="3210"/>
      <c r="AA3" s="3210"/>
      <c r="AB3" s="3210"/>
      <c r="AC3" s="3210"/>
      <c r="AD3" s="9"/>
      <c r="AE3" s="9"/>
      <c r="AF3" s="9"/>
      <c r="AG3" s="9"/>
      <c r="AH3" s="9"/>
      <c r="AI3" s="9"/>
      <c r="AJ3" s="9"/>
      <c r="AK3" s="9"/>
      <c r="AL3" s="9"/>
      <c r="AM3" s="10"/>
      <c r="AN3" s="2994"/>
      <c r="AO3" s="2990"/>
      <c r="BA3" s="2002"/>
      <c r="BB3" s="2995"/>
      <c r="BC3" s="2159"/>
      <c r="BD3" s="68"/>
      <c r="BE3" s="68"/>
      <c r="BF3" s="68"/>
      <c r="BG3" s="68"/>
      <c r="BH3" s="68"/>
      <c r="BI3" s="68"/>
      <c r="BJ3" s="136"/>
      <c r="BK3" s="19"/>
      <c r="BL3" s="19"/>
    </row>
    <row r="4" spans="1:72" ht="12" customHeight="1" thickBot="1" x14ac:dyDescent="0.25">
      <c r="A4" s="45"/>
      <c r="B4" s="131"/>
      <c r="C4" s="3210"/>
      <c r="D4" s="3210"/>
      <c r="E4" s="3210"/>
      <c r="F4" s="3210"/>
      <c r="G4" s="3210"/>
      <c r="H4" s="3210"/>
      <c r="I4" s="12"/>
      <c r="J4" s="12"/>
      <c r="K4" s="3162" t="s">
        <v>1628</v>
      </c>
      <c r="L4" s="3162"/>
      <c r="M4" s="3163" t="str">
        <f>IF(OR(General!$G$22="",General!$G$22=0),"",General!$G$22)</f>
        <v/>
      </c>
      <c r="N4" s="3163"/>
      <c r="O4" s="3163"/>
      <c r="P4" s="3163"/>
      <c r="Q4" s="3163"/>
      <c r="R4" s="2185"/>
      <c r="S4" s="13"/>
      <c r="T4" s="2552"/>
      <c r="U4" s="45"/>
      <c r="V4" s="45"/>
      <c r="W4" s="131"/>
      <c r="X4" s="3210"/>
      <c r="Y4" s="3210"/>
      <c r="Z4" s="3210"/>
      <c r="AA4" s="3210"/>
      <c r="AB4" s="3210"/>
      <c r="AC4" s="3210"/>
      <c r="AD4" s="12"/>
      <c r="AE4" s="12"/>
      <c r="AF4" s="3162" t="s">
        <v>1628</v>
      </c>
      <c r="AG4" s="3162"/>
      <c r="AH4" s="3163" t="str">
        <f>IF(OR(General!$G$22="",General!$G$22=0),"",General!$G$22)</f>
        <v/>
      </c>
      <c r="AI4" s="3163"/>
      <c r="AJ4" s="3163"/>
      <c r="AK4" s="3163"/>
      <c r="AL4" s="3163"/>
      <c r="AM4" s="13"/>
      <c r="AN4" s="2994"/>
      <c r="AO4" s="2990"/>
      <c r="AP4" s="2992"/>
      <c r="AQ4" s="2992"/>
      <c r="AR4" s="2992"/>
      <c r="AV4" s="2992"/>
      <c r="AW4" s="2992"/>
      <c r="AX4" s="2992"/>
      <c r="BA4" s="2002"/>
      <c r="BB4" s="2995"/>
      <c r="BC4" s="2598"/>
      <c r="BD4" s="108"/>
      <c r="BE4" s="81"/>
      <c r="BF4" s="219"/>
      <c r="BG4" s="136"/>
      <c r="BH4" s="136"/>
      <c r="BI4" s="136"/>
      <c r="BJ4" s="136"/>
      <c r="BK4" s="136"/>
      <c r="BL4" s="136"/>
    </row>
    <row r="5" spans="1:72" ht="12" customHeight="1" thickBot="1" x14ac:dyDescent="0.25">
      <c r="A5" s="45"/>
      <c r="B5" s="131"/>
      <c r="C5" s="3210"/>
      <c r="D5" s="3210"/>
      <c r="E5" s="3210"/>
      <c r="F5" s="3210"/>
      <c r="G5" s="3210"/>
      <c r="H5" s="3210"/>
      <c r="I5" s="12"/>
      <c r="J5" s="12"/>
      <c r="K5" s="3207" t="s">
        <v>1629</v>
      </c>
      <c r="L5" s="3207"/>
      <c r="M5" s="3208" t="str">
        <f>Principal!$L$5</f>
        <v>Hechicero</v>
      </c>
      <c r="N5" s="3208"/>
      <c r="O5" s="3208"/>
      <c r="P5" s="14" t="s">
        <v>1630</v>
      </c>
      <c r="Q5" s="15" t="str">
        <f>Principal!$P$5</f>
        <v>1</v>
      </c>
      <c r="R5" s="12"/>
      <c r="S5" s="16"/>
      <c r="T5" s="2552"/>
      <c r="U5" s="45"/>
      <c r="V5" s="45"/>
      <c r="W5" s="131"/>
      <c r="X5" s="3210"/>
      <c r="Y5" s="3210"/>
      <c r="Z5" s="3210"/>
      <c r="AA5" s="3210"/>
      <c r="AB5" s="3210"/>
      <c r="AC5" s="3210"/>
      <c r="AD5" s="12"/>
      <c r="AE5" s="12"/>
      <c r="AF5" s="3207" t="s">
        <v>1629</v>
      </c>
      <c r="AG5" s="3207"/>
      <c r="AH5" s="3208" t="str">
        <f>Principal!$L$5</f>
        <v>Hechicero</v>
      </c>
      <c r="AI5" s="3208"/>
      <c r="AJ5" s="3208"/>
      <c r="AK5" s="14" t="s">
        <v>1630</v>
      </c>
      <c r="AL5" s="15" t="str">
        <f>Principal!$P$5</f>
        <v>1</v>
      </c>
      <c r="AM5" s="16"/>
      <c r="AN5" s="2994"/>
      <c r="AO5" s="2990"/>
      <c r="AP5" s="2996"/>
      <c r="AQ5" s="2996"/>
      <c r="AR5" s="2996"/>
      <c r="AS5" s="2996"/>
      <c r="AT5" s="2996"/>
      <c r="AU5" s="2996"/>
      <c r="AV5" s="2996"/>
      <c r="AW5" s="2996"/>
      <c r="AX5" s="2996"/>
      <c r="BA5" s="2002"/>
      <c r="BB5" s="2995"/>
      <c r="BC5" s="2598"/>
      <c r="BD5" s="108"/>
      <c r="BE5" s="81"/>
      <c r="BF5" s="219"/>
      <c r="BG5" s="136"/>
      <c r="BH5" s="136"/>
      <c r="BI5" s="136"/>
      <c r="BJ5" s="136"/>
      <c r="BK5" s="136"/>
      <c r="BL5" s="136"/>
    </row>
    <row r="6" spans="1:72" ht="12" customHeight="1" thickBot="1" x14ac:dyDescent="0.25">
      <c r="A6" s="45"/>
      <c r="B6" s="131"/>
      <c r="C6" s="3210"/>
      <c r="D6" s="3210"/>
      <c r="E6" s="3210"/>
      <c r="F6" s="3210"/>
      <c r="G6" s="3210"/>
      <c r="H6" s="3210"/>
      <c r="I6" s="12"/>
      <c r="J6" s="12"/>
      <c r="K6" s="3209" t="s">
        <v>1862</v>
      </c>
      <c r="L6" s="3209"/>
      <c r="M6" s="3209"/>
      <c r="N6" s="3209"/>
      <c r="O6" s="3209"/>
      <c r="P6" s="3209"/>
      <c r="Q6" s="3209"/>
      <c r="R6" s="12"/>
      <c r="S6" s="16"/>
      <c r="T6" s="2552"/>
      <c r="U6" s="45"/>
      <c r="V6" s="45"/>
      <c r="W6" s="131"/>
      <c r="X6" s="3210"/>
      <c r="Y6" s="3210"/>
      <c r="Z6" s="3210"/>
      <c r="AA6" s="3210"/>
      <c r="AB6" s="3210"/>
      <c r="AC6" s="3210"/>
      <c r="AD6" s="12"/>
      <c r="AE6" s="12"/>
      <c r="AF6" s="3209" t="s">
        <v>1863</v>
      </c>
      <c r="AG6" s="3209"/>
      <c r="AH6" s="3209"/>
      <c r="AI6" s="3209"/>
      <c r="AJ6" s="3209"/>
      <c r="AK6" s="3209"/>
      <c r="AL6" s="3209"/>
      <c r="AM6" s="16"/>
      <c r="AN6" s="2994"/>
      <c r="AO6" s="2990"/>
      <c r="AP6" s="2996"/>
      <c r="AQ6" s="2996"/>
      <c r="AR6" s="2996"/>
      <c r="AS6" s="2996"/>
      <c r="AT6" s="2996"/>
      <c r="AU6" s="2996"/>
      <c r="AV6" s="2992"/>
      <c r="AW6" s="2992"/>
      <c r="AX6" s="2996"/>
      <c r="BA6" s="2002"/>
      <c r="BB6" s="2002"/>
      <c r="BC6" s="2598"/>
      <c r="BD6" s="108"/>
      <c r="BE6" s="81"/>
      <c r="BF6" s="219"/>
      <c r="BG6" s="136"/>
      <c r="BH6" s="136"/>
      <c r="BI6" s="136"/>
      <c r="BJ6" s="136"/>
      <c r="BK6" s="136"/>
      <c r="BL6" s="136"/>
    </row>
    <row r="7" spans="1:72" ht="12" customHeight="1" thickBot="1" x14ac:dyDescent="0.25">
      <c r="A7" s="45"/>
      <c r="B7" s="131"/>
      <c r="C7" s="3210"/>
      <c r="D7" s="3210"/>
      <c r="E7" s="3210"/>
      <c r="F7" s="3210"/>
      <c r="G7" s="3210"/>
      <c r="H7" s="3210"/>
      <c r="I7" s="12"/>
      <c r="J7" s="12"/>
      <c r="K7" s="3209"/>
      <c r="L7" s="3209"/>
      <c r="M7" s="3209"/>
      <c r="N7" s="3209"/>
      <c r="O7" s="3209"/>
      <c r="P7" s="3209"/>
      <c r="Q7" s="3209"/>
      <c r="R7" s="12"/>
      <c r="S7" s="16"/>
      <c r="T7" s="2552"/>
      <c r="U7" s="45"/>
      <c r="V7" s="45"/>
      <c r="W7" s="131"/>
      <c r="X7" s="3210"/>
      <c r="Y7" s="3210"/>
      <c r="Z7" s="3210"/>
      <c r="AA7" s="3210"/>
      <c r="AB7" s="3210"/>
      <c r="AC7" s="3210"/>
      <c r="AD7" s="12"/>
      <c r="AE7" s="12"/>
      <c r="AF7" s="3209"/>
      <c r="AG7" s="3209"/>
      <c r="AH7" s="3209"/>
      <c r="AI7" s="3209"/>
      <c r="AJ7" s="3209"/>
      <c r="AK7" s="3209"/>
      <c r="AL7" s="3209"/>
      <c r="AM7" s="16"/>
      <c r="AN7" s="2994"/>
      <c r="AO7" s="2990"/>
      <c r="AP7" s="2996"/>
      <c r="AQ7" s="2996"/>
      <c r="AR7" s="2996"/>
      <c r="AS7" s="2996"/>
      <c r="AT7" s="2996"/>
      <c r="AU7" s="2996"/>
      <c r="AV7" s="2992"/>
      <c r="AW7" s="2992"/>
      <c r="AX7" s="2992"/>
      <c r="BA7" s="2002"/>
      <c r="BB7" s="2002"/>
      <c r="BC7" s="2598"/>
      <c r="BD7" s="108"/>
      <c r="BE7" s="81"/>
      <c r="BF7" s="219"/>
      <c r="BG7" s="136"/>
      <c r="BH7" s="136"/>
      <c r="BI7" s="136"/>
      <c r="BJ7" s="136"/>
      <c r="BK7" s="136"/>
      <c r="BL7" s="136"/>
    </row>
    <row r="8" spans="1:72" ht="12" customHeight="1" thickBot="1" x14ac:dyDescent="0.25">
      <c r="A8" s="45"/>
      <c r="B8" s="131"/>
      <c r="C8" s="3210"/>
      <c r="D8" s="3210"/>
      <c r="E8" s="3210"/>
      <c r="F8" s="3210"/>
      <c r="G8" s="3210"/>
      <c r="H8" s="3210"/>
      <c r="I8" s="17"/>
      <c r="J8" s="17"/>
      <c r="K8" s="17"/>
      <c r="L8" s="17"/>
      <c r="M8" s="17"/>
      <c r="N8" s="17"/>
      <c r="O8" s="17"/>
      <c r="P8" s="17"/>
      <c r="Q8" s="17"/>
      <c r="R8" s="17"/>
      <c r="S8" s="2189"/>
      <c r="T8" s="2552"/>
      <c r="U8" s="45"/>
      <c r="V8" s="45"/>
      <c r="W8" s="131"/>
      <c r="X8" s="3210"/>
      <c r="Y8" s="3210"/>
      <c r="Z8" s="3210"/>
      <c r="AA8" s="3210"/>
      <c r="AB8" s="3210"/>
      <c r="AC8" s="3210"/>
      <c r="AD8" s="17"/>
      <c r="AE8" s="17"/>
      <c r="AF8" s="17"/>
      <c r="AG8" s="17"/>
      <c r="AH8" s="17"/>
      <c r="AI8" s="17"/>
      <c r="AJ8" s="17"/>
      <c r="AK8" s="17"/>
      <c r="AL8" s="17"/>
      <c r="AM8" s="18"/>
      <c r="AN8" s="2994"/>
      <c r="AO8" s="2990"/>
      <c r="AP8" s="2996"/>
      <c r="AQ8" s="2996"/>
      <c r="AS8" s="2996"/>
      <c r="AT8" s="2996"/>
      <c r="AU8" s="2996"/>
      <c r="AV8" s="2996"/>
      <c r="AW8" s="2996"/>
      <c r="AX8" s="2996"/>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2"/>
      <c r="U9" s="45"/>
      <c r="V9" s="45"/>
      <c r="W9" s="131"/>
      <c r="X9" s="64"/>
      <c r="Y9" s="64"/>
      <c r="Z9" s="64"/>
      <c r="AA9" s="64"/>
      <c r="AB9" s="64"/>
      <c r="AC9" s="64"/>
      <c r="AD9" s="64"/>
      <c r="AE9" s="64"/>
      <c r="AF9" s="64"/>
      <c r="AG9" s="64"/>
      <c r="AH9" s="64"/>
      <c r="AI9" s="64"/>
      <c r="AJ9" s="64"/>
      <c r="AK9" s="64"/>
      <c r="AL9" s="64"/>
      <c r="AM9" s="64"/>
      <c r="AN9" s="2994"/>
      <c r="AO9" s="2990"/>
      <c r="AR9" s="2992" t="s">
        <v>9349</v>
      </c>
      <c r="AS9" s="2992"/>
      <c r="AT9" s="2992">
        <f>AT11+TRUNC((AT12+AT13)/2,0)</f>
        <v>0</v>
      </c>
      <c r="AU9" s="2992">
        <f t="shared" ref="AU9:AZ9" si="0">AU11+TRUNC((AU12+AU13)/2,0)</f>
        <v>0</v>
      </c>
      <c r="AV9" s="2992">
        <f t="shared" si="0"/>
        <v>0</v>
      </c>
      <c r="AW9" s="2992">
        <f t="shared" si="0"/>
        <v>0</v>
      </c>
      <c r="AX9" s="2992">
        <f t="shared" si="0"/>
        <v>0</v>
      </c>
      <c r="AY9" s="2992">
        <f t="shared" si="0"/>
        <v>0</v>
      </c>
      <c r="AZ9" s="2992">
        <f t="shared" si="0"/>
        <v>0</v>
      </c>
      <c r="BL9" s="19"/>
      <c r="BM9" s="19"/>
      <c r="BN9" s="19"/>
      <c r="BO9" s="19"/>
      <c r="BP9" s="19"/>
      <c r="BQ9" s="19"/>
      <c r="BR9" s="23"/>
      <c r="BS9" s="23"/>
      <c r="BT9" s="23"/>
    </row>
    <row r="10" spans="1:72" ht="12" customHeight="1" thickBot="1" x14ac:dyDescent="0.25">
      <c r="A10" s="45"/>
      <c r="B10" s="131"/>
      <c r="C10" s="3945" t="s">
        <v>1864</v>
      </c>
      <c r="D10" s="3946"/>
      <c r="E10" s="3946"/>
      <c r="F10" s="3946"/>
      <c r="G10" s="3946"/>
      <c r="H10" s="3946"/>
      <c r="I10" s="3946"/>
      <c r="J10" s="3946"/>
      <c r="K10" s="3946"/>
      <c r="L10" s="3946"/>
      <c r="M10" s="3946"/>
      <c r="N10" s="3946"/>
      <c r="O10" s="3946"/>
      <c r="P10" s="3946"/>
      <c r="Q10" s="3946"/>
      <c r="R10" s="3946"/>
      <c r="S10" s="2191"/>
      <c r="T10" s="2552"/>
      <c r="U10" s="45"/>
      <c r="V10" s="45"/>
      <c r="W10" s="131"/>
      <c r="X10" s="3947" t="s">
        <v>1710</v>
      </c>
      <c r="Y10" s="3948" t="s">
        <v>1865</v>
      </c>
      <c r="Z10" s="3948"/>
      <c r="AA10" s="3948"/>
      <c r="AB10" s="220"/>
      <c r="AD10" s="3169" t="s">
        <v>1817</v>
      </c>
      <c r="AE10" s="3169"/>
      <c r="AF10" s="3169"/>
      <c r="AG10" s="3169"/>
      <c r="AH10" s="3929" t="s">
        <v>1866</v>
      </c>
      <c r="AI10" s="3929"/>
      <c r="AJ10" s="3929"/>
      <c r="AK10" s="3929"/>
      <c r="AL10" s="3929"/>
      <c r="AM10" s="3929"/>
      <c r="AN10" s="2994"/>
      <c r="AO10" s="2990"/>
      <c r="AR10" s="2992"/>
      <c r="BL10" s="68"/>
      <c r="BM10" s="68"/>
      <c r="BN10" s="68"/>
      <c r="BO10" s="68"/>
      <c r="BP10" s="68"/>
      <c r="BQ10" s="68"/>
    </row>
    <row r="11" spans="1:72" ht="12" customHeight="1" thickBot="1" x14ac:dyDescent="0.25">
      <c r="A11" s="45"/>
      <c r="B11" s="131"/>
      <c r="C11" s="3949" t="s">
        <v>1864</v>
      </c>
      <c r="D11" s="3949"/>
      <c r="E11" s="3949"/>
      <c r="F11" s="3950" t="s">
        <v>1633</v>
      </c>
      <c r="G11" s="3950"/>
      <c r="H11" s="221" t="s">
        <v>1867</v>
      </c>
      <c r="I11" s="96" t="s">
        <v>1868</v>
      </c>
      <c r="J11" s="66" t="s">
        <v>1813</v>
      </c>
      <c r="K11" s="66" t="s">
        <v>1869</v>
      </c>
      <c r="L11" s="66" t="s">
        <v>1870</v>
      </c>
      <c r="M11" s="66" t="s">
        <v>1871</v>
      </c>
      <c r="N11" s="66" t="s">
        <v>1872</v>
      </c>
      <c r="O11" s="66" t="s">
        <v>1873</v>
      </c>
      <c r="P11" s="96" t="s">
        <v>1874</v>
      </c>
      <c r="Q11" s="66" t="s">
        <v>1875</v>
      </c>
      <c r="R11" s="262" t="s">
        <v>1876</v>
      </c>
      <c r="S11" s="2199" t="s">
        <v>9024</v>
      </c>
      <c r="T11" s="2552"/>
      <c r="U11" s="45"/>
      <c r="V11" s="45"/>
      <c r="W11" s="131"/>
      <c r="X11" s="3947"/>
      <c r="Y11" s="3951" t="s">
        <v>1877</v>
      </c>
      <c r="Z11" s="3951"/>
      <c r="AA11" s="3951"/>
      <c r="AB11" s="222"/>
      <c r="AD11" s="3860" t="str">
        <f>IF(PDs!$E40=0,"",PDs!$E40)</f>
        <v/>
      </c>
      <c r="AE11" s="3860"/>
      <c r="AF11" s="3860"/>
      <c r="AG11" s="3860"/>
      <c r="AH11" s="3952" t="str">
        <f>IF(PDs!$AD40=0,"",PDs!$V40&amp;" ")&amp;IF(PDs!$AD40=0,"",IF(PDs!$Y40=0,"",PDs!$Y40))</f>
        <v xml:space="preserve"> </v>
      </c>
      <c r="AI11" s="3952"/>
      <c r="AJ11" s="3952"/>
      <c r="AK11" s="3952"/>
      <c r="AL11" s="3952"/>
      <c r="AM11" s="3952"/>
      <c r="AN11" s="2994"/>
      <c r="AO11" s="2990"/>
      <c r="AR11" s="2992" t="s">
        <v>9328</v>
      </c>
      <c r="AS11" s="2992"/>
      <c r="AT11" s="2996">
        <f t="shared" ref="AT11:AZ11" si="1">LARGE(AT$17:AT$26,1)</f>
        <v>0</v>
      </c>
      <c r="AU11" s="2996">
        <f t="shared" si="1"/>
        <v>0</v>
      </c>
      <c r="AV11" s="2996">
        <f t="shared" si="1"/>
        <v>0</v>
      </c>
      <c r="AW11" s="2996">
        <f t="shared" si="1"/>
        <v>0</v>
      </c>
      <c r="AX11" s="2996">
        <f t="shared" si="1"/>
        <v>0</v>
      </c>
      <c r="AY11" s="2996">
        <f t="shared" si="1"/>
        <v>0</v>
      </c>
      <c r="AZ11" s="2996">
        <f t="shared" si="1"/>
        <v>0</v>
      </c>
    </row>
    <row r="12" spans="1:72" ht="12" customHeight="1" thickBot="1" x14ac:dyDescent="0.25">
      <c r="A12" s="45"/>
      <c r="B12" s="223">
        <f>IF(C12=0,0,VLOOKUP($C12,Tabla_Armaduras,8,FALSE))</f>
        <v>0</v>
      </c>
      <c r="C12" s="3956"/>
      <c r="D12" s="3956"/>
      <c r="E12" s="3956"/>
      <c r="F12" s="3955" t="str">
        <f>IF(C12=0,"",VLOOKUP(C12,Tabla_Armaduras,7,FALSE))</f>
        <v/>
      </c>
      <c r="G12" s="3955"/>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2"/>
      <c r="U12" s="45"/>
      <c r="V12" s="45"/>
      <c r="W12" s="131"/>
      <c r="X12" s="3947"/>
      <c r="Y12" s="3951" t="s">
        <v>1878</v>
      </c>
      <c r="Z12" s="3951"/>
      <c r="AA12" s="3951"/>
      <c r="AB12" s="222"/>
      <c r="AD12" s="3843" t="str">
        <f>IF(PDs!$E41=0,"",PDs!$E41)</f>
        <v/>
      </c>
      <c r="AE12" s="3843"/>
      <c r="AF12" s="3843"/>
      <c r="AG12" s="3843"/>
      <c r="AH12" s="3934" t="str">
        <f>IF(PDs!$AD41=0,"",PDs!$V41&amp;" ")&amp;IF(PDs!$AD41=0,"",IF(PDs!$Y41=0,"",PDs!$Y41))</f>
        <v xml:space="preserve"> </v>
      </c>
      <c r="AI12" s="3934"/>
      <c r="AJ12" s="3934"/>
      <c r="AK12" s="3934"/>
      <c r="AL12" s="3934"/>
      <c r="AM12" s="3934"/>
      <c r="AN12" s="2994"/>
      <c r="AO12" s="2990"/>
      <c r="AR12" s="2992" t="s">
        <v>9347</v>
      </c>
      <c r="AS12" s="2992"/>
      <c r="AT12" s="2996">
        <f t="shared" ref="AT12:AZ12" si="2">LARGE(AT$17:AT$26,2)</f>
        <v>0</v>
      </c>
      <c r="AU12" s="2996">
        <f t="shared" si="2"/>
        <v>0</v>
      </c>
      <c r="AV12" s="2996">
        <f t="shared" si="2"/>
        <v>0</v>
      </c>
      <c r="AW12" s="2996">
        <f t="shared" si="2"/>
        <v>0</v>
      </c>
      <c r="AX12" s="2996">
        <f t="shared" si="2"/>
        <v>0</v>
      </c>
      <c r="AY12" s="2996">
        <f t="shared" si="2"/>
        <v>0</v>
      </c>
      <c r="AZ12" s="2996">
        <f t="shared" si="2"/>
        <v>0</v>
      </c>
      <c r="BJ12" s="173"/>
    </row>
    <row r="13" spans="1:72" ht="12" customHeight="1" thickBot="1" x14ac:dyDescent="0.25">
      <c r="A13" s="45"/>
      <c r="B13" s="223">
        <f>IF(C13=0,0,VLOOKUP($C13,Tabla_Armaduras,8,FALSE))</f>
        <v>0</v>
      </c>
      <c r="C13" s="3954"/>
      <c r="D13" s="3954"/>
      <c r="E13" s="3954"/>
      <c r="F13" s="3955" t="str">
        <f>IF(C13=0,"",VLOOKUP(C13,Tabla_Armaduras,7,FALSE))</f>
        <v/>
      </c>
      <c r="G13" s="3955"/>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2"/>
      <c r="U13" s="45"/>
      <c r="V13" s="45"/>
      <c r="W13" s="131"/>
      <c r="X13" s="3947"/>
      <c r="Y13" s="3951" t="s">
        <v>1879</v>
      </c>
      <c r="Z13" s="3951"/>
      <c r="AA13" s="3951"/>
      <c r="AB13" s="222"/>
      <c r="AD13" s="3843" t="str">
        <f>IF(PDs!$E42=0,"",PDs!$E42)</f>
        <v/>
      </c>
      <c r="AE13" s="3843"/>
      <c r="AF13" s="3843"/>
      <c r="AG13" s="3843"/>
      <c r="AH13" s="3934" t="str">
        <f>IF(PDs!$AD42=0,"",PDs!$V42&amp;" ")&amp;IF(PDs!$AD42=0,"",IF(PDs!$Y42=0,"",PDs!$Y42))</f>
        <v xml:space="preserve"> </v>
      </c>
      <c r="AI13" s="3934"/>
      <c r="AJ13" s="3934"/>
      <c r="AK13" s="3934"/>
      <c r="AL13" s="3934"/>
      <c r="AM13" s="3934"/>
      <c r="AN13" s="2994"/>
      <c r="AO13" s="2990"/>
      <c r="AR13" s="2992" t="s">
        <v>9348</v>
      </c>
      <c r="AS13" s="2992"/>
      <c r="AT13" s="2996">
        <f t="shared" ref="AT13:AZ13" si="3">LARGE(AT$17:AT$26,3)</f>
        <v>0</v>
      </c>
      <c r="AU13" s="2996">
        <f t="shared" si="3"/>
        <v>0</v>
      </c>
      <c r="AV13" s="2996">
        <f t="shared" si="3"/>
        <v>0</v>
      </c>
      <c r="AW13" s="2996">
        <f t="shared" si="3"/>
        <v>0</v>
      </c>
      <c r="AX13" s="2996">
        <f t="shared" si="3"/>
        <v>0</v>
      </c>
      <c r="AY13" s="2996">
        <f t="shared" si="3"/>
        <v>0</v>
      </c>
      <c r="AZ13" s="2996">
        <f t="shared" si="3"/>
        <v>0</v>
      </c>
      <c r="BJ13" s="173"/>
      <c r="BL13" s="81"/>
    </row>
    <row r="14" spans="1:72" ht="12" customHeight="1" thickBot="1" x14ac:dyDescent="0.25">
      <c r="A14" s="45"/>
      <c r="B14" s="223">
        <f>IF(C14=0,0,VLOOKUP($C14,Tabla_Armaduras,8,FALSE))</f>
        <v>0</v>
      </c>
      <c r="C14" s="3943"/>
      <c r="D14" s="3943"/>
      <c r="E14" s="3943"/>
      <c r="F14" s="3944" t="str">
        <f>IF(C14=0,"",VLOOKUP(C14,Tabla_Armaduras,7,FALSE))</f>
        <v/>
      </c>
      <c r="G14" s="3944"/>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2"/>
      <c r="U14" s="45"/>
      <c r="V14" s="45"/>
      <c r="W14" s="131"/>
      <c r="X14" s="3947"/>
      <c r="Y14" s="3953" t="s">
        <v>1880</v>
      </c>
      <c r="Z14" s="3953"/>
      <c r="AA14" s="3953"/>
      <c r="AB14" s="228"/>
      <c r="AD14" s="3843" t="str">
        <f>IF(PDs!$E43=0,"",PDs!$E43)</f>
        <v/>
      </c>
      <c r="AE14" s="3843"/>
      <c r="AF14" s="3843"/>
      <c r="AG14" s="3843"/>
      <c r="AH14" s="3934" t="str">
        <f>IF(PDs!$AD43=0,"",PDs!$V43&amp;" ")&amp;IF(PDs!$AD43=0,"",IF(PDs!$Y43=0,"",PDs!$Y43))</f>
        <v xml:space="preserve"> </v>
      </c>
      <c r="AI14" s="3934"/>
      <c r="AJ14" s="3934"/>
      <c r="AK14" s="3934"/>
      <c r="AL14" s="3934"/>
      <c r="AM14" s="3934"/>
      <c r="AN14" s="2994"/>
      <c r="AO14" s="2990"/>
      <c r="BJ14" s="173"/>
      <c r="BL14" s="68"/>
    </row>
    <row r="15" spans="1:72" ht="12" customHeight="1" thickBot="1" x14ac:dyDescent="0.25">
      <c r="A15" s="45"/>
      <c r="B15" s="131"/>
      <c r="C15" s="3937"/>
      <c r="D15" s="3938"/>
      <c r="E15" s="3168"/>
      <c r="F15" s="3939" t="s">
        <v>1881</v>
      </c>
      <c r="G15" s="3939"/>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2"/>
      <c r="U15" s="45"/>
      <c r="V15" s="45"/>
      <c r="W15" s="131"/>
      <c r="X15" s="3947"/>
      <c r="Y15" s="3930" t="s">
        <v>1661</v>
      </c>
      <c r="Z15" s="3930"/>
      <c r="AA15" s="3930"/>
      <c r="AB15" s="3933">
        <f>SUM(AB10:AB14)</f>
        <v>0</v>
      </c>
      <c r="AD15" s="3843" t="str">
        <f>IF(PDs!$E44=0,"",PDs!$E44)</f>
        <v/>
      </c>
      <c r="AE15" s="3843"/>
      <c r="AF15" s="3843"/>
      <c r="AG15" s="3843"/>
      <c r="AH15" s="3934" t="str">
        <f>IF(PDs!$AD44=0,"",PDs!$V44&amp;" ")&amp;IF(PDs!$AD44=0,"",IF(PDs!$Y44=0,"",PDs!$Y44))</f>
        <v xml:space="preserve"> </v>
      </c>
      <c r="AI15" s="3934"/>
      <c r="AJ15" s="3934"/>
      <c r="AK15" s="3934"/>
      <c r="AL15" s="3934"/>
      <c r="AM15" s="3934"/>
      <c r="AN15" s="2994"/>
      <c r="AO15" s="2990"/>
      <c r="AR15" s="2996" t="s">
        <v>9351</v>
      </c>
      <c r="AT15" s="2996"/>
      <c r="BJ15" s="173"/>
      <c r="BL15" s="81"/>
    </row>
    <row r="16" spans="1:72" ht="12" customHeight="1" thickBot="1" x14ac:dyDescent="0.25">
      <c r="A16" s="45"/>
      <c r="B16" s="131"/>
      <c r="C16" s="3940" t="s">
        <v>1882</v>
      </c>
      <c r="D16" s="3940"/>
      <c r="E16" s="3941">
        <f>R12+R13+R14</f>
        <v>0</v>
      </c>
      <c r="F16" s="3931" t="s">
        <v>1883</v>
      </c>
      <c r="G16" s="3931"/>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942">
        <f t="shared" ref="I16:O16" si="4">AT$9</f>
        <v>0</v>
      </c>
      <c r="J16" s="3927">
        <f t="shared" si="4"/>
        <v>0</v>
      </c>
      <c r="K16" s="3927">
        <f t="shared" si="4"/>
        <v>0</v>
      </c>
      <c r="L16" s="3927">
        <f t="shared" si="4"/>
        <v>0</v>
      </c>
      <c r="M16" s="3927">
        <f t="shared" si="4"/>
        <v>0</v>
      </c>
      <c r="N16" s="3927">
        <f t="shared" si="4"/>
        <v>0</v>
      </c>
      <c r="O16" s="3918">
        <f t="shared" si="4"/>
        <v>0</v>
      </c>
      <c r="P16" s="3931" t="s">
        <v>1884</v>
      </c>
      <c r="Q16" s="3931"/>
      <c r="R16" s="2186" t="str">
        <f>IF(H16=0,"",IF((-H16+Principal!H25)&lt;0,-H16+Principal!H25,""))</f>
        <v/>
      </c>
      <c r="S16" s="2184"/>
      <c r="T16" s="2552"/>
      <c r="U16" s="45"/>
      <c r="V16" s="45"/>
      <c r="W16" s="131"/>
      <c r="X16" s="3947"/>
      <c r="Y16" s="3930"/>
      <c r="Z16" s="3930"/>
      <c r="AA16" s="3930"/>
      <c r="AB16" s="3933"/>
      <c r="AD16" s="3841" t="str">
        <f>IF(PDs!$E45=0,"",PDs!$E45)</f>
        <v/>
      </c>
      <c r="AE16" s="3841"/>
      <c r="AF16" s="3841"/>
      <c r="AG16" s="3841"/>
      <c r="AH16" s="3932" t="str">
        <f>IF(PDs!$AD45=0,"",PDs!$V45&amp;" ")&amp;IF(PDs!$AD45=0,"",IF(PDs!$Y45=0,"",PDs!$Y45))</f>
        <v xml:space="preserve"> </v>
      </c>
      <c r="AI16" s="3932"/>
      <c r="AJ16" s="3932"/>
      <c r="AK16" s="3932"/>
      <c r="AL16" s="3932"/>
      <c r="AM16" s="3932"/>
      <c r="AN16" s="2994"/>
      <c r="AO16" s="2990"/>
      <c r="AT16" s="2996" t="str">
        <f t="shared" ref="AT16:AZ16" si="5">I11</f>
        <v>FIL</v>
      </c>
      <c r="AU16" s="2996" t="str">
        <f t="shared" si="5"/>
        <v>CON</v>
      </c>
      <c r="AV16" s="2996" t="str">
        <f t="shared" si="5"/>
        <v>PEN</v>
      </c>
      <c r="AW16" s="2996" t="str">
        <f t="shared" si="5"/>
        <v>CAL</v>
      </c>
      <c r="AX16" s="2996" t="str">
        <f t="shared" si="5"/>
        <v>ELE</v>
      </c>
      <c r="AY16" s="2996" t="str">
        <f t="shared" si="5"/>
        <v>FRI</v>
      </c>
      <c r="AZ16" s="2996" t="str">
        <f t="shared" si="5"/>
        <v>ENE</v>
      </c>
      <c r="BD16" s="173"/>
      <c r="BE16" s="173"/>
      <c r="BF16" s="173"/>
      <c r="BG16" s="173"/>
      <c r="BH16" s="173"/>
      <c r="BI16" s="173"/>
      <c r="BJ16" s="173"/>
      <c r="BL16" s="68"/>
    </row>
    <row r="17" spans="1:64" ht="12" customHeight="1" thickBot="1" x14ac:dyDescent="0.25">
      <c r="A17" s="45"/>
      <c r="B17" s="131"/>
      <c r="C17" s="3940"/>
      <c r="D17" s="3940"/>
      <c r="E17" s="3941"/>
      <c r="F17" s="3936" t="s">
        <v>1885</v>
      </c>
      <c r="G17" s="3936"/>
      <c r="H17" s="137">
        <f>IF(C12=0,0,IF(H12+VLOOKUP(C12,Tabla_Armaduras,3,FALSE)&gt;0,0,H12+VLOOKUP(C12,Tabla_Armaduras,3,FALSE)))+IF(C13=0,0,IF(H13+VLOOKUP(C13,Tabla_Armaduras,3,FALSE)&gt;0,0,H13+VLOOKUP(C13,Tabla_Armaduras,3,FALSE)))+IF(C14=0,0,IF(H14+VLOOKUP(C14,Tabla_Armaduras,3,FALSE)&gt;0,0,H14+VLOOKUP(C14,Tabla_Armaduras,3,FALSE)))</f>
        <v>0</v>
      </c>
      <c r="I17" s="3942"/>
      <c r="J17" s="3928"/>
      <c r="K17" s="3928"/>
      <c r="L17" s="3928"/>
      <c r="M17" s="3928"/>
      <c r="N17" s="3928"/>
      <c r="O17" s="3935"/>
      <c r="P17" s="3926" t="s">
        <v>1886</v>
      </c>
      <c r="Q17" s="3926"/>
      <c r="R17" s="89">
        <f>MIN(MAX(H17-H16+Principal!H25,H17),0)+MAX(MIN(-20*IF(OR(C12=0,B12="Natural"),0,1)-20*IF(OR(C13=0,B13="Natural"),0,1)-20*IF(OR(C14=0,B14="Natural"),0,1)+20,0),-40)</f>
        <v>0</v>
      </c>
      <c r="S17" s="2182"/>
      <c r="T17" s="2552"/>
      <c r="U17" s="45"/>
      <c r="V17" s="45"/>
      <c r="W17" s="131"/>
      <c r="AN17" s="2994"/>
      <c r="AO17" s="2990"/>
      <c r="AR17" s="2991" t="s">
        <v>9329</v>
      </c>
      <c r="AT17" s="2996">
        <f t="shared" ref="AT17:AZ17" si="6">I$12</f>
        <v>0</v>
      </c>
      <c r="AU17" s="2996">
        <f t="shared" si="6"/>
        <v>0</v>
      </c>
      <c r="AV17" s="2996">
        <f t="shared" si="6"/>
        <v>0</v>
      </c>
      <c r="AW17" s="2996">
        <f t="shared" si="6"/>
        <v>0</v>
      </c>
      <c r="AX17" s="2996">
        <f t="shared" si="6"/>
        <v>0</v>
      </c>
      <c r="AY17" s="2996">
        <f t="shared" si="6"/>
        <v>0</v>
      </c>
      <c r="AZ17" s="2996">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2"/>
      <c r="U18" s="45"/>
      <c r="V18" s="45"/>
      <c r="W18" s="131"/>
      <c r="X18" s="3169" t="s">
        <v>1818</v>
      </c>
      <c r="Y18" s="3169"/>
      <c r="Z18" s="3169"/>
      <c r="AA18" s="3169"/>
      <c r="AB18" s="3169"/>
      <c r="AC18" s="3169"/>
      <c r="AD18" s="3929" t="s">
        <v>1866</v>
      </c>
      <c r="AE18" s="3929"/>
      <c r="AF18" s="3929"/>
      <c r="AG18" s="3929"/>
      <c r="AH18" s="3929"/>
      <c r="AI18" s="3929"/>
      <c r="AJ18" s="3929"/>
      <c r="AK18" s="3929"/>
      <c r="AL18" s="3929"/>
      <c r="AM18" s="3929"/>
      <c r="AN18" s="2994"/>
      <c r="AO18" s="2990"/>
      <c r="AP18" s="2991" t="s">
        <v>10508</v>
      </c>
      <c r="AR18" s="2991" t="s">
        <v>9330</v>
      </c>
      <c r="AT18" s="2996">
        <f t="shared" ref="AT18:AZ18" si="7">I$13</f>
        <v>0</v>
      </c>
      <c r="AU18" s="2996">
        <f t="shared" si="7"/>
        <v>0</v>
      </c>
      <c r="AV18" s="2996">
        <f t="shared" si="7"/>
        <v>0</v>
      </c>
      <c r="AW18" s="2996">
        <f t="shared" si="7"/>
        <v>0</v>
      </c>
      <c r="AX18" s="2996">
        <f t="shared" si="7"/>
        <v>0</v>
      </c>
      <c r="AY18" s="2996">
        <f t="shared" si="7"/>
        <v>0</v>
      </c>
      <c r="AZ18" s="2996">
        <f t="shared" si="7"/>
        <v>0</v>
      </c>
      <c r="BD18" s="173"/>
      <c r="BE18" s="173"/>
      <c r="BF18" s="173"/>
      <c r="BG18" s="173"/>
      <c r="BH18" s="173"/>
      <c r="BI18" s="231"/>
      <c r="BJ18" s="173"/>
    </row>
    <row r="19" spans="1:64" ht="12" customHeight="1" thickBot="1" x14ac:dyDescent="0.25">
      <c r="A19" s="45"/>
      <c r="B19" s="131"/>
      <c r="C19" s="3169" t="s">
        <v>1887</v>
      </c>
      <c r="D19" s="3169"/>
      <c r="E19" s="3169"/>
      <c r="F19" s="3169"/>
      <c r="G19" s="3169"/>
      <c r="H19" s="64"/>
      <c r="I19" s="3169" t="s">
        <v>1888</v>
      </c>
      <c r="J19" s="3169"/>
      <c r="K19" s="3925" t="str">
        <f>IF(COUNTA(PDs!$E$56:$E$74)&gt;0,"Artes Marciales","Desarmado")</f>
        <v>Desarmado</v>
      </c>
      <c r="L19" s="3925"/>
      <c r="M19" s="3925"/>
      <c r="N19" s="192" t="s">
        <v>1705</v>
      </c>
      <c r="O19" s="232" t="s">
        <v>1889</v>
      </c>
      <c r="P19" s="3891" t="s">
        <v>1890</v>
      </c>
      <c r="Q19" s="3891"/>
      <c r="R19" s="2202" t="s">
        <v>1891</v>
      </c>
      <c r="S19" s="2200" t="s">
        <v>9024</v>
      </c>
      <c r="T19" s="2552"/>
      <c r="U19" s="45"/>
      <c r="V19" s="45"/>
      <c r="W19" s="131"/>
      <c r="X19" s="3908" t="str">
        <f>IF(PDs!$E46="","",PDs!$E46)</f>
        <v/>
      </c>
      <c r="Y19" s="3908"/>
      <c r="Z19" s="3908"/>
      <c r="AA19" s="3908"/>
      <c r="AB19" s="3908"/>
      <c r="AC19" s="3908"/>
      <c r="AD19" s="3883" t="str">
        <f>IF(PDs!$V46=0,"",PDs!$V46)</f>
        <v/>
      </c>
      <c r="AE19" s="3883"/>
      <c r="AF19" s="3883"/>
      <c r="AG19" s="3883"/>
      <c r="AH19" s="3883"/>
      <c r="AI19" s="3883"/>
      <c r="AJ19" s="3883"/>
      <c r="AK19" s="3883"/>
      <c r="AL19" s="3883"/>
      <c r="AM19" s="3883"/>
      <c r="AN19" s="2994"/>
      <c r="AO19" s="2990"/>
      <c r="AP19" s="2991">
        <f>HP_final-PDs!$X$23-IF(K19="Desarmado",IF(I20="Conocida",0,60),0)+MIN(PDs!$X$23+N23,50)-IF(Tablas!$H$519&lt;0,IF(Arma_Desarrollada="Desarmado",0,30),0)</f>
        <v>0</v>
      </c>
      <c r="AR19" s="2991" t="s">
        <v>9331</v>
      </c>
      <c r="AT19" s="2996">
        <f t="shared" ref="AT19:AZ19" si="8">I$14</f>
        <v>0</v>
      </c>
      <c r="AU19" s="2996">
        <f t="shared" si="8"/>
        <v>0</v>
      </c>
      <c r="AV19" s="2996">
        <f t="shared" si="8"/>
        <v>0</v>
      </c>
      <c r="AW19" s="2996">
        <f t="shared" si="8"/>
        <v>0</v>
      </c>
      <c r="AX19" s="2996">
        <f t="shared" si="8"/>
        <v>0</v>
      </c>
      <c r="AY19" s="2996">
        <f t="shared" si="8"/>
        <v>0</v>
      </c>
      <c r="AZ19" s="2996">
        <f t="shared" si="8"/>
        <v>0</v>
      </c>
      <c r="BA19" s="2002"/>
      <c r="BB19" s="2002"/>
      <c r="BC19" s="2601"/>
      <c r="BD19" s="233"/>
      <c r="BE19" s="233"/>
      <c r="BF19" s="233"/>
      <c r="BG19" s="173"/>
      <c r="BH19" s="173"/>
      <c r="BI19" s="231"/>
      <c r="BJ19" s="173"/>
    </row>
    <row r="20" spans="1:64" ht="12" customHeight="1" thickBot="1" x14ac:dyDescent="0.25">
      <c r="A20" s="45"/>
      <c r="B20" s="131"/>
      <c r="C20" s="3919" t="s">
        <v>1892</v>
      </c>
      <c r="D20" s="3920"/>
      <c r="E20" s="3921"/>
      <c r="F20" s="3921"/>
      <c r="G20" s="3922"/>
      <c r="H20" s="64"/>
      <c r="I20" s="3923" t="str">
        <f>IF(K19="Artes Marciales","Conocida",VLOOKUP(K19,Tabla_ArmasyEscudos,9,FALSE))</f>
        <v>Conocida</v>
      </c>
      <c r="J20" s="3923"/>
      <c r="K20" s="3924" t="str">
        <f>IF(K19&lt;&gt;"Artes Marciales",IF(OR(COUNTIF(PoderesDeCriatura_Adquiridos,"Armas naturales")&gt;0,Tablas!$P$256&gt;0,Raza="Jayán",Raza="Daimah",Raza="Tuan Dalyr",Nephilim="Nephilim Turak",Raza="Turak"),"Armas Naturales",""),"")</f>
        <v/>
      </c>
      <c r="L20" s="3924"/>
      <c r="M20" s="3924"/>
      <c r="N20" s="3865">
        <f>Turno_Nat_final+Combate!J23</f>
        <v>45</v>
      </c>
      <c r="O20" s="3865">
        <f>IF(K19="Desarmado",MAX(HA_final-IF(I20="Conocida",0,60),0),HA_final-PDs!$X$22+MIN(PDs!$X$22+L23,50)+BonoMaestro_HA)-IF(Tablas!$H$519&lt;0,IF(Arma_Desarrollada="Desarmado",0,30),0)</f>
        <v>0</v>
      </c>
      <c r="P20" s="3917">
        <f>MAX(HP_SinArmas,HE_SinArmas)</f>
        <v>0</v>
      </c>
      <c r="Q20" s="3918" t="str">
        <f>IF(HP_SinArmas&gt;HE_SinArmas,"Par","Esq")</f>
        <v>Esq</v>
      </c>
      <c r="R20" s="3859">
        <f>IF(K19="Desarmado",IF(Raza="Criatura",IF(K20="Armas Naturales",VLOOKUP(Tamaño,Tabla_CreaciónSeres,8),VLOOKUP(Tamaño,Tabla_CreaciónSeres,7)),IF(K20="Armas Naturales",ArmasNaturales_Daño,10)+Bono_Fue),ArtesM_Daño)+R23+Tablas!$K$2341</f>
        <v>10</v>
      </c>
      <c r="S20" s="3866"/>
      <c r="T20" s="2552"/>
      <c r="U20" s="45"/>
      <c r="V20" s="45"/>
      <c r="W20" s="131"/>
      <c r="X20" s="3908" t="str">
        <f>IF(PDs!$E47="","",PDs!$E47)</f>
        <v/>
      </c>
      <c r="Y20" s="3908"/>
      <c r="Z20" s="3908"/>
      <c r="AA20" s="3908"/>
      <c r="AB20" s="3908"/>
      <c r="AC20" s="3908"/>
      <c r="AD20" s="3883" t="str">
        <f>IF(PDs!$V47=0,"",PDs!$V47)</f>
        <v/>
      </c>
      <c r="AE20" s="3883"/>
      <c r="AF20" s="3883"/>
      <c r="AG20" s="3883"/>
      <c r="AH20" s="3883"/>
      <c r="AI20" s="3883"/>
      <c r="AJ20" s="3883"/>
      <c r="AK20" s="3883"/>
      <c r="AL20" s="3883"/>
      <c r="AM20" s="3883"/>
      <c r="AN20" s="2994"/>
      <c r="AO20" s="2990"/>
      <c r="AP20" s="2991" t="s">
        <v>10509</v>
      </c>
      <c r="AR20" s="2991" t="s">
        <v>9332</v>
      </c>
      <c r="AT20" s="2996">
        <f>2*Tablas!$G$322</f>
        <v>0</v>
      </c>
      <c r="AU20" s="2996">
        <f>2*Tablas!$G$322</f>
        <v>0</v>
      </c>
      <c r="AV20" s="2996">
        <f>2*Tablas!$G$322</f>
        <v>0</v>
      </c>
      <c r="AW20" s="2996">
        <f>2*Tablas!$G$322</f>
        <v>0</v>
      </c>
      <c r="AX20" s="2996">
        <f>2*Tablas!$G$322</f>
        <v>0</v>
      </c>
      <c r="AY20" s="2996">
        <f>2*Tablas!$G$322</f>
        <v>0</v>
      </c>
      <c r="AZ20" s="2996">
        <f>4*Tablas!G323</f>
        <v>0</v>
      </c>
      <c r="BA20" s="2002"/>
      <c r="BB20" s="2002"/>
      <c r="BC20" s="2599"/>
      <c r="BD20" s="173"/>
      <c r="BE20" s="173"/>
      <c r="BF20" s="173"/>
      <c r="BG20" s="173"/>
      <c r="BH20" s="173"/>
      <c r="BI20" s="231"/>
      <c r="BJ20" s="173"/>
      <c r="BK20" s="234"/>
    </row>
    <row r="21" spans="1:64" ht="12" customHeight="1" x14ac:dyDescent="0.2">
      <c r="A21" s="45"/>
      <c r="B21" s="131"/>
      <c r="C21" s="3919"/>
      <c r="D21" s="3920"/>
      <c r="E21" s="3921"/>
      <c r="F21" s="3921"/>
      <c r="G21" s="3922"/>
      <c r="H21" s="64"/>
      <c r="I21" s="235" t="s">
        <v>1893</v>
      </c>
      <c r="J21" s="204" t="s">
        <v>1894</v>
      </c>
      <c r="K21" s="204" t="s">
        <v>1874</v>
      </c>
      <c r="L21" s="204" t="s">
        <v>1895</v>
      </c>
      <c r="M21" s="204" t="s">
        <v>1875</v>
      </c>
      <c r="N21" s="3865"/>
      <c r="O21" s="3865"/>
      <c r="P21" s="3917"/>
      <c r="Q21" s="3918"/>
      <c r="R21" s="3859"/>
      <c r="S21" s="3867"/>
      <c r="T21" s="2552"/>
      <c r="U21" s="45"/>
      <c r="V21" s="45"/>
      <c r="W21" s="131"/>
      <c r="X21" s="3908" t="str">
        <f>IF(PDs!$E48="","",PDs!$E48)</f>
        <v/>
      </c>
      <c r="Y21" s="3908"/>
      <c r="Z21" s="3908"/>
      <c r="AA21" s="3908"/>
      <c r="AB21" s="3908"/>
      <c r="AC21" s="3908"/>
      <c r="AD21" s="3883" t="str">
        <f>IF(PDs!$V48=0,"",PDs!$V48)</f>
        <v/>
      </c>
      <c r="AE21" s="3883"/>
      <c r="AF21" s="3883"/>
      <c r="AG21" s="3883"/>
      <c r="AH21" s="3883"/>
      <c r="AI21" s="3883"/>
      <c r="AJ21" s="3883"/>
      <c r="AK21" s="3883"/>
      <c r="AL21" s="3883"/>
      <c r="AM21" s="3883"/>
      <c r="AN21" s="2994"/>
      <c r="AO21" s="2990"/>
      <c r="AP21" s="2991">
        <f>HE_final-PDs!$X$24+MIN(PDs!$X$24+P23,50)</f>
        <v>0</v>
      </c>
      <c r="AR21" s="2991" t="s">
        <v>9333</v>
      </c>
      <c r="AT21" s="2996">
        <f>Tablas!S$2070</f>
        <v>0</v>
      </c>
      <c r="AU21" s="2996">
        <f>Tablas!S$2071</f>
        <v>0</v>
      </c>
      <c r="AV21" s="2996">
        <f>Tablas!S$2072</f>
        <v>0</v>
      </c>
      <c r="AW21" s="2996">
        <f>Tablas!S$2073</f>
        <v>0</v>
      </c>
      <c r="AX21" s="2996">
        <f>Tablas!S$2074</f>
        <v>0</v>
      </c>
      <c r="AY21" s="2996">
        <f>Tablas!S$2075</f>
        <v>0</v>
      </c>
      <c r="AZ21" s="2996">
        <f>Tablas!S$2076</f>
        <v>0</v>
      </c>
      <c r="BA21" s="2002"/>
      <c r="BB21" s="2002"/>
      <c r="BC21" s="2599"/>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909"/>
      <c r="O22" s="3909"/>
      <c r="P22" s="3909"/>
      <c r="Q22" s="3909"/>
      <c r="R22" s="3910"/>
      <c r="S22" s="2193"/>
      <c r="T22" s="2552"/>
      <c r="U22" s="45"/>
      <c r="V22" s="45"/>
      <c r="W22" s="131"/>
      <c r="X22" s="3908" t="str">
        <f>IF(PDs!$E49="","",PDs!$E49)</f>
        <v/>
      </c>
      <c r="Y22" s="3908"/>
      <c r="Z22" s="3908"/>
      <c r="AA22" s="3908"/>
      <c r="AB22" s="3908"/>
      <c r="AC22" s="3908"/>
      <c r="AD22" s="3883" t="str">
        <f>IF(PDs!$V49=0,"",PDs!$V49)</f>
        <v/>
      </c>
      <c r="AE22" s="3883"/>
      <c r="AF22" s="3883"/>
      <c r="AG22" s="3883"/>
      <c r="AH22" s="3883"/>
      <c r="AI22" s="3883"/>
      <c r="AJ22" s="3883"/>
      <c r="AK22" s="3883"/>
      <c r="AL22" s="3883"/>
      <c r="AM22" s="3883"/>
      <c r="AN22" s="2994"/>
      <c r="AO22" s="2990"/>
      <c r="AR22" s="2991" t="s">
        <v>9334</v>
      </c>
      <c r="AS22" s="2996"/>
      <c r="AT22" s="2996">
        <f>MAX(3*Tablas!$W$884,6*Tablas!$W$885)</f>
        <v>0</v>
      </c>
      <c r="AU22" s="2996">
        <f>MAX(3*Tablas!$W$884,6*Tablas!$W$885)</f>
        <v>0</v>
      </c>
      <c r="AV22" s="2996">
        <f>MAX(3*Tablas!$W$884,6*Tablas!$W$885)</f>
        <v>0</v>
      </c>
      <c r="AW22" s="2996">
        <f>MAX(3*Tablas!$W$884,6*Tablas!$W$885)</f>
        <v>0</v>
      </c>
      <c r="AX22" s="2996">
        <f>MAX(3*Tablas!$W$884,6*Tablas!$W$885)</f>
        <v>0</v>
      </c>
      <c r="AY22" s="2996">
        <f>MAX(3*Tablas!$W$884,6*Tablas!$W$885)</f>
        <v>0</v>
      </c>
      <c r="AZ22" s="2996">
        <f>MAX(3*Tablas!$W$884,6*Tablas!$W$885)</f>
        <v>0</v>
      </c>
      <c r="BA22" s="2002"/>
      <c r="BB22" s="2002"/>
      <c r="BC22" s="2599"/>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912" t="s">
        <v>1896</v>
      </c>
      <c r="J23" s="3913">
        <f>Tablas!$K$896</f>
        <v>0</v>
      </c>
      <c r="K23" s="3911" t="s">
        <v>1897</v>
      </c>
      <c r="L23" s="3913">
        <f>MIN(Tablas!$H$896,50)</f>
        <v>0</v>
      </c>
      <c r="M23" s="3911" t="s">
        <v>1898</v>
      </c>
      <c r="N23" s="3913">
        <f>MIN(Tablas!$J$896,50)</f>
        <v>0</v>
      </c>
      <c r="O23" s="3911" t="s">
        <v>1899</v>
      </c>
      <c r="P23" s="3914">
        <f>MIN(Tablas!$I$896,50)</f>
        <v>0</v>
      </c>
      <c r="Q23" s="3915" t="s">
        <v>1900</v>
      </c>
      <c r="R23" s="3916">
        <f>IF(Extensióndelauraalarma,10,0)+IF(DañoIncrementado,10,0)+IF($K$19="Artes Marciales",Tablas!F896,0)</f>
        <v>0</v>
      </c>
      <c r="S23" s="2201"/>
      <c r="T23" s="2552"/>
      <c r="U23" s="45"/>
      <c r="V23" s="45"/>
      <c r="W23" s="131"/>
      <c r="X23" s="3908" t="str">
        <f>IF(PDs!$E50="","",PDs!$E50)</f>
        <v/>
      </c>
      <c r="Y23" s="3908"/>
      <c r="Z23" s="3908"/>
      <c r="AA23" s="3908"/>
      <c r="AB23" s="3908"/>
      <c r="AC23" s="3908"/>
      <c r="AD23" s="3883" t="str">
        <f>IF(PDs!$V50=0,"",PDs!$V50)</f>
        <v/>
      </c>
      <c r="AE23" s="3883"/>
      <c r="AF23" s="3883"/>
      <c r="AG23" s="3883"/>
      <c r="AH23" s="3883"/>
      <c r="AI23" s="3883"/>
      <c r="AJ23" s="3883"/>
      <c r="AK23" s="3883"/>
      <c r="AL23" s="3883"/>
      <c r="AM23" s="3883"/>
      <c r="AN23" s="2994"/>
      <c r="AO23" s="2990"/>
      <c r="AR23" s="2996" t="s">
        <v>9335</v>
      </c>
      <c r="AS23" s="2996"/>
      <c r="AT23" s="2996">
        <f t="shared" ref="AT23:AZ23" si="14">IF(Acumulacion="Si",VLOOKUP(Tamaño,Tabla_CreaciónSeres,6),0)</f>
        <v>0</v>
      </c>
      <c r="AU23" s="2996">
        <f t="shared" si="14"/>
        <v>0</v>
      </c>
      <c r="AV23" s="2996">
        <f t="shared" si="14"/>
        <v>0</v>
      </c>
      <c r="AW23" s="2996">
        <f t="shared" si="14"/>
        <v>0</v>
      </c>
      <c r="AX23" s="2996">
        <f t="shared" si="14"/>
        <v>0</v>
      </c>
      <c r="AY23" s="2996">
        <f t="shared" si="14"/>
        <v>0</v>
      </c>
      <c r="AZ23" s="2996">
        <f t="shared" si="14"/>
        <v>0</v>
      </c>
      <c r="BA23" s="2002"/>
      <c r="BB23" s="2002"/>
      <c r="BC23" s="2599"/>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912"/>
      <c r="J24" s="3913"/>
      <c r="K24" s="3911"/>
      <c r="L24" s="3913"/>
      <c r="M24" s="3911"/>
      <c r="N24" s="3913"/>
      <c r="O24" s="3911"/>
      <c r="P24" s="3914"/>
      <c r="Q24" s="3915"/>
      <c r="R24" s="3916"/>
      <c r="S24" s="2194"/>
      <c r="T24" s="2552"/>
      <c r="U24" s="45"/>
      <c r="V24" s="45"/>
      <c r="W24" s="131"/>
      <c r="X24" s="3908" t="str">
        <f>IF(PDs!$E51="","",PDs!$E51)</f>
        <v/>
      </c>
      <c r="Y24" s="3908"/>
      <c r="Z24" s="3908"/>
      <c r="AA24" s="3908"/>
      <c r="AB24" s="3908"/>
      <c r="AC24" s="3908"/>
      <c r="AD24" s="3883" t="str">
        <f>IF(PDs!$V51=0,"",PDs!$V51)</f>
        <v/>
      </c>
      <c r="AE24" s="3883"/>
      <c r="AF24" s="3883"/>
      <c r="AG24" s="3883"/>
      <c r="AH24" s="3883"/>
      <c r="AI24" s="3883"/>
      <c r="AJ24" s="3883"/>
      <c r="AK24" s="3883"/>
      <c r="AL24" s="3883"/>
      <c r="AM24" s="3883"/>
      <c r="AN24" s="2994"/>
      <c r="AO24" s="2990"/>
      <c r="AR24" s="2996" t="s">
        <v>9323</v>
      </c>
      <c r="AS24" s="2996"/>
      <c r="AT24" s="2998">
        <f>'Tablas psiquica'!$AH$27</f>
        <v>0</v>
      </c>
      <c r="AU24" s="2998">
        <f>'Tablas psiquica'!$AH$27</f>
        <v>0</v>
      </c>
      <c r="AV24" s="2998">
        <f>'Tablas psiquica'!$AH$27</f>
        <v>0</v>
      </c>
      <c r="AW24" s="2998">
        <f>'Tablas psiquica'!$AH$27</f>
        <v>0</v>
      </c>
      <c r="AX24" s="2998">
        <f>'Tablas psiquica'!$AH$27</f>
        <v>0</v>
      </c>
      <c r="AY24" s="2998">
        <f>'Tablas psiquica'!$AH$27</f>
        <v>0</v>
      </c>
      <c r="AZ24" s="2998">
        <v>0</v>
      </c>
      <c r="BA24" s="2002"/>
      <c r="BB24" s="2002"/>
      <c r="BC24" s="2599"/>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64"/>
      <c r="I25" s="68"/>
      <c r="J25" s="68"/>
      <c r="K25" s="68"/>
      <c r="L25" s="68"/>
      <c r="M25" s="68"/>
      <c r="N25" s="68"/>
      <c r="O25" s="68"/>
      <c r="P25" s="68"/>
      <c r="Q25" s="68"/>
      <c r="R25" s="68"/>
      <c r="S25" s="68"/>
      <c r="T25" s="2552"/>
      <c r="U25" s="45"/>
      <c r="V25" s="45"/>
      <c r="W25" s="131"/>
      <c r="X25" s="3908" t="str">
        <f>IF(PDs!$E52="","",PDs!$E52)</f>
        <v/>
      </c>
      <c r="Y25" s="3908"/>
      <c r="Z25" s="3908"/>
      <c r="AA25" s="3908"/>
      <c r="AB25" s="3908"/>
      <c r="AC25" s="3908"/>
      <c r="AD25" s="3883" t="str">
        <f>IF(PDs!$V52=0,"",PDs!$V52)</f>
        <v/>
      </c>
      <c r="AE25" s="3883"/>
      <c r="AF25" s="3883"/>
      <c r="AG25" s="3883"/>
      <c r="AH25" s="3883"/>
      <c r="AI25" s="3883"/>
      <c r="AJ25" s="3883"/>
      <c r="AK25" s="3883"/>
      <c r="AL25" s="3883"/>
      <c r="AM25" s="3883"/>
      <c r="AN25" s="2994"/>
      <c r="AO25" s="2990"/>
      <c r="AR25" s="2992" t="s">
        <v>1766</v>
      </c>
      <c r="AS25" s="2992"/>
      <c r="AT25" s="2992">
        <f>IF(Nephilim="Nephilim Turak",1)+IF(Raza="Turak",IF(COUNTIF(Cercanía_Dragón,"Escamas de metal")&gt;0,3,2),0)</f>
        <v>0</v>
      </c>
      <c r="AU25" s="2992">
        <f>IF(Nephilim="Nephilim Turak",1)+IF(Raza="Turak",IF(COUNTIF(Cercanía_Dragón,"Escamas de metal")&gt;0,3,2),0)</f>
        <v>0</v>
      </c>
      <c r="AV25" s="2992">
        <f>IF(Nephilim="Nephilim Turak",1)+IF(Raza="Turak",IF(COUNTIF(Cercanía_Dragón,"Escamas de metal")&gt;0,3,2),0)</f>
        <v>0</v>
      </c>
      <c r="AW25" s="2992">
        <f>IF(Nephilim="Nephilim Turak",1)+IF(Raza="Turak",IF(COUNTIF(Cercanía_Dragón,"Escamas de metal")&gt;0,3,2),0)</f>
        <v>0</v>
      </c>
      <c r="AX25" s="2992">
        <v>0</v>
      </c>
      <c r="AY25" s="2992">
        <v>0</v>
      </c>
      <c r="AZ25" s="2992">
        <v>0</v>
      </c>
      <c r="BA25" s="2002"/>
      <c r="BB25" s="2002"/>
      <c r="BC25" s="2599"/>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475" t="s">
        <v>1728</v>
      </c>
      <c r="J26" s="3873"/>
      <c r="K26" s="3892"/>
      <c r="L26" s="3893"/>
      <c r="M26" s="3894"/>
      <c r="N26" s="1367" t="s">
        <v>1705</v>
      </c>
      <c r="O26" s="2754" t="s">
        <v>1889</v>
      </c>
      <c r="P26" s="3877" t="s">
        <v>1890</v>
      </c>
      <c r="Q26" s="3877"/>
      <c r="R26" s="2209" t="s">
        <v>1891</v>
      </c>
      <c r="S26" s="2192" t="s">
        <v>9024</v>
      </c>
      <c r="T26" s="2552"/>
      <c r="U26" s="45"/>
      <c r="V26" s="45"/>
      <c r="W26" s="131"/>
      <c r="X26" s="3908" t="str">
        <f>IF(PDs!$E53="","",PDs!$E53)</f>
        <v/>
      </c>
      <c r="Y26" s="3908"/>
      <c r="Z26" s="3908"/>
      <c r="AA26" s="3908"/>
      <c r="AB26" s="3908"/>
      <c r="AC26" s="3908"/>
      <c r="AD26" s="3883" t="str">
        <f>IF(PDs!$V53=0,"",PDs!$V53)</f>
        <v/>
      </c>
      <c r="AE26" s="3883"/>
      <c r="AF26" s="3883"/>
      <c r="AG26" s="3883"/>
      <c r="AH26" s="3883"/>
      <c r="AI26" s="3883"/>
      <c r="AJ26" s="3883"/>
      <c r="AK26" s="3883"/>
      <c r="AL26" s="3883"/>
      <c r="AM26" s="3883"/>
      <c r="AN26" s="2994"/>
      <c r="AO26" s="2990"/>
      <c r="AR26" s="2992" t="s">
        <v>3438</v>
      </c>
      <c r="AS26" s="2992"/>
      <c r="AT26" s="2992">
        <v>0</v>
      </c>
      <c r="AU26" s="2996">
        <v>0</v>
      </c>
      <c r="AV26" s="2996">
        <v>0</v>
      </c>
      <c r="AW26" s="2996">
        <v>0</v>
      </c>
      <c r="AX26" s="2996">
        <v>0</v>
      </c>
      <c r="AY26" s="2996">
        <v>0</v>
      </c>
      <c r="AZ26" s="2996">
        <f>MAX(IF(ArmaduradeEnergia,2,0),IF(ArmaduraArcana,4,0))</f>
        <v>0</v>
      </c>
      <c r="BA26" s="2002"/>
      <c r="BB26" s="2002"/>
      <c r="BC26" s="2599"/>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861" t="str">
        <f>IF(K26=0,"",VLOOKUP(K26,Tabla_ArmasyEscudos,9,FALSE))</f>
        <v/>
      </c>
      <c r="J27" s="3862"/>
      <c r="K27" s="2743" t="s">
        <v>1901</v>
      </c>
      <c r="L27" s="3863"/>
      <c r="M27" s="3863"/>
      <c r="N27" s="3907">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65">
        <f>IF(K26=0,HA_final,HA_final+VLOOKUP(I27,Tabla_ArmaDistinta,2)+O29-MIN(0,10*(FUE-VLOOKUP(K26,Tabla_ArmasyEscudos,4,FALSE)-IF(L27=0,0,VLOOKUP(L27,Tabla_ArmasEnormes,4,FALSE))))-IF(Tablas!$H$519&lt;0,IF(K26=Arma_Desarrollada,0,30),0))+SUMPRODUCT(--ISNUMBER(SEARCH(K26,ArmasAM)),ArmasAM_HA)</f>
        <v>0</v>
      </c>
      <c r="P27" s="3858">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0</v>
      </c>
      <c r="Q27" s="3473"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59">
        <f>IF(K26=0,0,VLOOKUP(K26,Tabla_ArmasyEscudos,2,FALSE)*IF(L27=0,1,VLOOKUP(L27,Tabla_ArmasEnormes,5,FALSE))+Bono_Fue+2*O29+IF(DañoIncrementado,10,0)+IF(Extensióndelauraalarma,10,0)+Tablas!$K$2341)</f>
        <v>0</v>
      </c>
      <c r="S27" s="3866"/>
      <c r="T27" s="2552"/>
      <c r="U27" s="45"/>
      <c r="V27" s="45"/>
      <c r="W27" s="131"/>
      <c r="X27" s="3908" t="str">
        <f>IF(PDs!$E54="","",PDs!$E54)</f>
        <v/>
      </c>
      <c r="Y27" s="3908"/>
      <c r="Z27" s="3908"/>
      <c r="AA27" s="3908"/>
      <c r="AB27" s="3908"/>
      <c r="AC27" s="3908"/>
      <c r="AD27" s="3883" t="str">
        <f>IF(PDs!$V54=0,"",PDs!$V54)</f>
        <v/>
      </c>
      <c r="AE27" s="3883"/>
      <c r="AF27" s="3883"/>
      <c r="AG27" s="3883"/>
      <c r="AH27" s="3883"/>
      <c r="AI27" s="3883"/>
      <c r="AJ27" s="3883"/>
      <c r="AK27" s="3883"/>
      <c r="AL27" s="3883"/>
      <c r="AM27" s="3883"/>
      <c r="AN27" s="2994"/>
      <c r="AO27" s="2990"/>
      <c r="AP27" s="2992"/>
      <c r="AQ27" s="2992"/>
      <c r="AR27" s="2992"/>
      <c r="AS27" s="2996"/>
      <c r="AT27" s="2996"/>
      <c r="AU27" s="2996"/>
      <c r="AV27" s="2996"/>
      <c r="AW27" s="2996"/>
      <c r="AX27" s="2996"/>
      <c r="AY27" s="2996"/>
      <c r="AZ27" s="2996"/>
      <c r="BA27" s="2496"/>
      <c r="BB27" s="2999"/>
      <c r="BC27" s="2603"/>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30" t="s">
        <v>1893</v>
      </c>
      <c r="J28" s="2931" t="s">
        <v>1894</v>
      </c>
      <c r="K28" s="2931" t="s">
        <v>1874</v>
      </c>
      <c r="L28" s="2931" t="s">
        <v>1895</v>
      </c>
      <c r="M28" s="610" t="s">
        <v>1875</v>
      </c>
      <c r="N28" s="3473"/>
      <c r="O28" s="3865"/>
      <c r="P28" s="3858"/>
      <c r="Q28" s="3473"/>
      <c r="R28" s="3859"/>
      <c r="S28" s="3867"/>
      <c r="T28" s="2552"/>
      <c r="U28" s="45"/>
      <c r="V28" s="45"/>
      <c r="W28" s="131"/>
      <c r="X28" s="3957" t="str">
        <f>IF(PDs!$E55="","",PDs!$E55)</f>
        <v/>
      </c>
      <c r="Y28" s="3957"/>
      <c r="Z28" s="3957"/>
      <c r="AA28" s="3957"/>
      <c r="AB28" s="3957"/>
      <c r="AC28" s="3957"/>
      <c r="AD28" s="3872" t="str">
        <f>IF(PDs!$V55=0,"",PDs!$V55)</f>
        <v/>
      </c>
      <c r="AE28" s="3872"/>
      <c r="AF28" s="3872"/>
      <c r="AG28" s="3872"/>
      <c r="AH28" s="3872"/>
      <c r="AI28" s="3872"/>
      <c r="AJ28" s="3872"/>
      <c r="AK28" s="3872"/>
      <c r="AL28" s="3872"/>
      <c r="AM28" s="3872"/>
      <c r="AN28" s="2994"/>
      <c r="AO28" s="2990"/>
      <c r="AY28" s="2996"/>
      <c r="AZ28" s="2996"/>
      <c r="BA28" s="2002"/>
      <c r="BB28" s="2002"/>
      <c r="BC28" s="2605"/>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32" t="str">
        <f>IF(K26=0,"",VLOOKUP(K26,Tabla_ArmasyEscudos,7,FALSE))</f>
        <v/>
      </c>
      <c r="K29" s="2932" t="str">
        <f>IF(K26=0,"",IF(Extensióndelauraalarma,10,0)+O29*2+VLOOKUP(K26,Tabla_ArmasyEscudos,10,FALSE)+IF(L27=0,0,VLOOKUP(L27,Tabla_ArmasEnormes,6,FALSE)))</f>
        <v/>
      </c>
      <c r="L29" s="2932" t="str">
        <f>IF(K26=0,"",IF(Extensióndelauraalarma,5,0)+O29*2/5+VLOOKUP(K26,Tabla_ArmasyEscudos,11,FALSE)+IF(L27=0,0,VLOOKUP(L27,Tabla_ArmasEnormes,7,FALSE))+IF(FUE=0,0,VLOOKUP(FUE,Tabla_Fuerza,2)))</f>
        <v/>
      </c>
      <c r="M29" s="612">
        <f>IF(K26=0,0,MAX(O29*10,0)+VLOOKUP(K26,Tabla_ArmasyEscudos,12,FALSE))</f>
        <v>0</v>
      </c>
      <c r="N29" s="608" t="s">
        <v>1903</v>
      </c>
      <c r="O29" s="113"/>
      <c r="P29" s="3881" t="str">
        <f>IF(L27=0,IF(O29=0,"","TA defensor:"),IF(Tamaño&lt;VLOOKUP(L27,Tabla_ArmasEnormes,2,FALSE),"Tam. excesivo",IF(O29=0,"","TA defensor:")))</f>
        <v/>
      </c>
      <c r="Q29" s="3881"/>
      <c r="R29" s="2204" t="str">
        <f>IF(P29="TA defensor:",O29/(-5),"")</f>
        <v/>
      </c>
      <c r="S29" s="2203"/>
      <c r="T29" s="2552"/>
      <c r="U29" s="45"/>
      <c r="V29" s="45"/>
      <c r="W29" s="131"/>
      <c r="AN29" s="2994"/>
      <c r="AO29" s="2990"/>
      <c r="AY29" s="2996"/>
      <c r="AZ29" s="2996"/>
      <c r="BA29" s="2002"/>
      <c r="BB29" s="2002"/>
      <c r="BC29" s="2599"/>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895" t="str">
        <f>IF(K26=0,"",VLOOKUP(K26,Tabla_ArmasyEscudos,19,FALSE))</f>
        <v/>
      </c>
      <c r="J30" s="3896"/>
      <c r="K30" s="3896"/>
      <c r="L30" s="3896"/>
      <c r="M30" s="3896"/>
      <c r="N30" s="3869"/>
      <c r="O30" s="3869"/>
      <c r="P30" s="3869"/>
      <c r="Q30" s="3869"/>
      <c r="R30" s="3870"/>
      <c r="S30" s="2768"/>
      <c r="T30" s="2552"/>
      <c r="U30" s="45"/>
      <c r="V30" s="45"/>
      <c r="W30" s="131"/>
      <c r="X30" s="3169" t="s">
        <v>1819</v>
      </c>
      <c r="Y30" s="3169"/>
      <c r="Z30" s="3169"/>
      <c r="AA30" s="3169"/>
      <c r="AB30" s="3169"/>
      <c r="AC30" s="3169"/>
      <c r="AD30" s="3179" t="s">
        <v>1866</v>
      </c>
      <c r="AE30" s="3179"/>
      <c r="AF30" s="3179"/>
      <c r="AG30" s="3179"/>
      <c r="AH30" s="3179"/>
      <c r="AI30" s="3179"/>
      <c r="AJ30" s="3179"/>
      <c r="AK30" s="3179"/>
      <c r="AL30" s="3179"/>
      <c r="AM30" s="95" t="s">
        <v>1815</v>
      </c>
      <c r="AN30" s="2994"/>
      <c r="AO30" s="2990"/>
      <c r="AY30" s="2996"/>
      <c r="AZ30" s="2996"/>
      <c r="BA30" s="2002"/>
      <c r="BB30" s="2002"/>
      <c r="BC30" s="2599"/>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03" t="s">
        <v>1904</v>
      </c>
      <c r="J31" s="3169"/>
      <c r="K31" s="3888"/>
      <c r="L31" s="3889"/>
      <c r="M31" s="3890"/>
      <c r="N31" s="2753" t="s">
        <v>1705</v>
      </c>
      <c r="O31" s="2753" t="s">
        <v>1889</v>
      </c>
      <c r="P31" s="3891" t="s">
        <v>1890</v>
      </c>
      <c r="Q31" s="3891"/>
      <c r="R31" s="2202" t="s">
        <v>1891</v>
      </c>
      <c r="S31" s="2196" t="s">
        <v>9024</v>
      </c>
      <c r="T31" s="2552"/>
      <c r="U31" s="45"/>
      <c r="V31" s="45"/>
      <c r="W31" s="131"/>
      <c r="X31" s="3843" t="str">
        <f>IF(PDs!$AD56=0,"",PDs!$AD56)</f>
        <v/>
      </c>
      <c r="Y31" s="3843"/>
      <c r="Z31" s="3843"/>
      <c r="AA31" s="3843"/>
      <c r="AB31" s="3843"/>
      <c r="AC31" s="3843"/>
      <c r="AD31" s="3958" t="str">
        <f>IF(PDs!$V56=0,"",PDs!$V56)</f>
        <v/>
      </c>
      <c r="AE31" s="3958"/>
      <c r="AF31" s="3958"/>
      <c r="AG31" s="3958"/>
      <c r="AH31" s="3958"/>
      <c r="AI31" s="3958"/>
      <c r="AJ31" s="3958"/>
      <c r="AK31" s="3958"/>
      <c r="AL31" s="3958"/>
      <c r="AM31" s="246">
        <f>IF(X31="",0,VLOOKUP(X31,Tablas!$D$806:$G$895,4,FALSE))</f>
        <v>0</v>
      </c>
      <c r="AN31" s="2994"/>
      <c r="AO31" s="2990"/>
      <c r="AP31" s="2992"/>
      <c r="AQ31" s="2992"/>
      <c r="AR31" s="2992"/>
      <c r="AS31" s="2992"/>
      <c r="AT31" s="2992"/>
      <c r="AU31" s="2992"/>
      <c r="AV31" s="2992"/>
      <c r="AW31" s="2992"/>
      <c r="AX31" s="2992"/>
      <c r="AY31" s="2996"/>
      <c r="AZ31" s="2996"/>
      <c r="BA31" s="2002"/>
      <c r="BB31" s="2002"/>
      <c r="BC31" s="2599"/>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00" t="str">
        <f>IF(K31=0,"",VLOOKUP(K31,Tabla_ArmasyEscudos,9,FALSE))</f>
        <v/>
      </c>
      <c r="J32" s="3885"/>
      <c r="K32" s="1481" t="s">
        <v>1901</v>
      </c>
      <c r="L32" s="3886"/>
      <c r="M32" s="3886"/>
      <c r="N32" s="3865" t="s">
        <v>1905</v>
      </c>
      <c r="O32" s="3865">
        <f>IF(K31=0,HA_final,HA_final+VLOOKUP(I32,Tabla_ArmaDistinta,2)+O34-MIN(0,10*(FUE-VLOOKUP(K31,Tabla_ArmasyEscudos,4,FALSE)-IF(L32=0,0,VLOOKUP(L32,Tabla_ArmasEnormes,4,FALSE))))-IF(Tablas!$H$519&lt;0,IF(K31=Arma_Desarrollada,0,30),0))+SUMPRODUCT(--ISNUMBER(SEARCH(K31,ArmasAM)),ArmasAM_HA)</f>
        <v>0</v>
      </c>
      <c r="P32" s="3858">
        <f>IF(K31=0,MAX(HP_final,HE_final),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0</v>
      </c>
      <c r="Q32" s="3473"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59">
        <f>IF(K31=0,0,VLOOKUP(K31,Tabla_ArmasyEscudos,2,FALSE)*IF(L32=0,1,VLOOKUP(L32,Tabla_ArmasEnormes,5,FALSE))+Bono_Fue+2*O34+IF(DañoIncrementado,10,0)+IF(Extensióndelauraalarma,10,0)+Tablas!$K$2341)</f>
        <v>0</v>
      </c>
      <c r="S32" s="3866"/>
      <c r="T32" s="2552"/>
      <c r="U32" s="45"/>
      <c r="V32" s="45"/>
      <c r="W32" s="131"/>
      <c r="X32" s="3843" t="str">
        <f>IF(PDs!$AD57=0,"",PDs!$AD57)</f>
        <v/>
      </c>
      <c r="Y32" s="3843"/>
      <c r="Z32" s="3843"/>
      <c r="AA32" s="3843"/>
      <c r="AB32" s="3843"/>
      <c r="AC32" s="3843"/>
      <c r="AD32" s="3392" t="str">
        <f>IF(PDs!$V57=0,"",PDs!$V57)</f>
        <v/>
      </c>
      <c r="AE32" s="3392"/>
      <c r="AF32" s="3392"/>
      <c r="AG32" s="3392"/>
      <c r="AH32" s="3392"/>
      <c r="AI32" s="3392"/>
      <c r="AJ32" s="3392"/>
      <c r="AK32" s="3392"/>
      <c r="AL32" s="3392"/>
      <c r="AM32" s="247">
        <f>IF(X32="",0,VLOOKUP(X32,Tablas!$D$806:$G$895,4,FALSE))</f>
        <v>0</v>
      </c>
      <c r="AN32" s="2994"/>
      <c r="AO32" s="2990"/>
      <c r="AY32" s="2996"/>
      <c r="AZ32" s="2996"/>
      <c r="BA32" s="2002"/>
      <c r="BB32" s="2002"/>
      <c r="BC32" s="2599"/>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3" t="s">
        <v>1893</v>
      </c>
      <c r="J33" s="2742" t="s">
        <v>1894</v>
      </c>
      <c r="K33" s="2742" t="s">
        <v>1874</v>
      </c>
      <c r="L33" s="2742" t="s">
        <v>1895</v>
      </c>
      <c r="M33" s="2742" t="s">
        <v>1875</v>
      </c>
      <c r="N33" s="3865"/>
      <c r="O33" s="3865"/>
      <c r="P33" s="3858"/>
      <c r="Q33" s="3473"/>
      <c r="R33" s="3859"/>
      <c r="S33" s="3867"/>
      <c r="T33" s="2552"/>
      <c r="U33" s="45"/>
      <c r="V33" s="45"/>
      <c r="W33" s="131"/>
      <c r="X33" s="3843" t="str">
        <f>IF(PDs!$AD58=0,"",PDs!$AD58)</f>
        <v/>
      </c>
      <c r="Y33" s="3843"/>
      <c r="Z33" s="3843"/>
      <c r="AA33" s="3843"/>
      <c r="AB33" s="3843"/>
      <c r="AC33" s="3843"/>
      <c r="AD33" s="3392" t="str">
        <f>IF(PDs!$V58=0,"",PDs!$V58)</f>
        <v/>
      </c>
      <c r="AE33" s="3392"/>
      <c r="AF33" s="3392"/>
      <c r="AG33" s="3392"/>
      <c r="AH33" s="3392"/>
      <c r="AI33" s="3392"/>
      <c r="AJ33" s="3392"/>
      <c r="AK33" s="3392"/>
      <c r="AL33" s="3392"/>
      <c r="AM33" s="247">
        <f>IF(X33="",0,VLOOKUP(X33,Tablas!$D$806:$G$895,4,FALSE))</f>
        <v>0</v>
      </c>
      <c r="AN33" s="2994"/>
      <c r="AO33" s="2990"/>
      <c r="AP33" s="2992"/>
      <c r="AQ33" s="2992"/>
      <c r="AR33" s="2992"/>
      <c r="AS33" s="2996"/>
      <c r="AT33" s="2996"/>
      <c r="AU33" s="2996"/>
      <c r="AV33" s="2996"/>
      <c r="AW33" s="2996"/>
      <c r="AX33" s="2996"/>
      <c r="AY33" s="2996"/>
      <c r="AZ33" s="2996"/>
      <c r="BA33" s="2002"/>
      <c r="BB33" s="2002"/>
      <c r="BC33" s="2599"/>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32" t="str">
        <f>IF(K31=0,"",VLOOKUP(K31,Tabla_ArmasyEscudos,7,FALSE))</f>
        <v/>
      </c>
      <c r="K34" s="2932" t="str">
        <f>IF(K31=0,"",IF(Extensióndelauraalarma,10,0)+O34*2+VLOOKUP(K31,Tabla_ArmasyEscudos,10,FALSE)+IF(L32=0,0,VLOOKUP(L32,Tabla_ArmasEnormes,6,FALSE)))</f>
        <v/>
      </c>
      <c r="L34" s="2932" t="str">
        <f>IF(K31=0,"",IF(Extensióndelauraalarma,5,0)+O34*2/5+VLOOKUP(K31,Tabla_ArmasyEscudos,11,FALSE)+IF(L32=0,0,VLOOKUP(L32,Tabla_ArmasEnormes,7,FALSE))+IF(FUE=0,0,VLOOKUP(FUE,Tabla_Fuerza,2)))</f>
        <v/>
      </c>
      <c r="M34" s="612">
        <f>IF(K31=0,0,MAX(O34*10,0)+VLOOKUP(K31,Tabla_ArmasyEscudos,12,FALSE))</f>
        <v>0</v>
      </c>
      <c r="N34" s="164" t="s">
        <v>1903</v>
      </c>
      <c r="O34" s="115"/>
      <c r="P34" s="3881" t="str">
        <f>IF(L32=0,IF(O34=0,"","TA defensor:"),IF(Tamaño&lt;VLOOKUP(L32,Tabla_ArmasEnormes,2,FALSE),"Tam. excesivo",IF(O34=0,"","TA defensor:")))</f>
        <v/>
      </c>
      <c r="Q34" s="3881"/>
      <c r="R34" s="2204" t="str">
        <f>IF(P34="TA defensor:",O34/(-5),"")</f>
        <v/>
      </c>
      <c r="S34" s="2213"/>
      <c r="T34" s="2552"/>
      <c r="U34" s="45"/>
      <c r="V34" s="45"/>
      <c r="W34" s="131"/>
      <c r="X34" s="3843" t="str">
        <f>IF(PDs!$AD59=0,"",PDs!$AD59)</f>
        <v/>
      </c>
      <c r="Y34" s="3843"/>
      <c r="Z34" s="3843"/>
      <c r="AA34" s="3843"/>
      <c r="AB34" s="3843"/>
      <c r="AC34" s="3843"/>
      <c r="AD34" s="3392" t="str">
        <f>IF(PDs!$V59=0,"",PDs!$V59)</f>
        <v/>
      </c>
      <c r="AE34" s="3392"/>
      <c r="AF34" s="3392"/>
      <c r="AG34" s="3392"/>
      <c r="AH34" s="3392"/>
      <c r="AI34" s="3392"/>
      <c r="AJ34" s="3392"/>
      <c r="AK34" s="3392"/>
      <c r="AL34" s="3392"/>
      <c r="AM34" s="247">
        <f>IF(X34="",0,VLOOKUP(X34,Tablas!$D$806:$G$895,4,FALSE))</f>
        <v>0</v>
      </c>
      <c r="AN34" s="2994"/>
      <c r="AO34" s="2990"/>
      <c r="AP34" s="2996"/>
      <c r="AR34" s="2992"/>
      <c r="AS34" s="2992"/>
      <c r="AT34" s="2992"/>
      <c r="AU34" s="2992"/>
      <c r="AV34" s="2992"/>
      <c r="AW34" s="2992"/>
      <c r="AX34" s="2992"/>
      <c r="AZ34" s="2996"/>
      <c r="BA34" s="2002"/>
      <c r="BB34" s="2002"/>
      <c r="BC34" s="2599"/>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897" t="str">
        <f>IF(K31=0,"",VLOOKUP(K31,Tabla_ArmasyEscudos,19,FALSE))</f>
        <v/>
      </c>
      <c r="J35" s="3898"/>
      <c r="K35" s="3898"/>
      <c r="L35" s="3898"/>
      <c r="M35" s="3898"/>
      <c r="N35" s="3898"/>
      <c r="O35" s="3898"/>
      <c r="P35" s="3898"/>
      <c r="Q35" s="3898"/>
      <c r="R35" s="3899"/>
      <c r="S35" s="2768"/>
      <c r="T35" s="2552"/>
      <c r="U35" s="45"/>
      <c r="V35" s="45"/>
      <c r="W35" s="131"/>
      <c r="X35" s="3843" t="str">
        <f>IF(PDs!$AD60=0,"",PDs!$AD60)</f>
        <v/>
      </c>
      <c r="Y35" s="3843"/>
      <c r="Z35" s="3843"/>
      <c r="AA35" s="3843"/>
      <c r="AB35" s="3843"/>
      <c r="AC35" s="3843"/>
      <c r="AD35" s="3392" t="str">
        <f>IF(PDs!$V60=0,"",PDs!$V60)</f>
        <v/>
      </c>
      <c r="AE35" s="3392"/>
      <c r="AF35" s="3392"/>
      <c r="AG35" s="3392"/>
      <c r="AH35" s="3392"/>
      <c r="AI35" s="3392"/>
      <c r="AJ35" s="3392"/>
      <c r="AK35" s="3392"/>
      <c r="AL35" s="3392"/>
      <c r="AM35" s="247">
        <f>IF(X35="",0,VLOOKUP(X35,Tablas!$D$806:$G$895,4,FALSE))</f>
        <v>0</v>
      </c>
      <c r="AN35" s="2994"/>
      <c r="AO35" s="2990"/>
      <c r="AP35" s="2992"/>
      <c r="AR35" s="2992"/>
      <c r="AS35" s="2992"/>
      <c r="AT35" s="2992"/>
      <c r="AU35" s="2992"/>
      <c r="AV35" s="2992"/>
      <c r="AW35" s="2992"/>
      <c r="AX35" s="2992"/>
      <c r="AZ35" s="2996"/>
      <c r="BA35" s="2002"/>
      <c r="BB35" s="2002"/>
      <c r="BC35" s="2599"/>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2"/>
      <c r="U36" s="45"/>
      <c r="V36" s="45"/>
      <c r="W36" s="131"/>
      <c r="X36" s="3843" t="str">
        <f>IF(PDs!$AD61=0,"",PDs!$AD61)</f>
        <v/>
      </c>
      <c r="Y36" s="3843"/>
      <c r="Z36" s="3843"/>
      <c r="AA36" s="3843"/>
      <c r="AB36" s="3843"/>
      <c r="AC36" s="3843"/>
      <c r="AD36" s="3392" t="str">
        <f>IF(PDs!$V61=0,"",PDs!$V61)</f>
        <v/>
      </c>
      <c r="AE36" s="3392"/>
      <c r="AF36" s="3392"/>
      <c r="AG36" s="3392"/>
      <c r="AH36" s="3392"/>
      <c r="AI36" s="3392"/>
      <c r="AJ36" s="3392"/>
      <c r="AK36" s="3392"/>
      <c r="AL36" s="3392"/>
      <c r="AM36" s="247">
        <f>IF(X36="",0,VLOOKUP(X36,Tablas!$D$806:$G$895,4,FALSE))</f>
        <v>0</v>
      </c>
      <c r="AN36" s="2994"/>
      <c r="AO36" s="2990"/>
      <c r="AP36" s="2992"/>
      <c r="AR36" s="2992"/>
      <c r="AS36" s="2992"/>
      <c r="AT36" s="2992"/>
      <c r="AU36" s="2992"/>
      <c r="AV36" s="2992"/>
      <c r="AW36" s="2992"/>
      <c r="AX36" s="2992"/>
      <c r="AZ36" s="2996"/>
      <c r="BA36" s="2002"/>
      <c r="BB36" s="2002"/>
      <c r="BC36" s="2599"/>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475" t="s">
        <v>1728</v>
      </c>
      <c r="J37" s="3476"/>
      <c r="K37" s="3892"/>
      <c r="L37" s="3893"/>
      <c r="M37" s="3894"/>
      <c r="N37" s="2754" t="s">
        <v>1705</v>
      </c>
      <c r="O37" s="2754" t="s">
        <v>1889</v>
      </c>
      <c r="P37" s="3877" t="s">
        <v>1890</v>
      </c>
      <c r="Q37" s="3877"/>
      <c r="R37" s="2209" t="s">
        <v>1891</v>
      </c>
      <c r="S37" s="2192" t="s">
        <v>9024</v>
      </c>
      <c r="T37" s="2552"/>
      <c r="U37" s="45"/>
      <c r="V37" s="45"/>
      <c r="W37" s="131"/>
      <c r="X37" s="3884" t="str">
        <f>IF(PDs!$AD62=0,"",PDs!$AD62)</f>
        <v/>
      </c>
      <c r="Y37" s="3884"/>
      <c r="Z37" s="3884"/>
      <c r="AA37" s="3884"/>
      <c r="AB37" s="3884"/>
      <c r="AC37" s="3884"/>
      <c r="AD37" s="3392" t="str">
        <f>IF(PDs!$V62=0,"",PDs!$V62)</f>
        <v/>
      </c>
      <c r="AE37" s="3392"/>
      <c r="AF37" s="3392"/>
      <c r="AG37" s="3392"/>
      <c r="AH37" s="3392"/>
      <c r="AI37" s="3392"/>
      <c r="AJ37" s="3392"/>
      <c r="AK37" s="3392"/>
      <c r="AL37" s="3392"/>
      <c r="AM37" s="247">
        <f>IF(X37="",0,VLOOKUP(X37,Tablas!$D$806:$G$895,4,FALSE))</f>
        <v>0</v>
      </c>
      <c r="AN37" s="2994"/>
      <c r="AO37" s="2990"/>
      <c r="AP37" s="2996"/>
      <c r="AR37" s="3000"/>
      <c r="AS37" s="3000"/>
      <c r="AT37" s="3000"/>
      <c r="AU37" s="3000"/>
      <c r="AV37" s="3000"/>
      <c r="AW37" s="3000"/>
      <c r="AX37" s="3000"/>
      <c r="AZ37" s="2996"/>
      <c r="BA37" s="2002"/>
      <c r="BB37" s="2496"/>
      <c r="BC37" s="2604"/>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861" t="str">
        <f>IF(K37=0,"",VLOOKUP(K37,Tabla_ArmasyEscudos,9,FALSE))</f>
        <v/>
      </c>
      <c r="J38" s="3862"/>
      <c r="K38" s="2743" t="s">
        <v>1901</v>
      </c>
      <c r="L38" s="3906"/>
      <c r="M38" s="3906"/>
      <c r="N38" s="3907">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65">
        <f>IF(K37=0,HA_final,HA_final+VLOOKUP(I38,Tabla_ArmaDistinta,2)+O40-MIN(0,10*(FUE-VLOOKUP(K37,Tabla_ArmasyEscudos,4,FALSE)-IF(L38=0,0,VLOOKUP(L38,Tabla_ArmasEnormes,4,FALSE))))-IF(Tablas!$H$519&lt;0,IF(K37=Arma_Desarrollada,0,30),0))+SUMPRODUCT(--ISNUMBER(SEARCH(K37,ArmasAM)),ArmasAM_HA)</f>
        <v>0</v>
      </c>
      <c r="P38" s="3858">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0</v>
      </c>
      <c r="Q38" s="3473"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59">
        <f>IF(K37=0,0,VLOOKUP(K37,Tabla_ArmasyEscudos,2,FALSE)*IF(L38=0,1,VLOOKUP(L38,Tabla_ArmasEnormes,5,FALSE))+Bono_Fue+2*O40+IF(DañoIncrementado,10,0)+IF(Extensióndelauraalarma,10,0)+Tablas!$K$2341)</f>
        <v>0</v>
      </c>
      <c r="S38" s="3866"/>
      <c r="T38" s="2552"/>
      <c r="U38" s="45"/>
      <c r="V38" s="45"/>
      <c r="W38" s="131"/>
      <c r="X38" s="3884" t="str">
        <f>IF(PDs!$AD63=0,"",PDs!$AD63)</f>
        <v/>
      </c>
      <c r="Y38" s="3884"/>
      <c r="Z38" s="3884"/>
      <c r="AA38" s="3884"/>
      <c r="AB38" s="3884"/>
      <c r="AC38" s="3884"/>
      <c r="AD38" s="3390" t="str">
        <f>IF(PDs!$V63=0,"",PDs!$V63)</f>
        <v/>
      </c>
      <c r="AE38" s="3390"/>
      <c r="AF38" s="3390"/>
      <c r="AG38" s="3390"/>
      <c r="AH38" s="3390"/>
      <c r="AI38" s="3390"/>
      <c r="AJ38" s="3390"/>
      <c r="AK38" s="3390"/>
      <c r="AL38" s="3390"/>
      <c r="AM38" s="247">
        <f>IF(X38="",0,VLOOKUP(X38,Tablas!$D$806:$G$895,4,FALSE))</f>
        <v>0</v>
      </c>
      <c r="AN38" s="2994"/>
      <c r="AO38" s="2990"/>
      <c r="AP38" s="2992"/>
      <c r="AQ38" s="2992"/>
      <c r="AR38" s="2992"/>
      <c r="AS38" s="2996"/>
      <c r="AT38" s="2996"/>
      <c r="AU38" s="2996"/>
      <c r="AV38" s="2996"/>
      <c r="AW38" s="2996"/>
      <c r="AX38" s="2996"/>
      <c r="AY38" s="2996"/>
      <c r="AZ38" s="2996"/>
      <c r="BA38" s="2002"/>
      <c r="BB38" s="2999"/>
      <c r="BC38" s="2604"/>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30" t="s">
        <v>1893</v>
      </c>
      <c r="J39" s="2931" t="s">
        <v>1894</v>
      </c>
      <c r="K39" s="2931" t="s">
        <v>1874</v>
      </c>
      <c r="L39" s="2931" t="s">
        <v>1895</v>
      </c>
      <c r="M39" s="610" t="s">
        <v>1875</v>
      </c>
      <c r="N39" s="3473"/>
      <c r="O39" s="3865"/>
      <c r="P39" s="3858"/>
      <c r="Q39" s="3473"/>
      <c r="R39" s="3859"/>
      <c r="S39" s="3867"/>
      <c r="T39" s="2552"/>
      <c r="U39" s="45"/>
      <c r="V39" s="45"/>
      <c r="W39" s="131"/>
      <c r="X39" s="3884" t="str">
        <f>IF(PDs!$AD64=0,"",PDs!$AD64)</f>
        <v/>
      </c>
      <c r="Y39" s="3884"/>
      <c r="Z39" s="3884"/>
      <c r="AA39" s="3884"/>
      <c r="AB39" s="3884"/>
      <c r="AC39" s="3884"/>
      <c r="AD39" s="3392" t="str">
        <f>IF(PDs!$V64=0,"",PDs!$V64)</f>
        <v/>
      </c>
      <c r="AE39" s="3392"/>
      <c r="AF39" s="3392"/>
      <c r="AG39" s="3392"/>
      <c r="AH39" s="3392"/>
      <c r="AI39" s="3392"/>
      <c r="AJ39" s="3392"/>
      <c r="AK39" s="3392"/>
      <c r="AL39" s="3392"/>
      <c r="AM39" s="247">
        <f>IF(X39="",0,VLOOKUP(X39,Tablas!$D$806:$G$895,4,FALSE))</f>
        <v>0</v>
      </c>
      <c r="AN39" s="2994"/>
      <c r="AO39" s="2990"/>
      <c r="AP39" s="2992"/>
      <c r="AQ39" s="2992"/>
      <c r="AR39" s="2992"/>
      <c r="AS39" s="2996"/>
      <c r="AT39" s="2996"/>
      <c r="AU39" s="2996"/>
      <c r="AV39" s="2996"/>
      <c r="AW39" s="2996"/>
      <c r="AX39" s="2996"/>
      <c r="AY39" s="2996"/>
      <c r="AZ39" s="2996"/>
      <c r="BA39" s="2496"/>
      <c r="BB39" s="2496"/>
      <c r="BC39" s="2602"/>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32" t="str">
        <f>IF(K37=0,"",VLOOKUP(K37,Tabla_ArmasyEscudos,7,FALSE))</f>
        <v/>
      </c>
      <c r="K40" s="2932" t="str">
        <f>IF(K37=0,"",IF(Extensióndelauraalarma,10,0)+O40*2+VLOOKUP(K37,Tabla_ArmasyEscudos,10,FALSE)+IF(L38=0,0,VLOOKUP(L38,Tabla_ArmasEnormes,6,FALSE)))</f>
        <v/>
      </c>
      <c r="L40" s="2932" t="str">
        <f>IF(K37=0,"",IF(Extensióndelauraalarma,5,0)+O40*2/5+VLOOKUP(K37,Tabla_ArmasyEscudos,11,FALSE)+IF(L38=0,0,VLOOKUP(L38,Tabla_ArmasEnormes,7,FALSE))+IF(FUE=0,0,VLOOKUP(FUE,Tabla_Fuerza,2)))</f>
        <v/>
      </c>
      <c r="M40" s="612">
        <f>IF(K37=0,0,MAX(O40*10,0)+VLOOKUP(K37,Tabla_ArmasyEscudos,12,FALSE))</f>
        <v>0</v>
      </c>
      <c r="N40" s="608" t="s">
        <v>1903</v>
      </c>
      <c r="O40" s="113"/>
      <c r="P40" s="3881" t="str">
        <f>IF(L38=0,IF(O40=0,"","TA defensor:"),IF(Tamaño&lt;VLOOKUP(L38,Tabla_ArmasEnormes,2,FALSE),"Tam. excesivo",IF(O40=0,"","TA defensor:")))</f>
        <v/>
      </c>
      <c r="Q40" s="3881"/>
      <c r="R40" s="2204" t="str">
        <f>IF(P40="TA defensor:",O40/(-5),"")</f>
        <v/>
      </c>
      <c r="S40" s="2213"/>
      <c r="T40" s="2552"/>
      <c r="U40" s="45"/>
      <c r="V40" s="45"/>
      <c r="W40" s="131"/>
      <c r="X40" s="3884" t="str">
        <f>IF(PDs!$AD65=0,"",PDs!$AD65)</f>
        <v/>
      </c>
      <c r="Y40" s="3884"/>
      <c r="Z40" s="3884"/>
      <c r="AA40" s="3884"/>
      <c r="AB40" s="3884"/>
      <c r="AC40" s="3884"/>
      <c r="AD40" s="3379" t="str">
        <f>IF(PDs!$V65=0,"",PDs!$V65)</f>
        <v/>
      </c>
      <c r="AE40" s="3379"/>
      <c r="AF40" s="3379"/>
      <c r="AG40" s="3379"/>
      <c r="AH40" s="3379"/>
      <c r="AI40" s="3379"/>
      <c r="AJ40" s="3379"/>
      <c r="AK40" s="3379"/>
      <c r="AL40" s="3379"/>
      <c r="AM40" s="74">
        <f>IF(X40="",0,VLOOKUP(X40,Tablas!$D$806:$G$895,4,FALSE))</f>
        <v>0</v>
      </c>
      <c r="AN40" s="2994"/>
      <c r="AO40" s="2990"/>
      <c r="AQ40" s="2992"/>
      <c r="AR40" s="2992"/>
      <c r="AS40" s="2996"/>
      <c r="AT40" s="2996"/>
      <c r="AU40" s="2996"/>
      <c r="AV40" s="2996"/>
      <c r="AW40" s="2996"/>
      <c r="AX40" s="2996"/>
      <c r="AY40" s="2996"/>
      <c r="AZ40" s="2996"/>
      <c r="BA40" s="2496"/>
      <c r="BB40" s="2496"/>
      <c r="BC40" s="2602"/>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895" t="str">
        <f>IF(K37=0,"",VLOOKUP(K37,Tabla_ArmasyEscudos,19,FALSE))</f>
        <v/>
      </c>
      <c r="J41" s="3896"/>
      <c r="K41" s="3896"/>
      <c r="L41" s="3896"/>
      <c r="M41" s="3896"/>
      <c r="N41" s="3869"/>
      <c r="O41" s="3869"/>
      <c r="P41" s="3869"/>
      <c r="Q41" s="3869"/>
      <c r="R41" s="3870"/>
      <c r="S41" s="2768"/>
      <c r="T41" s="2552"/>
      <c r="U41" s="45"/>
      <c r="V41" s="45"/>
      <c r="W41" s="131"/>
      <c r="X41" s="3884" t="str">
        <f>IF(PDs!$AD66=0,"",PDs!$AD66)</f>
        <v/>
      </c>
      <c r="Y41" s="3884"/>
      <c r="Z41" s="3884"/>
      <c r="AA41" s="3884"/>
      <c r="AB41" s="3884"/>
      <c r="AC41" s="3884"/>
      <c r="AD41" s="3379" t="str">
        <f>IF(PDs!$V66=0,"",PDs!$V66)</f>
        <v/>
      </c>
      <c r="AE41" s="3379"/>
      <c r="AF41" s="3379"/>
      <c r="AG41" s="3379"/>
      <c r="AH41" s="3379"/>
      <c r="AI41" s="3379"/>
      <c r="AJ41" s="3379"/>
      <c r="AK41" s="3379"/>
      <c r="AL41" s="3379"/>
      <c r="AM41" s="74">
        <f>IF(X41="",0,VLOOKUP(X41,Tablas!$D$806:$G$895,4,FALSE))</f>
        <v>0</v>
      </c>
      <c r="AN41" s="2994"/>
      <c r="AO41" s="2990"/>
      <c r="AQ41" s="2992"/>
      <c r="AR41" s="2992"/>
      <c r="AS41" s="2996"/>
      <c r="AT41" s="2996"/>
      <c r="AU41" s="2996"/>
      <c r="AV41" s="2996"/>
      <c r="AW41" s="2996"/>
      <c r="AX41" s="2996"/>
      <c r="AY41" s="2996"/>
      <c r="AZ41" s="2996"/>
      <c r="BA41" s="2496"/>
      <c r="BB41" s="2496"/>
      <c r="BC41" s="2600"/>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03" t="s">
        <v>1904</v>
      </c>
      <c r="J42" s="3169"/>
      <c r="K42" s="3888"/>
      <c r="L42" s="3904"/>
      <c r="M42" s="3905"/>
      <c r="N42" s="2753" t="s">
        <v>1705</v>
      </c>
      <c r="O42" s="2753" t="s">
        <v>1889</v>
      </c>
      <c r="P42" s="3891" t="s">
        <v>1890</v>
      </c>
      <c r="Q42" s="3891"/>
      <c r="R42" s="2202" t="s">
        <v>1891</v>
      </c>
      <c r="S42" s="2205" t="s">
        <v>9024</v>
      </c>
      <c r="T42" s="2552"/>
      <c r="U42" s="45"/>
      <c r="V42" s="45"/>
      <c r="W42" s="131"/>
      <c r="X42" s="3884" t="str">
        <f>IF(PDs!$AD67=0,"",PDs!$AD67)</f>
        <v/>
      </c>
      <c r="Y42" s="3884"/>
      <c r="Z42" s="3884"/>
      <c r="AA42" s="3884"/>
      <c r="AB42" s="3884"/>
      <c r="AC42" s="3884"/>
      <c r="AD42" s="3379" t="str">
        <f>IF(PDs!$V67=0,"",PDs!$V67)</f>
        <v/>
      </c>
      <c r="AE42" s="3379"/>
      <c r="AF42" s="3379"/>
      <c r="AG42" s="3379"/>
      <c r="AH42" s="3379"/>
      <c r="AI42" s="3379"/>
      <c r="AJ42" s="3379"/>
      <c r="AK42" s="3379"/>
      <c r="AL42" s="3379"/>
      <c r="AM42" s="74">
        <f>IF(X42="",0,VLOOKUP(X42,Tablas!$D$806:$G$895,4,FALSE))</f>
        <v>0</v>
      </c>
      <c r="AN42" s="2994"/>
      <c r="AO42" s="2990"/>
      <c r="AQ42" s="2992"/>
      <c r="AR42" s="2992"/>
      <c r="AS42" s="2996"/>
      <c r="AT42" s="2996"/>
      <c r="AU42" s="2996"/>
      <c r="AV42" s="2996"/>
      <c r="AW42" s="2996"/>
      <c r="AX42" s="2996"/>
      <c r="AY42" s="2996"/>
      <c r="AZ42" s="2996"/>
      <c r="BA42" s="2002"/>
      <c r="BB42" s="2002"/>
      <c r="BC42" s="2599"/>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00" t="str">
        <f>IF(K42=0,"",VLOOKUP(K42,Tabla_ArmasyEscudos,9,FALSE))</f>
        <v/>
      </c>
      <c r="J43" s="3885"/>
      <c r="K43" s="1481" t="s">
        <v>1901</v>
      </c>
      <c r="L43" s="3901"/>
      <c r="M43" s="3902"/>
      <c r="N43" s="3473" t="s">
        <v>1905</v>
      </c>
      <c r="O43" s="3865">
        <f>IF(K42=0,HA_final,HA_final+VLOOKUP(I43,Tabla_ArmaDistinta,2)+O45-MIN(0,10*(FUE-VLOOKUP(K42,Tabla_ArmasyEscudos,4,FALSE)-IF(L43=0,0,VLOOKUP(L43,Tabla_ArmasEnormes,4,FALSE))))-IF(Tablas!$H$519&lt;0,IF(K42=Arma_Desarrollada,0,30),0))+SUMPRODUCT(--ISNUMBER(SEARCH(K42,ArmasAM)),ArmasAM_HA)</f>
        <v>0</v>
      </c>
      <c r="P43" s="3858">
        <f>IF(K42=0,MAX(HP_final,HE_final),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0</v>
      </c>
      <c r="Q43" s="3473"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59">
        <f>IF(K42=0,0,VLOOKUP(K42,Tabla_ArmasyEscudos,2,FALSE)*IF(L43=0,1,VLOOKUP(L43,Tabla_ArmasEnormes,5,FALSE))+Bono_Fue+2*O45+IF(DañoIncrementado,10,0)+IF(Extensióndelauraalarma,10,0)+Tablas!$K$2341)</f>
        <v>0</v>
      </c>
      <c r="S43" s="3866"/>
      <c r="T43" s="2552"/>
      <c r="U43" s="45"/>
      <c r="V43" s="45"/>
      <c r="W43" s="131"/>
      <c r="X43" s="3884" t="str">
        <f>IF(PDs!$AD68=0,"",PDs!$AD68)</f>
        <v/>
      </c>
      <c r="Y43" s="3884"/>
      <c r="Z43" s="3884"/>
      <c r="AA43" s="3884"/>
      <c r="AB43" s="3884"/>
      <c r="AC43" s="3884"/>
      <c r="AD43" s="3379" t="str">
        <f>IF(PDs!$V68=0,"",PDs!$V68)</f>
        <v/>
      </c>
      <c r="AE43" s="3379"/>
      <c r="AF43" s="3379"/>
      <c r="AG43" s="3379"/>
      <c r="AH43" s="3379"/>
      <c r="AI43" s="3379"/>
      <c r="AJ43" s="3379"/>
      <c r="AK43" s="3379"/>
      <c r="AL43" s="3379"/>
      <c r="AM43" s="74">
        <f>IF(X43="",0,VLOOKUP(X43,Tablas!$D$806:$G$895,4,FALSE))</f>
        <v>0</v>
      </c>
      <c r="AN43" s="2994"/>
      <c r="AO43" s="2990"/>
      <c r="AQ43" s="2992"/>
      <c r="AR43" s="2992"/>
      <c r="AS43" s="2996"/>
      <c r="AT43" s="2996"/>
      <c r="AU43" s="2996"/>
      <c r="AV43" s="2996"/>
      <c r="AW43" s="2996"/>
      <c r="AX43" s="2996"/>
      <c r="AY43" s="2996"/>
      <c r="AZ43" s="2996"/>
      <c r="BA43" s="2002"/>
      <c r="BB43" s="2002"/>
      <c r="BC43" s="2599"/>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3" t="s">
        <v>1893</v>
      </c>
      <c r="J44" s="2742" t="s">
        <v>1894</v>
      </c>
      <c r="K44" s="2742" t="s">
        <v>1874</v>
      </c>
      <c r="L44" s="2742" t="s">
        <v>1895</v>
      </c>
      <c r="M44" s="2742" t="s">
        <v>1875</v>
      </c>
      <c r="N44" s="3865"/>
      <c r="O44" s="3865"/>
      <c r="P44" s="3858"/>
      <c r="Q44" s="3473"/>
      <c r="R44" s="3859"/>
      <c r="S44" s="3867"/>
      <c r="T44" s="2552"/>
      <c r="U44" s="45"/>
      <c r="V44" s="45"/>
      <c r="W44" s="131"/>
      <c r="X44" s="3884" t="str">
        <f>IF(PDs!$AD69=0,"",PDs!$AD69)</f>
        <v/>
      </c>
      <c r="Y44" s="3884"/>
      <c r="Z44" s="3884"/>
      <c r="AA44" s="3884"/>
      <c r="AB44" s="3884"/>
      <c r="AC44" s="3884"/>
      <c r="AD44" s="3379" t="str">
        <f>IF(PDs!$V69=0,"",PDs!$V69)</f>
        <v/>
      </c>
      <c r="AE44" s="3379"/>
      <c r="AF44" s="3379"/>
      <c r="AG44" s="3379"/>
      <c r="AH44" s="3379"/>
      <c r="AI44" s="3379"/>
      <c r="AJ44" s="3379"/>
      <c r="AK44" s="3379"/>
      <c r="AL44" s="3379"/>
      <c r="AM44" s="74">
        <f>IF(X44="",0,VLOOKUP(X44,Tablas!$D$806:$G$895,4,FALSE))</f>
        <v>0</v>
      </c>
      <c r="AN44" s="2994"/>
      <c r="AO44" s="2990"/>
      <c r="AQ44" s="2992"/>
      <c r="AR44" s="2992"/>
      <c r="AS44" s="2996"/>
      <c r="AT44" s="2996"/>
      <c r="AU44" s="2996"/>
      <c r="AV44" s="2996"/>
      <c r="AW44" s="2996"/>
      <c r="AX44" s="2996"/>
      <c r="AY44" s="2996"/>
      <c r="AZ44" s="2996"/>
      <c r="BA44" s="2002"/>
      <c r="BB44" s="2002"/>
      <c r="BC44" s="2599"/>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5" t="str">
        <f>IF(S43="Si","ENE",IF(K42=0,"",VLOOKUP(K42,Tabla_ArmasyEscudos,6,FALSE)))</f>
        <v/>
      </c>
      <c r="J45" s="2735" t="str">
        <f>IF(K42=0,"",VLOOKUP(K42,Tabla_ArmasyEscudos,7,FALSE))</f>
        <v/>
      </c>
      <c r="K45" s="2735" t="str">
        <f>IF(K42=0,"",IF(Extensióndelauraalarma,10,0)+O45*2+VLOOKUP(K42,Tabla_ArmasyEscudos,10,FALSE)+IF(L43=0,0,VLOOKUP(L43,Tabla_ArmasEnormes,6,FALSE)))</f>
        <v/>
      </c>
      <c r="L45" s="2735" t="str">
        <f>IF(K42=0,"",IF(Extensióndelauraalarma,5,0)+O45*2/5+VLOOKUP(K42,Tabla_ArmasyEscudos,11,FALSE)+IF(L43=0,0,VLOOKUP(L43,Tabla_ArmasEnormes,7,FALSE))+IF(FUE=0,0,VLOOKUP(FUE,Tabla_Fuerza,2)))</f>
        <v/>
      </c>
      <c r="M45" s="2735">
        <f>IF(K42=0,0,MAX(O45*10,0)+VLOOKUP(K42,Tabla_ArmasyEscudos,12,FALSE))</f>
        <v>0</v>
      </c>
      <c r="N45" s="164" t="s">
        <v>1903</v>
      </c>
      <c r="O45" s="115"/>
      <c r="P45" s="3881" t="str">
        <f>IF(L43=0,IF(O45=0,"","TA defensor:"),IF(Tamaño&lt;VLOOKUP(L43,Tabla_ArmasEnormes,2,FALSE),"Tam. excesivo",IF(O45=0,"","TA defensor:")))</f>
        <v/>
      </c>
      <c r="Q45" s="3881"/>
      <c r="R45" s="2204" t="str">
        <f>IF(P45="TA defensor:",O45/(-5),"")</f>
        <v/>
      </c>
      <c r="S45" s="2211"/>
      <c r="T45" s="2552"/>
      <c r="U45" s="45"/>
      <c r="V45" s="45"/>
      <c r="W45" s="131"/>
      <c r="X45" s="3884" t="str">
        <f>IF(PDs!$AD70=0,"",PDs!$AD70)</f>
        <v/>
      </c>
      <c r="Y45" s="3884"/>
      <c r="Z45" s="3884"/>
      <c r="AA45" s="3884"/>
      <c r="AB45" s="3884"/>
      <c r="AC45" s="3884"/>
      <c r="AD45" s="3379" t="str">
        <f>IF(PDs!$V70=0,"",PDs!$V70)</f>
        <v/>
      </c>
      <c r="AE45" s="3379"/>
      <c r="AF45" s="3379"/>
      <c r="AG45" s="3379"/>
      <c r="AH45" s="3379"/>
      <c r="AI45" s="3379"/>
      <c r="AJ45" s="3379"/>
      <c r="AK45" s="3379"/>
      <c r="AL45" s="3379"/>
      <c r="AM45" s="74">
        <f>IF(X45="",0,VLOOKUP(X45,Tablas!$D$806:$G$895,4,FALSE))</f>
        <v>0</v>
      </c>
      <c r="AN45" s="2994"/>
      <c r="AO45" s="2990"/>
      <c r="AQ45" s="2992"/>
      <c r="AR45" s="2992"/>
      <c r="AS45" s="2996"/>
      <c r="AT45" s="2996"/>
      <c r="AU45" s="2996"/>
      <c r="AV45" s="2996"/>
      <c r="AW45" s="2996"/>
      <c r="AX45" s="2996"/>
      <c r="AY45" s="2996"/>
      <c r="AZ45" s="2996"/>
      <c r="BA45" s="2002"/>
      <c r="BB45" s="2002"/>
      <c r="BC45" s="2599"/>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897" t="str">
        <f>IF(K42=0,"",VLOOKUP(K42,Tabla_ArmasyEscudos,19,FALSE))</f>
        <v/>
      </c>
      <c r="J46" s="3898"/>
      <c r="K46" s="3898"/>
      <c r="L46" s="3898"/>
      <c r="M46" s="3898"/>
      <c r="N46" s="3898"/>
      <c r="O46" s="3898"/>
      <c r="P46" s="3898"/>
      <c r="Q46" s="3898"/>
      <c r="R46" s="3899"/>
      <c r="S46" s="2768"/>
      <c r="T46" s="2552"/>
      <c r="U46" s="45"/>
      <c r="V46" s="45"/>
      <c r="W46" s="131"/>
      <c r="X46" s="3884" t="str">
        <f>IF(PDs!$AD71=0,"",PDs!$AD71)</f>
        <v/>
      </c>
      <c r="Y46" s="3884"/>
      <c r="Z46" s="3884"/>
      <c r="AA46" s="3884"/>
      <c r="AB46" s="3884"/>
      <c r="AC46" s="3884"/>
      <c r="AD46" s="3392" t="str">
        <f>IF(PDs!$V71=0,"",PDs!$V71)</f>
        <v/>
      </c>
      <c r="AE46" s="3392"/>
      <c r="AF46" s="3392"/>
      <c r="AG46" s="3392"/>
      <c r="AH46" s="3392"/>
      <c r="AI46" s="3392"/>
      <c r="AJ46" s="3392"/>
      <c r="AK46" s="3392"/>
      <c r="AL46" s="3392"/>
      <c r="AM46" s="247">
        <f>IF(X46="",0,VLOOKUP(X46,Tablas!$D$806:$G$895,4,FALSE))</f>
        <v>0</v>
      </c>
      <c r="AN46" s="2994"/>
      <c r="AO46" s="2990"/>
      <c r="AQ46" s="2992"/>
      <c r="AR46" s="2992"/>
      <c r="AS46" s="2996"/>
      <c r="AT46" s="2996"/>
      <c r="AU46" s="2996"/>
      <c r="AV46" s="2996"/>
      <c r="AW46" s="2996"/>
      <c r="AX46" s="2996"/>
      <c r="AY46" s="2996"/>
      <c r="AZ46" s="2996"/>
      <c r="BA46" s="2002"/>
      <c r="BB46" s="2002"/>
      <c r="BC46" s="2599"/>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4"/>
      <c r="T47" s="2552"/>
      <c r="U47" s="45"/>
      <c r="V47" s="45"/>
      <c r="W47" s="131"/>
      <c r="X47" s="3884" t="str">
        <f>IF(PDs!$AD72=0,"",PDs!$AD72)</f>
        <v/>
      </c>
      <c r="Y47" s="3884"/>
      <c r="Z47" s="3884"/>
      <c r="AA47" s="3884"/>
      <c r="AB47" s="3884"/>
      <c r="AC47" s="3884"/>
      <c r="AD47" s="3392" t="str">
        <f>IF(PDs!$V72=0,"",PDs!$V72)</f>
        <v/>
      </c>
      <c r="AE47" s="3392"/>
      <c r="AF47" s="3392"/>
      <c r="AG47" s="3392"/>
      <c r="AH47" s="3392"/>
      <c r="AI47" s="3392"/>
      <c r="AJ47" s="3392"/>
      <c r="AK47" s="3392"/>
      <c r="AL47" s="3392"/>
      <c r="AM47" s="247">
        <f>IF(X47="",0,VLOOKUP(X47,Tablas!$D$806:$G$895,4,FALSE))</f>
        <v>0</v>
      </c>
      <c r="AN47" s="2994"/>
      <c r="AO47" s="2990"/>
      <c r="AQ47" s="2992"/>
      <c r="AR47" s="2992"/>
      <c r="AS47" s="2996"/>
      <c r="AT47" s="2996"/>
      <c r="AU47" s="2996"/>
      <c r="AV47" s="2996"/>
      <c r="AW47" s="2996"/>
      <c r="AX47" s="2996"/>
      <c r="AY47" s="2996"/>
      <c r="AZ47" s="2996"/>
      <c r="BA47" s="2002"/>
      <c r="BB47" s="2002"/>
      <c r="BC47" s="2599"/>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69" t="s">
        <v>1906</v>
      </c>
      <c r="J48" s="3169"/>
      <c r="K48" s="3888"/>
      <c r="L48" s="3889"/>
      <c r="M48" s="3890"/>
      <c r="N48" s="232" t="s">
        <v>1705</v>
      </c>
      <c r="O48" s="232" t="s">
        <v>1889</v>
      </c>
      <c r="P48" s="3891" t="s">
        <v>1890</v>
      </c>
      <c r="Q48" s="3891"/>
      <c r="R48" s="2206" t="s">
        <v>1891</v>
      </c>
      <c r="S48" s="2200" t="s">
        <v>9024</v>
      </c>
      <c r="T48" s="2552"/>
      <c r="U48" s="45"/>
      <c r="V48" s="45"/>
      <c r="W48" s="131"/>
      <c r="X48" s="3884" t="str">
        <f>IF(PDs!$AD73=0,"",PDs!$AD73)</f>
        <v/>
      </c>
      <c r="Y48" s="3884"/>
      <c r="Z48" s="3884"/>
      <c r="AA48" s="3884"/>
      <c r="AB48" s="3884"/>
      <c r="AC48" s="3884"/>
      <c r="AD48" s="3392" t="str">
        <f>IF(PDs!$V73=0,"",PDs!$V73)</f>
        <v/>
      </c>
      <c r="AE48" s="3392"/>
      <c r="AF48" s="3392"/>
      <c r="AG48" s="3392"/>
      <c r="AH48" s="3392"/>
      <c r="AI48" s="3392"/>
      <c r="AJ48" s="3392"/>
      <c r="AK48" s="3392"/>
      <c r="AL48" s="3392"/>
      <c r="AM48" s="247">
        <f>IF(X48="",0,VLOOKUP(X48,Tablas!$D$806:$G$895,4,FALSE))</f>
        <v>0</v>
      </c>
      <c r="AN48" s="2994"/>
      <c r="AO48" s="2990"/>
      <c r="AQ48" s="2992"/>
      <c r="AR48" s="2992"/>
      <c r="AS48" s="2996"/>
      <c r="AT48" s="2996"/>
      <c r="AU48" s="2996"/>
      <c r="AV48" s="2996"/>
      <c r="AW48" s="2996"/>
      <c r="AX48" s="2996"/>
      <c r="AY48" s="2996"/>
      <c r="AZ48" s="2996"/>
      <c r="BA48" s="2002"/>
      <c r="BB48" s="2002"/>
      <c r="BC48" s="2599"/>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885" t="str">
        <f>IF(K48=0,"",VLOOKUP(K48,Tabla_ArmasyEscudos,9,FALSE))</f>
        <v/>
      </c>
      <c r="J49" s="3885"/>
      <c r="K49" s="1481" t="s">
        <v>1901</v>
      </c>
      <c r="L49" s="3886"/>
      <c r="M49" s="3887"/>
      <c r="N49" s="3864">
        <f>IF(K48=0,0,Turno_Nat_final-20+O51+VLOOKUP(K48,Tabla_ArmasyEscudos,3,FALSE)+IF(L49=0,0,IF(Tamaño&lt;VLOOKUP(L49,Tabla_ArmasEnormes,2,FALSE),-40,0)))</f>
        <v>0</v>
      </c>
      <c r="O49" s="3865">
        <f>IF(K48=0,HA_final,HA_final+VLOOKUP(I49,Tabla_ArmaDistinta,2)+O51-MIN(0,10*(FUE-VLOOKUP(K48,Tabla_ArmasyEscudos,4,FALSE)-IF(L49=0,0,VLOOKUP(L49,Tabla_ArmasEnormes,4,FALSE))))-IF(Tablas!$H$519&lt;0,IF(K48=Arma_Desarrollada,0,30),0))+SUMPRODUCT(--ISNUMBER(SEARCH(K48,ArmasAM)),ArmasAM_HA)</f>
        <v>0</v>
      </c>
      <c r="P49" s="3858">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0</v>
      </c>
      <c r="Q49" s="3473"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59">
        <f>IF(K48=0,0,VLOOKUP(K48,Tabla_ArmasyEscudos,2,FALSE)*IF(L49=0,1,VLOOKUP(L49,Tabla_ArmasEnormes,5,FALSE))+2*Bono_Fue+2*O51+IF(DañoIncrementado,10,0)+IF(Extensióndelauraalarma,10,0)+Tablas!$K$2341)</f>
        <v>0</v>
      </c>
      <c r="S49" s="3866"/>
      <c r="T49" s="2552"/>
      <c r="U49" s="45"/>
      <c r="V49" s="45"/>
      <c r="W49" s="131"/>
      <c r="X49" s="3884" t="str">
        <f>IF(PDs!$AD74=0,"",PDs!$AD74)</f>
        <v/>
      </c>
      <c r="Y49" s="3884"/>
      <c r="Z49" s="3884"/>
      <c r="AA49" s="3884"/>
      <c r="AB49" s="3884"/>
      <c r="AC49" s="3884"/>
      <c r="AD49" s="3392" t="str">
        <f>IF(PDs!$V74=0,"",PDs!$V74)</f>
        <v/>
      </c>
      <c r="AE49" s="3392"/>
      <c r="AF49" s="3392"/>
      <c r="AG49" s="3392"/>
      <c r="AH49" s="3392"/>
      <c r="AI49" s="3392"/>
      <c r="AJ49" s="3392"/>
      <c r="AK49" s="3392"/>
      <c r="AL49" s="3392"/>
      <c r="AM49" s="247">
        <f>IF(X49="",0,VLOOKUP(X49,Tablas!$D$806:$G$895,4,FALSE))</f>
        <v>0</v>
      </c>
      <c r="AN49" s="2994"/>
      <c r="AO49" s="2990"/>
      <c r="AQ49" s="2992"/>
      <c r="AR49" s="2992"/>
      <c r="AS49" s="2996"/>
      <c r="AT49" s="2996"/>
      <c r="AU49" s="2996"/>
      <c r="AV49" s="2996"/>
      <c r="AW49" s="2996"/>
      <c r="AX49" s="2996"/>
      <c r="AY49" s="2996"/>
      <c r="AZ49" s="2996"/>
      <c r="BA49" s="2002"/>
      <c r="BB49" s="2002"/>
      <c r="BC49" s="2599"/>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3" t="s">
        <v>1893</v>
      </c>
      <c r="J50" s="2622" t="s">
        <v>1894</v>
      </c>
      <c r="K50" s="2622" t="s">
        <v>1874</v>
      </c>
      <c r="L50" s="2622" t="s">
        <v>1895</v>
      </c>
      <c r="M50" s="2622" t="s">
        <v>1875</v>
      </c>
      <c r="N50" s="3864"/>
      <c r="O50" s="3865"/>
      <c r="P50" s="3858"/>
      <c r="Q50" s="3473"/>
      <c r="R50" s="3859"/>
      <c r="S50" s="3867"/>
      <c r="T50" s="2552"/>
      <c r="U50" s="45"/>
      <c r="V50" s="45"/>
      <c r="W50" s="131"/>
      <c r="X50" s="3879" t="str">
        <f>IF(PDs!$E75=0,"",PDs!$E75)</f>
        <v/>
      </c>
      <c r="Y50" s="3879"/>
      <c r="Z50" s="3879"/>
      <c r="AA50" s="3879"/>
      <c r="AB50" s="3879"/>
      <c r="AC50" s="3879"/>
      <c r="AD50" s="3880" t="str">
        <f>IF($X50="","",IF(PDs!$V75="FALTAN REQUISITOS",PDs!$V75,VLOOKUP(X50,Tabla_AM_Armas,5,FALSE)))</f>
        <v/>
      </c>
      <c r="AE50" s="3880"/>
      <c r="AF50" s="3880"/>
      <c r="AG50" s="3880"/>
      <c r="AH50" s="3880"/>
      <c r="AI50" s="3880"/>
      <c r="AJ50" s="3880"/>
      <c r="AK50" s="3880"/>
      <c r="AL50" s="3880"/>
      <c r="AM50" s="3880"/>
      <c r="AN50" s="2994"/>
      <c r="AO50" s="2990"/>
      <c r="AQ50" s="2992"/>
      <c r="AR50" s="2992"/>
      <c r="AS50" s="2996"/>
      <c r="AT50" s="2996"/>
      <c r="AU50" s="2996"/>
      <c r="AV50" s="2996"/>
      <c r="AW50" s="2996"/>
      <c r="AX50" s="2996"/>
      <c r="AY50" s="2996"/>
      <c r="AZ50" s="2996"/>
      <c r="BA50" s="2002"/>
      <c r="BB50" s="2002"/>
      <c r="BC50" s="2599"/>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1" t="str">
        <f>IF(K48=0,"",VLOOKUP(K48,Tabla_ArmasyEscudos,7,FALSE))</f>
        <v/>
      </c>
      <c r="K51" s="2621" t="str">
        <f>IF(K48=0,"",IF(Extensióndelauraalarma,10,0)+O51*2+VLOOKUP(K48,Tabla_ArmasyEscudos,10,FALSE)+IF(L49=0,0,VLOOKUP(L49,Tabla_ArmasEnormes,6,FALSE)))</f>
        <v/>
      </c>
      <c r="L51" s="2621" t="str">
        <f>IF(K48=0,"",IF(Extensióndelauraalarma,5,0)+O51*2/5+VLOOKUP(K48,Tabla_ArmasyEscudos,11,FALSE)+IF(L49=0,0,VLOOKUP(L49,Tabla_ArmasEnormes,7,FALSE))+IF(FUE=0,0,VLOOKUP(FUE,Tabla_Fuerza,2)))</f>
        <v/>
      </c>
      <c r="M51" s="2621">
        <f>IF(K48=0,0,MAX(O51*10,0)+VLOOKUP(K48,Tabla_ArmasyEscudos,12,FALSE))</f>
        <v>0</v>
      </c>
      <c r="N51" s="252" t="s">
        <v>1903</v>
      </c>
      <c r="O51" s="113"/>
      <c r="P51" s="3881" t="str">
        <f>IF(L49=0,IF(O51=0,"","TA defensor:"),IF(Tamaño&lt;VLOOKUP(L49,Tabla_ArmasEnormes,2,FALSE),"Tam. excesivo",IF(O51=0,"","TA defensor:")))</f>
        <v/>
      </c>
      <c r="Q51" s="3881"/>
      <c r="R51" s="2204" t="str">
        <f>IF(P51="TA defensor:",O51/(-5),"")</f>
        <v/>
      </c>
      <c r="S51" s="2211"/>
      <c r="T51" s="2552"/>
      <c r="U51" s="45"/>
      <c r="V51" s="45"/>
      <c r="W51" s="131"/>
      <c r="X51" s="3882" t="str">
        <f>IF(PDs!$E76=0,"",PDs!$E76)</f>
        <v/>
      </c>
      <c r="Y51" s="3882"/>
      <c r="Z51" s="3882"/>
      <c r="AA51" s="3882"/>
      <c r="AB51" s="3882"/>
      <c r="AC51" s="3882"/>
      <c r="AD51" s="3883" t="str">
        <f>IF($X51="","",IF(PDs!$V76="FALTAN REQUISITOS",PDs!$V76,VLOOKUP(X51,Tabla_AM_Armas,5,FALSE)))</f>
        <v/>
      </c>
      <c r="AE51" s="3883"/>
      <c r="AF51" s="3883"/>
      <c r="AG51" s="3883"/>
      <c r="AH51" s="3883"/>
      <c r="AI51" s="3883"/>
      <c r="AJ51" s="3883"/>
      <c r="AK51" s="3883"/>
      <c r="AL51" s="3883"/>
      <c r="AM51" s="3883"/>
      <c r="AN51" s="2994"/>
      <c r="AO51" s="2990"/>
      <c r="AQ51" s="2992"/>
      <c r="AR51" s="2992"/>
      <c r="AS51" s="2996"/>
      <c r="AT51" s="2996"/>
      <c r="AU51" s="2996"/>
      <c r="AV51" s="2996"/>
      <c r="AW51" s="2996"/>
      <c r="AX51" s="2996"/>
      <c r="AY51" s="2996"/>
      <c r="AZ51" s="2996"/>
      <c r="BA51" s="2002"/>
      <c r="BB51" s="2002"/>
      <c r="BC51" s="2599"/>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869" t="str">
        <f>IF(K48=0,"",VLOOKUP(K48,Tabla_ArmasyEscudos,19,FALSE))</f>
        <v/>
      </c>
      <c r="J52" s="3869"/>
      <c r="K52" s="3869"/>
      <c r="L52" s="3869"/>
      <c r="M52" s="3869"/>
      <c r="N52" s="3869"/>
      <c r="O52" s="3869"/>
      <c r="P52" s="3869"/>
      <c r="Q52" s="3869"/>
      <c r="R52" s="3870"/>
      <c r="S52" s="2212"/>
      <c r="T52" s="2552"/>
      <c r="U52" s="45"/>
      <c r="V52" s="45"/>
      <c r="W52" s="131"/>
      <c r="X52" s="3871" t="str">
        <f>IF(PDs!$E77=0,"",PDs!$E77)</f>
        <v/>
      </c>
      <c r="Y52" s="3871"/>
      <c r="Z52" s="3871"/>
      <c r="AA52" s="3871"/>
      <c r="AB52" s="3871"/>
      <c r="AC52" s="3871"/>
      <c r="AD52" s="3872" t="str">
        <f>IF($X52="","",IF(PDs!$V77="FALTAN REQUISITOS",PDs!$V77,VLOOKUP(X52,Tabla_AM_Armas,5,FALSE)))</f>
        <v/>
      </c>
      <c r="AE52" s="3872"/>
      <c r="AF52" s="3872"/>
      <c r="AG52" s="3872"/>
      <c r="AH52" s="3872"/>
      <c r="AI52" s="3872"/>
      <c r="AJ52" s="3872"/>
      <c r="AK52" s="3872"/>
      <c r="AL52" s="3872"/>
      <c r="AM52" s="3872"/>
      <c r="AN52" s="2994"/>
      <c r="AO52" s="2990"/>
      <c r="AQ52" s="2992"/>
      <c r="AR52" s="2992"/>
      <c r="AS52" s="2996"/>
      <c r="AT52" s="2996"/>
      <c r="AU52" s="2996"/>
      <c r="AV52" s="2996"/>
      <c r="AW52" s="2996"/>
      <c r="AX52" s="2996"/>
      <c r="AY52" s="2996"/>
      <c r="AZ52" s="2996"/>
      <c r="BA52" s="2002"/>
      <c r="BB52" s="2002"/>
      <c r="BC52" s="2599"/>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2"/>
      <c r="U53" s="45"/>
      <c r="V53" s="45"/>
      <c r="W53" s="131"/>
      <c r="AN53" s="2994"/>
      <c r="AO53" s="2990"/>
      <c r="AQ53" s="2992"/>
      <c r="AR53" s="2992"/>
      <c r="AS53" s="2996"/>
      <c r="AT53" s="2996"/>
      <c r="AU53" s="2996"/>
      <c r="AV53" s="2996"/>
      <c r="AW53" s="2996"/>
      <c r="AX53" s="2996"/>
      <c r="AY53" s="2996"/>
      <c r="AZ53" s="2996"/>
      <c r="BA53" s="2002"/>
      <c r="BB53" s="2002"/>
      <c r="BC53" s="2599"/>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475" t="s">
        <v>1907</v>
      </c>
      <c r="J54" s="3873"/>
      <c r="K54" s="3874"/>
      <c r="L54" s="3875"/>
      <c r="M54" s="3876"/>
      <c r="N54" s="1367" t="s">
        <v>1705</v>
      </c>
      <c r="O54" s="1368" t="s">
        <v>1889</v>
      </c>
      <c r="P54" s="3877" t="s">
        <v>1890</v>
      </c>
      <c r="Q54" s="3877"/>
      <c r="R54" s="2209" t="s">
        <v>1891</v>
      </c>
      <c r="S54" s="2210" t="s">
        <v>9024</v>
      </c>
      <c r="T54" s="2552"/>
      <c r="U54" s="45"/>
      <c r="V54" s="45"/>
      <c r="W54" s="131"/>
      <c r="X54" s="3169" t="s">
        <v>1820</v>
      </c>
      <c r="Y54" s="3169"/>
      <c r="Z54" s="3169"/>
      <c r="AA54" s="3169"/>
      <c r="AB54" s="3169"/>
      <c r="AC54" s="3169"/>
      <c r="AD54" s="3878" t="s">
        <v>1866</v>
      </c>
      <c r="AE54" s="3878"/>
      <c r="AF54" s="3878"/>
      <c r="AG54" s="3878"/>
      <c r="AH54" s="3878"/>
      <c r="AI54" s="3878"/>
      <c r="AJ54" s="3878"/>
      <c r="AK54" s="3878"/>
      <c r="AL54" s="3878"/>
      <c r="AM54" s="3878"/>
      <c r="AN54" s="2994"/>
      <c r="AO54" s="2990"/>
      <c r="AQ54" s="2992"/>
      <c r="AR54" s="2992"/>
      <c r="AS54" s="2996"/>
      <c r="AT54" s="2996"/>
      <c r="AU54" s="2996"/>
      <c r="AV54" s="2996"/>
      <c r="AW54" s="2996"/>
      <c r="AX54" s="2996"/>
      <c r="AY54" s="2996"/>
      <c r="AZ54" s="2996"/>
      <c r="BA54" s="2002"/>
      <c r="BB54" s="2002"/>
      <c r="BC54" s="2599"/>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861" t="str">
        <f>IF(K54=0,"",VLOOKUP(K54,Tabla_ArmasyEscudos,9,FALSE))</f>
        <v/>
      </c>
      <c r="J55" s="3862"/>
      <c r="K55" s="1481" t="s">
        <v>1901</v>
      </c>
      <c r="L55" s="3863"/>
      <c r="M55" s="3863"/>
      <c r="N55" s="3864">
        <f>IF(K54=0,0,Turno_Nat_final-20+O57+VLOOKUP(K54,Tabla_ArmasyEscudos,3,FALSE)+IF(L55=0,0,IF(Tamaño&lt;VLOOKUP(L55,Tabla_ArmasEnormes,2,FALSE),-40,0)))</f>
        <v>0</v>
      </c>
      <c r="O55" s="3865">
        <f>IF(K54=0,HA_final,HA_final+VLOOKUP(I55,Tabla_ArmaDistinta,2)+O57-MIN(0,10*(FUE-VLOOKUP(K54,Tabla_ArmasyEscudos,4,FALSE)-IF(L55=0,0,VLOOKUP(L55,Tabla_ArmasEnormes,4,FALSE))))-IF(Tablas!$H$519&lt;0,IF(K54=Arma_Desarrollada,0,30),0))+SUMPRODUCT(--ISNUMBER(SEARCH(K54,ArmasAM)),ArmasAM_HA)</f>
        <v>0</v>
      </c>
      <c r="P55" s="3858">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0</v>
      </c>
      <c r="Q55" s="3473"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59">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66"/>
      <c r="T55" s="2552"/>
      <c r="U55" s="45"/>
      <c r="V55" s="45"/>
      <c r="W55" s="131"/>
      <c r="X55" s="3860" t="str">
        <f>IF(PDs!E78=0,"",PDs!E78)</f>
        <v/>
      </c>
      <c r="Y55" s="3860"/>
      <c r="Z55" s="3860"/>
      <c r="AA55" s="3860"/>
      <c r="AB55" s="3860"/>
      <c r="AC55" s="3860"/>
      <c r="AD55" s="3855" t="str">
        <f>IF(X55="","",VLOOKUP(X55,Tabla_ArsMagnus,6,FALSE))</f>
        <v/>
      </c>
      <c r="AE55" s="3855"/>
      <c r="AF55" s="3855"/>
      <c r="AG55" s="3855"/>
      <c r="AH55" s="3855"/>
      <c r="AI55" s="3855"/>
      <c r="AJ55" s="3855"/>
      <c r="AK55" s="3855"/>
      <c r="AL55" s="3855"/>
      <c r="AM55" s="3855"/>
      <c r="AN55" s="2994"/>
      <c r="AO55" s="2990"/>
      <c r="AQ55" s="2996"/>
      <c r="AR55" s="2996"/>
      <c r="AS55" s="2996"/>
      <c r="AT55" s="2996"/>
      <c r="AU55" s="2996"/>
      <c r="AV55" s="2996"/>
      <c r="AW55" s="2996"/>
      <c r="AX55" s="2996"/>
      <c r="AY55" s="2996"/>
      <c r="AZ55" s="2996"/>
      <c r="BA55" s="2002"/>
      <c r="BB55" s="2002"/>
      <c r="BC55" s="2599"/>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864"/>
      <c r="O56" s="3865"/>
      <c r="P56" s="3858"/>
      <c r="Q56" s="3473"/>
      <c r="R56" s="3859"/>
      <c r="S56" s="3867"/>
      <c r="T56" s="2552"/>
      <c r="U56" s="45"/>
      <c r="V56" s="45"/>
      <c r="W56" s="131"/>
      <c r="X56" s="3860"/>
      <c r="Y56" s="3860"/>
      <c r="Z56" s="3860"/>
      <c r="AA56" s="3860"/>
      <c r="AB56" s="3860"/>
      <c r="AC56" s="3860"/>
      <c r="AD56" s="3855"/>
      <c r="AE56" s="3855"/>
      <c r="AF56" s="3855"/>
      <c r="AG56" s="3855"/>
      <c r="AH56" s="3855"/>
      <c r="AI56" s="3855"/>
      <c r="AJ56" s="3855"/>
      <c r="AK56" s="3855"/>
      <c r="AL56" s="3855"/>
      <c r="AM56" s="3855"/>
      <c r="AN56" s="2994"/>
      <c r="AO56" s="2990"/>
      <c r="AQ56" s="2996"/>
      <c r="AR56" s="2996"/>
      <c r="AS56" s="2996"/>
      <c r="AT56" s="2996"/>
      <c r="AU56" s="2996"/>
      <c r="AV56" s="2996"/>
      <c r="AW56" s="2996"/>
      <c r="AX56" s="2996"/>
      <c r="AY56" s="2996"/>
      <c r="AZ56" s="2996"/>
      <c r="BA56" s="2002"/>
      <c r="BB56" s="2002"/>
      <c r="BC56" s="2599"/>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856" t="str">
        <f>IF(Tablas!$G$500&gt;0,"-50 a puntería","")</f>
        <v/>
      </c>
      <c r="Q57" s="3856"/>
      <c r="R57" s="3857"/>
      <c r="S57" s="2181"/>
      <c r="T57" s="2552"/>
      <c r="U57" s="45"/>
      <c r="V57" s="45"/>
      <c r="W57" s="131"/>
      <c r="X57" s="3843" t="str">
        <f>IF(PDs!E79=0,"",PDs!E79)</f>
        <v/>
      </c>
      <c r="Y57" s="3843"/>
      <c r="Z57" s="3843"/>
      <c r="AA57" s="3843"/>
      <c r="AB57" s="3843"/>
      <c r="AC57" s="3843"/>
      <c r="AD57" s="3396" t="str">
        <f>IF(X57="","",VLOOKUP(X57,Tabla_ArsMagnus,6,FALSE))</f>
        <v/>
      </c>
      <c r="AE57" s="3396"/>
      <c r="AF57" s="3396"/>
      <c r="AG57" s="3396"/>
      <c r="AH57" s="3396"/>
      <c r="AI57" s="3396"/>
      <c r="AJ57" s="3396"/>
      <c r="AK57" s="3396"/>
      <c r="AL57" s="3396"/>
      <c r="AM57" s="3396"/>
      <c r="AN57" s="2994"/>
      <c r="AO57" s="2990"/>
      <c r="AQ57" s="2996"/>
      <c r="AR57" s="2996"/>
      <c r="AS57" s="2996"/>
      <c r="AT57" s="2996"/>
      <c r="AU57" s="2996"/>
      <c r="AV57" s="2996"/>
      <c r="AW57" s="2996"/>
      <c r="AX57" s="2996"/>
      <c r="AY57" s="2996"/>
      <c r="AZ57" s="2996"/>
      <c r="BA57" s="2002"/>
      <c r="BB57" s="2002"/>
      <c r="BC57" s="2599"/>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847" t="s">
        <v>1908</v>
      </c>
      <c r="J58" s="3848"/>
      <c r="K58" s="3849"/>
      <c r="L58" s="3850"/>
      <c r="M58" s="3851"/>
      <c r="N58" s="166" t="s">
        <v>1903</v>
      </c>
      <c r="O58" s="115"/>
      <c r="P58" s="3852" t="str">
        <f>IF(L55=0,IF(O58=0,"","TA defensor:"),IF(Tamaño&lt;VLOOKUP(L55,Tabla_ArmasEnormes,2,FALSE),"Tam. excesivo",IF(O58=0,"","TA defensor:")))</f>
        <v/>
      </c>
      <c r="Q58" s="3852"/>
      <c r="R58" s="2207" t="str">
        <f>IF(P58="TA defensor:",O58/(-5),"")</f>
        <v/>
      </c>
      <c r="S58" s="2210" t="s">
        <v>9024</v>
      </c>
      <c r="T58" s="2552"/>
      <c r="U58" s="45"/>
      <c r="V58" s="45"/>
      <c r="W58" s="131"/>
      <c r="X58" s="3843"/>
      <c r="Y58" s="3843"/>
      <c r="Z58" s="3843"/>
      <c r="AA58" s="3843"/>
      <c r="AB58" s="3843"/>
      <c r="AC58" s="3843"/>
      <c r="AD58" s="3396"/>
      <c r="AE58" s="3396"/>
      <c r="AF58" s="3396"/>
      <c r="AG58" s="3396"/>
      <c r="AH58" s="3396"/>
      <c r="AI58" s="3396"/>
      <c r="AJ58" s="3396"/>
      <c r="AK58" s="3396"/>
      <c r="AL58" s="3396"/>
      <c r="AM58" s="3396"/>
      <c r="AN58" s="2994"/>
      <c r="AO58" s="2990"/>
      <c r="AQ58" s="2996"/>
      <c r="AR58" s="2996"/>
      <c r="AS58" s="2996"/>
      <c r="AT58" s="2996"/>
      <c r="AU58" s="2996"/>
      <c r="AV58" s="2996"/>
      <c r="AW58" s="2996"/>
      <c r="AX58" s="2996"/>
      <c r="AY58" s="2996"/>
      <c r="AZ58" s="2996"/>
      <c r="BA58" s="2002"/>
      <c r="BB58" s="2002"/>
      <c r="BC58" s="2599"/>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853"/>
      <c r="P59" s="3853"/>
      <c r="Q59" s="141" t="s">
        <v>1909</v>
      </c>
      <c r="R59" s="1618" t="s">
        <v>1910</v>
      </c>
      <c r="S59" s="3866"/>
      <c r="T59" s="2552"/>
      <c r="U59" s="45"/>
      <c r="V59" s="45"/>
      <c r="W59" s="131"/>
      <c r="X59" s="3843" t="str">
        <f>IF(PDs!E80=0,"",PDs!E80)</f>
        <v/>
      </c>
      <c r="Y59" s="3843"/>
      <c r="Z59" s="3843"/>
      <c r="AA59" s="3843"/>
      <c r="AB59" s="3843"/>
      <c r="AC59" s="3843"/>
      <c r="AD59" s="3396" t="str">
        <f>IF(X59="","",VLOOKUP(X59,Tabla_ArsMagnus,6,FALSE))</f>
        <v/>
      </c>
      <c r="AE59" s="3396"/>
      <c r="AF59" s="3396"/>
      <c r="AG59" s="3396"/>
      <c r="AH59" s="3396"/>
      <c r="AI59" s="3396"/>
      <c r="AJ59" s="3396"/>
      <c r="AK59" s="3396"/>
      <c r="AL59" s="3396"/>
      <c r="AM59" s="3396"/>
      <c r="AN59" s="2994"/>
      <c r="AO59" s="2990"/>
      <c r="AQ59" s="2996"/>
      <c r="AR59" s="2996"/>
      <c r="AS59" s="2996"/>
      <c r="AT59" s="2996"/>
      <c r="AU59" s="2996"/>
      <c r="AV59" s="2996"/>
      <c r="AW59" s="2996"/>
      <c r="AX59" s="2996"/>
      <c r="AY59" s="2996"/>
      <c r="AZ59" s="2996"/>
      <c r="BA59" s="2002"/>
      <c r="BB59" s="2002"/>
      <c r="BC59" s="2599"/>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854"/>
      <c r="P60" s="3854"/>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868"/>
      <c r="T60" s="2552"/>
      <c r="U60" s="45"/>
      <c r="V60" s="45"/>
      <c r="W60" s="131"/>
      <c r="X60" s="3843"/>
      <c r="Y60" s="3843"/>
      <c r="Z60" s="3843"/>
      <c r="AA60" s="3843"/>
      <c r="AB60" s="3843"/>
      <c r="AC60" s="3843"/>
      <c r="AD60" s="3396"/>
      <c r="AE60" s="3396"/>
      <c r="AF60" s="3396"/>
      <c r="AG60" s="3396"/>
      <c r="AH60" s="3396"/>
      <c r="AI60" s="3396"/>
      <c r="AJ60" s="3396"/>
      <c r="AK60" s="3396"/>
      <c r="AL60" s="3396"/>
      <c r="AM60" s="3396"/>
      <c r="AN60" s="2994"/>
      <c r="AO60" s="2990"/>
      <c r="AQ60" s="2996"/>
      <c r="AR60" s="2996"/>
      <c r="AS60" s="2996"/>
      <c r="AT60" s="2996"/>
      <c r="AU60" s="2996"/>
      <c r="AV60" s="2996"/>
      <c r="AW60" s="2996"/>
      <c r="AX60" s="2996"/>
      <c r="AY60" s="2996"/>
      <c r="AZ60" s="2996"/>
      <c r="BA60" s="2002"/>
      <c r="BB60" s="2002"/>
      <c r="BC60" s="2599"/>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844" t="str">
        <f>IF(K54=0,"",VLOOKUP(K54,Tabla_ArmasyEscudos,19,FALSE))</f>
        <v/>
      </c>
      <c r="J61" s="3844"/>
      <c r="K61" s="3844"/>
      <c r="L61" s="3844"/>
      <c r="M61" s="3844"/>
      <c r="N61" s="3845" t="str">
        <f>IF(K58=0,"",VLOOKUP(K58,Tabla_ArmasyEscudos,19,FALSE))</f>
        <v/>
      </c>
      <c r="O61" s="3845"/>
      <c r="P61" s="3845"/>
      <c r="Q61" s="3845"/>
      <c r="R61" s="3846"/>
      <c r="S61" s="2183"/>
      <c r="T61" s="2552"/>
      <c r="U61" s="45"/>
      <c r="V61" s="45"/>
      <c r="W61" s="131"/>
      <c r="X61" s="3843" t="str">
        <f>IF(PDs!E81=0,"",PDs!E81)</f>
        <v/>
      </c>
      <c r="Y61" s="3843"/>
      <c r="Z61" s="3843"/>
      <c r="AA61" s="3843"/>
      <c r="AB61" s="3843"/>
      <c r="AC61" s="3843"/>
      <c r="AD61" s="3396" t="str">
        <f>IF(X61="","",VLOOKUP(X61,Tabla_ArsMagnus,6,FALSE))</f>
        <v/>
      </c>
      <c r="AE61" s="3396"/>
      <c r="AF61" s="3396"/>
      <c r="AG61" s="3396"/>
      <c r="AH61" s="3396"/>
      <c r="AI61" s="3396"/>
      <c r="AJ61" s="3396"/>
      <c r="AK61" s="3396"/>
      <c r="AL61" s="3396"/>
      <c r="AM61" s="3396"/>
      <c r="AN61" s="2994"/>
      <c r="AO61" s="2990"/>
      <c r="AQ61" s="2996"/>
      <c r="AR61" s="2996"/>
      <c r="AS61" s="2996"/>
      <c r="AT61" s="2996"/>
      <c r="AU61" s="2996"/>
      <c r="AV61" s="2996"/>
      <c r="AW61" s="2996"/>
      <c r="AX61" s="2996"/>
      <c r="AY61" s="2996"/>
      <c r="AZ61" s="2996"/>
      <c r="BA61" s="2002"/>
      <c r="BB61" s="2002"/>
      <c r="BC61" s="2599"/>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2"/>
      <c r="U62" s="45"/>
      <c r="V62" s="45"/>
      <c r="W62" s="131"/>
      <c r="X62" s="3843"/>
      <c r="Y62" s="3843"/>
      <c r="Z62" s="3843"/>
      <c r="AA62" s="3843"/>
      <c r="AB62" s="3843"/>
      <c r="AC62" s="3843"/>
      <c r="AD62" s="3396"/>
      <c r="AE62" s="3396"/>
      <c r="AF62" s="3396"/>
      <c r="AG62" s="3396"/>
      <c r="AH62" s="3396"/>
      <c r="AI62" s="3396"/>
      <c r="AJ62" s="3396"/>
      <c r="AK62" s="3396"/>
      <c r="AL62" s="3396"/>
      <c r="AM62" s="3396"/>
      <c r="AN62" s="2994"/>
      <c r="AO62" s="2990"/>
      <c r="AQ62" s="2996"/>
      <c r="AR62" s="2996"/>
      <c r="AS62" s="2996"/>
      <c r="AT62" s="2996"/>
      <c r="AU62" s="2996"/>
      <c r="AV62" s="2996"/>
      <c r="AW62" s="2996"/>
      <c r="AX62" s="2996"/>
      <c r="AY62" s="2996"/>
      <c r="AZ62" s="2996"/>
      <c r="BA62" s="2002"/>
      <c r="BB62" s="2002"/>
      <c r="BC62" s="2599"/>
      <c r="BD62" s="173"/>
      <c r="BE62" s="173"/>
      <c r="BF62" s="173"/>
      <c r="BG62" s="173"/>
      <c r="BH62" s="173"/>
      <c r="BI62" s="173"/>
      <c r="BJ62" s="173"/>
    </row>
    <row r="63" spans="1:62" ht="12" customHeight="1" thickBot="1" x14ac:dyDescent="0.25">
      <c r="A63" s="45"/>
      <c r="B63" s="131"/>
      <c r="C63" s="3839"/>
      <c r="D63" s="3839"/>
      <c r="E63" s="3839"/>
      <c r="F63" s="3839"/>
      <c r="G63" s="3839"/>
      <c r="H63" s="3839"/>
      <c r="I63" s="3839"/>
      <c r="J63" s="3839"/>
      <c r="K63" s="3839"/>
      <c r="L63" s="3839"/>
      <c r="M63" s="3839"/>
      <c r="N63" s="3839"/>
      <c r="O63" s="3839"/>
      <c r="P63" s="3839"/>
      <c r="Q63" s="3839"/>
      <c r="R63" s="3840"/>
      <c r="S63" s="2197"/>
      <c r="T63" s="2552"/>
      <c r="U63" s="45"/>
      <c r="V63" s="45"/>
      <c r="W63" s="131"/>
      <c r="X63" s="3841" t="str">
        <f>IF(PDs!E82=0,"",PDs!E82)</f>
        <v/>
      </c>
      <c r="Y63" s="3841"/>
      <c r="Z63" s="3841"/>
      <c r="AA63" s="3841"/>
      <c r="AB63" s="3841"/>
      <c r="AC63" s="3841"/>
      <c r="AD63" s="3842" t="str">
        <f>IF(X63="","",VLOOKUP(X63,Tabla_ArsMagnus,6,FALSE))</f>
        <v/>
      </c>
      <c r="AE63" s="3842"/>
      <c r="AF63" s="3842"/>
      <c r="AG63" s="3842"/>
      <c r="AH63" s="3842"/>
      <c r="AI63" s="3842"/>
      <c r="AJ63" s="3842"/>
      <c r="AK63" s="3842"/>
      <c r="AL63" s="3842"/>
      <c r="AM63" s="3842"/>
      <c r="AN63" s="2994"/>
      <c r="AO63" s="2990"/>
      <c r="AQ63" s="2996"/>
      <c r="AR63" s="2996"/>
      <c r="AS63" s="2996"/>
      <c r="AT63" s="2996"/>
      <c r="AU63" s="2996"/>
      <c r="AV63" s="2996"/>
      <c r="AW63" s="2996"/>
      <c r="AX63" s="2996"/>
      <c r="AY63" s="2996"/>
      <c r="AZ63" s="2996"/>
      <c r="BA63" s="2002"/>
      <c r="BB63" s="2002"/>
      <c r="BC63" s="2599"/>
      <c r="BD63" s="173"/>
      <c r="BE63" s="173"/>
      <c r="BF63" s="173"/>
      <c r="BG63" s="173"/>
      <c r="BH63" s="173"/>
      <c r="BI63" s="173"/>
      <c r="BJ63" s="173"/>
    </row>
    <row r="64" spans="1:62" ht="12" customHeight="1" thickBot="1" x14ac:dyDescent="0.25">
      <c r="A64" s="45"/>
      <c r="B64" s="131"/>
      <c r="C64" s="3839"/>
      <c r="D64" s="3839"/>
      <c r="E64" s="3839"/>
      <c r="F64" s="3839"/>
      <c r="G64" s="3839"/>
      <c r="H64" s="3839"/>
      <c r="I64" s="3839"/>
      <c r="J64" s="3839"/>
      <c r="K64" s="3839"/>
      <c r="L64" s="3839"/>
      <c r="M64" s="3839"/>
      <c r="N64" s="3839"/>
      <c r="O64" s="3839"/>
      <c r="P64" s="3839"/>
      <c r="Q64" s="3839"/>
      <c r="R64" s="3840"/>
      <c r="S64" s="2198"/>
      <c r="T64" s="2552"/>
      <c r="U64" s="45"/>
      <c r="V64" s="45"/>
      <c r="W64" s="131"/>
      <c r="X64" s="3841"/>
      <c r="Y64" s="3841"/>
      <c r="Z64" s="3841"/>
      <c r="AA64" s="3841"/>
      <c r="AB64" s="3841"/>
      <c r="AC64" s="3841"/>
      <c r="AD64" s="3842"/>
      <c r="AE64" s="3842"/>
      <c r="AF64" s="3842"/>
      <c r="AG64" s="3842"/>
      <c r="AH64" s="3842"/>
      <c r="AI64" s="3842"/>
      <c r="AJ64" s="3842"/>
      <c r="AK64" s="3842"/>
      <c r="AL64" s="3842"/>
      <c r="AM64" s="3842"/>
      <c r="AN64" s="2994"/>
      <c r="AO64" s="2990"/>
      <c r="AQ64" s="2996"/>
      <c r="AR64" s="2996"/>
      <c r="AS64" s="2996"/>
      <c r="AT64" s="2996"/>
      <c r="AU64" s="2996"/>
      <c r="AV64" s="2996"/>
      <c r="AW64" s="2996"/>
      <c r="AX64" s="2996"/>
      <c r="AY64" s="2996"/>
      <c r="AZ64" s="2996"/>
      <c r="BA64" s="2002"/>
      <c r="BB64" s="2002"/>
      <c r="BC64" s="2599"/>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3"/>
      <c r="U65" s="45"/>
      <c r="V65" s="45"/>
      <c r="W65" s="255"/>
      <c r="X65" s="256"/>
      <c r="Y65" s="256"/>
      <c r="Z65" s="256"/>
      <c r="AA65" s="256"/>
      <c r="AB65" s="256"/>
      <c r="AC65" s="256"/>
      <c r="AD65" s="257"/>
      <c r="AE65" s="257"/>
      <c r="AF65" s="257"/>
      <c r="AG65" s="257"/>
      <c r="AH65" s="257"/>
      <c r="AI65" s="257"/>
      <c r="AJ65" s="257"/>
      <c r="AK65" s="257"/>
      <c r="AL65" s="257"/>
      <c r="AM65" s="257"/>
      <c r="AN65" s="3001"/>
      <c r="AO65" s="2990"/>
      <c r="AQ65" s="2996"/>
      <c r="AR65" s="2992"/>
      <c r="AS65" s="2992"/>
      <c r="AT65" s="2992"/>
      <c r="AU65" s="2992"/>
      <c r="AV65" s="2992"/>
      <c r="AW65" s="2992"/>
      <c r="AX65" s="2992"/>
      <c r="AY65" s="2996"/>
      <c r="AZ65" s="2996"/>
      <c r="BA65" s="2002"/>
      <c r="BB65" s="2002"/>
      <c r="BC65" s="2599"/>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90"/>
      <c r="AO66" s="2990"/>
      <c r="AQ66" s="2996"/>
      <c r="AR66" s="2992"/>
      <c r="AS66" s="2992"/>
      <c r="AT66" s="2992"/>
      <c r="AU66" s="2992"/>
      <c r="AV66" s="2992"/>
      <c r="AW66" s="2992"/>
      <c r="AX66" s="2992"/>
      <c r="AY66" s="2996"/>
      <c r="AZ66" s="2996"/>
      <c r="BA66" s="2002"/>
      <c r="BB66" s="2002"/>
      <c r="BC66" s="2599"/>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602" priority="3" stopIfTrue="1" operator="equal">
      <formula>0</formula>
    </cfRule>
  </conditionalFormatting>
  <conditionalFormatting sqref="AD40:AL45">
    <cfRule type="cellIs" dxfId="601" priority="4" stopIfTrue="1" operator="equal">
      <formula>0</formula>
    </cfRule>
  </conditionalFormatting>
  <conditionalFormatting sqref="AB10:AB14">
    <cfRule type="cellIs" dxfId="600" priority="7" stopIfTrue="1" operator="lessThan">
      <formula>0</formula>
    </cfRule>
  </conditionalFormatting>
  <conditionalFormatting sqref="AB15:AB16">
    <cfRule type="cellIs" dxfId="599" priority="8" stopIfTrue="1" operator="equal">
      <formula>0</formula>
    </cfRule>
    <cfRule type="cellIs" dxfId="598" priority="9" stopIfTrue="1" operator="lessThan">
      <formula>0</formula>
    </cfRule>
  </conditionalFormatting>
  <conditionalFormatting sqref="C13:E13">
    <cfRule type="expression" dxfId="597" priority="10" stopIfTrue="1">
      <formula>AND($B$13="Dura",$B$12="Dura")</formula>
    </cfRule>
    <cfRule type="expression" dxfId="596" priority="11" stopIfTrue="1">
      <formula>AND($B$13="Natural",$B$12="Natural")</formula>
    </cfRule>
  </conditionalFormatting>
  <conditionalFormatting sqref="C14:E14">
    <cfRule type="expression" dxfId="595" priority="12" stopIfTrue="1">
      <formula>AND($B$14="Dura",OR($B$13="Dura",$B$12="Dura"))</formula>
    </cfRule>
    <cfRule type="expression" dxfId="594"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10"/>
      <c r="D3" s="3210"/>
      <c r="E3" s="3210"/>
      <c r="F3" s="3210"/>
      <c r="G3" s="3210"/>
      <c r="H3" s="3210"/>
      <c r="I3" s="9"/>
      <c r="J3" s="9"/>
      <c r="K3" s="9"/>
      <c r="L3" s="9"/>
      <c r="M3" s="9"/>
      <c r="N3" s="9"/>
      <c r="O3" s="9"/>
      <c r="P3" s="9"/>
      <c r="Q3" s="10"/>
      <c r="R3" s="68"/>
      <c r="S3" s="1807"/>
      <c r="T3" s="1584"/>
      <c r="U3" s="190"/>
      <c r="V3" s="1799"/>
      <c r="W3" s="3210"/>
      <c r="X3" s="3210"/>
      <c r="Y3" s="3210"/>
      <c r="Z3" s="3210"/>
      <c r="AA3" s="3210"/>
      <c r="AB3" s="3210"/>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10"/>
      <c r="D4" s="3210"/>
      <c r="E4" s="3210"/>
      <c r="F4" s="3210"/>
      <c r="G4" s="3210"/>
      <c r="H4" s="3210"/>
      <c r="I4" s="12"/>
      <c r="J4" s="3162" t="s">
        <v>1628</v>
      </c>
      <c r="K4" s="3162"/>
      <c r="L4" s="3163" t="str">
        <f>IF(OR(General!$G$22="",General!$G$22=0),"",General!$G$22)</f>
        <v/>
      </c>
      <c r="M4" s="3163"/>
      <c r="N4" s="3163"/>
      <c r="O4" s="3163"/>
      <c r="P4" s="3163"/>
      <c r="Q4" s="13"/>
      <c r="R4" s="68"/>
      <c r="S4" s="1807"/>
      <c r="T4" s="1584"/>
      <c r="U4" s="190"/>
      <c r="V4" s="1799"/>
      <c r="W4" s="3210"/>
      <c r="X4" s="3210"/>
      <c r="Y4" s="3210"/>
      <c r="Z4" s="3210"/>
      <c r="AA4" s="3210"/>
      <c r="AB4" s="3210"/>
      <c r="AC4" s="12"/>
      <c r="AD4" s="3162" t="s">
        <v>1628</v>
      </c>
      <c r="AE4" s="3162"/>
      <c r="AF4" s="3163" t="str">
        <f>IF(OR(General!$G$22="",General!$G$22=0),"",General!$G$22)</f>
        <v/>
      </c>
      <c r="AG4" s="3163"/>
      <c r="AH4" s="3163"/>
      <c r="AI4" s="3163"/>
      <c r="AJ4" s="3163"/>
      <c r="AK4" s="13"/>
      <c r="AL4" s="1807"/>
      <c r="AM4" s="190"/>
      <c r="AN4" s="2088"/>
      <c r="AO4" s="2055"/>
      <c r="AP4" s="1991"/>
      <c r="AQ4" s="406"/>
      <c r="AR4" s="406"/>
      <c r="AS4" s="406"/>
      <c r="AT4" s="406"/>
      <c r="AU4" s="406"/>
      <c r="AV4" s="2048"/>
      <c r="AW4" s="2105"/>
      <c r="AX4" s="1802"/>
    </row>
    <row r="5" spans="1:51" ht="12" customHeight="1" thickBot="1" x14ac:dyDescent="0.25">
      <c r="A5" s="190"/>
      <c r="B5" s="1799"/>
      <c r="C5" s="3210"/>
      <c r="D5" s="3210"/>
      <c r="E5" s="3210"/>
      <c r="F5" s="3210"/>
      <c r="G5" s="3210"/>
      <c r="H5" s="3210"/>
      <c r="I5" s="12"/>
      <c r="J5" s="3207" t="s">
        <v>1629</v>
      </c>
      <c r="K5" s="3207"/>
      <c r="L5" s="3208" t="str">
        <f>Principal!$L$5</f>
        <v>Hechicero</v>
      </c>
      <c r="M5" s="3208"/>
      <c r="N5" s="3208"/>
      <c r="O5" s="14" t="s">
        <v>1630</v>
      </c>
      <c r="P5" s="15" t="str">
        <f>Principal!$P$5</f>
        <v>1</v>
      </c>
      <c r="Q5" s="16"/>
      <c r="R5" s="68"/>
      <c r="S5" s="1807"/>
      <c r="T5" s="1584"/>
      <c r="U5" s="190"/>
      <c r="V5" s="1799"/>
      <c r="W5" s="3210"/>
      <c r="X5" s="3210"/>
      <c r="Y5" s="3210"/>
      <c r="Z5" s="3210"/>
      <c r="AA5" s="3210"/>
      <c r="AB5" s="3210"/>
      <c r="AC5" s="12"/>
      <c r="AD5" s="3207" t="s">
        <v>1629</v>
      </c>
      <c r="AE5" s="3207"/>
      <c r="AF5" s="3208" t="str">
        <f>Principal!$L$5</f>
        <v>Hechicero</v>
      </c>
      <c r="AG5" s="3208"/>
      <c r="AH5" s="3208"/>
      <c r="AI5" s="14" t="s">
        <v>1630</v>
      </c>
      <c r="AJ5" s="15" t="str">
        <f>Principal!$P$5</f>
        <v>1</v>
      </c>
      <c r="AK5" s="16"/>
      <c r="AL5" s="1807"/>
      <c r="AM5" s="190"/>
      <c r="AN5" s="2088"/>
      <c r="AO5" s="2054"/>
      <c r="AP5" s="1992"/>
      <c r="AQ5" s="1679"/>
      <c r="AR5" s="3209" t="s">
        <v>8900</v>
      </c>
      <c r="AS5" s="3209"/>
      <c r="AT5" s="3209"/>
      <c r="AU5" s="3209"/>
      <c r="AV5" s="2049"/>
      <c r="AW5" s="2105"/>
      <c r="AX5" s="1802"/>
    </row>
    <row r="6" spans="1:51" ht="12" customHeight="1" thickBot="1" x14ac:dyDescent="0.25">
      <c r="A6" s="190"/>
      <c r="B6" s="1799"/>
      <c r="C6" s="3210"/>
      <c r="D6" s="3210"/>
      <c r="E6" s="3210"/>
      <c r="F6" s="3210"/>
      <c r="G6" s="3210"/>
      <c r="H6" s="3210"/>
      <c r="I6" s="12"/>
      <c r="J6" s="3209" t="s">
        <v>2013</v>
      </c>
      <c r="K6" s="3209"/>
      <c r="L6" s="3209"/>
      <c r="M6" s="3209"/>
      <c r="N6" s="3209"/>
      <c r="O6" s="3209"/>
      <c r="P6" s="3209"/>
      <c r="Q6" s="16"/>
      <c r="R6" s="68"/>
      <c r="S6" s="1807"/>
      <c r="T6" s="1584"/>
      <c r="U6" s="190"/>
      <c r="V6" s="1799"/>
      <c r="W6" s="3210"/>
      <c r="X6" s="3210"/>
      <c r="Y6" s="3210"/>
      <c r="Z6" s="3210"/>
      <c r="AA6" s="3210"/>
      <c r="AB6" s="3210"/>
      <c r="AC6" s="12"/>
      <c r="AD6" s="3209" t="s">
        <v>2014</v>
      </c>
      <c r="AE6" s="3209"/>
      <c r="AF6" s="3209"/>
      <c r="AG6" s="3209"/>
      <c r="AH6" s="3209"/>
      <c r="AI6" s="3209"/>
      <c r="AJ6" s="3209"/>
      <c r="AK6" s="16"/>
      <c r="AL6" s="1807"/>
      <c r="AM6" s="190"/>
      <c r="AN6" s="2088"/>
      <c r="AO6" s="2050"/>
      <c r="AQ6" s="2038"/>
      <c r="AR6" s="3209"/>
      <c r="AS6" s="3209"/>
      <c r="AT6" s="3209"/>
      <c r="AU6" s="3209"/>
      <c r="AV6" s="2049"/>
      <c r="AW6" s="2105"/>
      <c r="AX6" s="1802"/>
    </row>
    <row r="7" spans="1:51" ht="12" customHeight="1" thickBot="1" x14ac:dyDescent="0.25">
      <c r="A7" s="190"/>
      <c r="B7" s="1799"/>
      <c r="C7" s="3210"/>
      <c r="D7" s="3210"/>
      <c r="E7" s="3210"/>
      <c r="F7" s="3210"/>
      <c r="G7" s="3210"/>
      <c r="H7" s="3210"/>
      <c r="I7" s="12"/>
      <c r="J7" s="3209"/>
      <c r="K7" s="3209"/>
      <c r="L7" s="3209"/>
      <c r="M7" s="3209"/>
      <c r="N7" s="3209"/>
      <c r="O7" s="3209"/>
      <c r="P7" s="3209"/>
      <c r="Q7" s="16"/>
      <c r="R7" s="68"/>
      <c r="S7" s="1807"/>
      <c r="T7" s="1584"/>
      <c r="U7" s="190"/>
      <c r="V7" s="1799"/>
      <c r="W7" s="3210"/>
      <c r="X7" s="3210"/>
      <c r="Y7" s="3210"/>
      <c r="Z7" s="3210"/>
      <c r="AA7" s="3210"/>
      <c r="AB7" s="3210"/>
      <c r="AC7" s="12"/>
      <c r="AD7" s="3209"/>
      <c r="AE7" s="3209"/>
      <c r="AF7" s="3209"/>
      <c r="AG7" s="3209"/>
      <c r="AH7" s="3209"/>
      <c r="AI7" s="3209"/>
      <c r="AJ7" s="3209"/>
      <c r="AK7" s="16"/>
      <c r="AL7" s="1807"/>
      <c r="AM7" s="190"/>
      <c r="AN7" s="2088"/>
      <c r="AO7" s="2050"/>
      <c r="AP7" s="2038"/>
      <c r="AQ7" s="2038"/>
      <c r="AR7" s="2038"/>
      <c r="AS7" s="2038"/>
      <c r="AT7" s="2038"/>
      <c r="AU7" s="2038"/>
      <c r="AV7" s="2049"/>
      <c r="AW7" s="2105"/>
      <c r="AX7" s="1802"/>
    </row>
    <row r="8" spans="1:51" ht="12" customHeight="1" thickBot="1" x14ac:dyDescent="0.25">
      <c r="A8" s="190"/>
      <c r="B8" s="1799"/>
      <c r="C8" s="3210"/>
      <c r="D8" s="3210"/>
      <c r="E8" s="3210"/>
      <c r="F8" s="3210"/>
      <c r="G8" s="3210"/>
      <c r="H8" s="3210"/>
      <c r="I8" s="17"/>
      <c r="J8" s="17"/>
      <c r="K8" s="17"/>
      <c r="L8" s="17"/>
      <c r="M8" s="17"/>
      <c r="N8" s="17"/>
      <c r="O8" s="17"/>
      <c r="P8" s="17"/>
      <c r="Q8" s="18"/>
      <c r="R8" s="68"/>
      <c r="S8" s="1807"/>
      <c r="T8" s="1584"/>
      <c r="U8" s="190"/>
      <c r="V8" s="1799"/>
      <c r="W8" s="3210"/>
      <c r="X8" s="3210"/>
      <c r="Y8" s="3210"/>
      <c r="Z8" s="3210"/>
      <c r="AA8" s="3210"/>
      <c r="AB8" s="3210"/>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25" t="s">
        <v>1828</v>
      </c>
      <c r="D10" s="3126"/>
      <c r="E10" s="3126"/>
      <c r="F10" s="3126"/>
      <c r="G10" s="3126"/>
      <c r="H10" s="3127"/>
      <c r="I10" s="68"/>
      <c r="R10" s="68"/>
      <c r="S10" s="1807"/>
      <c r="T10" s="1584"/>
      <c r="U10" s="190"/>
      <c r="V10" s="1799"/>
      <c r="W10" s="3462" t="s">
        <v>2016</v>
      </c>
      <c r="X10" s="3463"/>
      <c r="Y10" s="3463"/>
      <c r="Z10" s="3463"/>
      <c r="AA10" s="3463"/>
      <c r="AB10" s="3463"/>
      <c r="AC10" s="3465"/>
      <c r="AD10" s="2545"/>
      <c r="AE10" s="4159" t="s">
        <v>2017</v>
      </c>
      <c r="AF10" s="4160"/>
      <c r="AG10" s="4160"/>
      <c r="AH10" s="4160"/>
      <c r="AI10" s="4160"/>
      <c r="AJ10" s="4160"/>
      <c r="AK10" s="2355">
        <f>IF(Tablas!G543&gt;0,0,SUM(I15:I25))-COUNTA(Místicos!AG12:AJ50)</f>
        <v>0</v>
      </c>
      <c r="AL10" s="1807"/>
      <c r="AM10" s="190"/>
      <c r="AN10" s="2088"/>
      <c r="AP10" s="4030" t="s">
        <v>8905</v>
      </c>
      <c r="AQ10" s="4031"/>
      <c r="AR10" s="4032"/>
      <c r="AS10" s="4033" t="s">
        <v>8906</v>
      </c>
      <c r="AT10" s="4034"/>
      <c r="AU10" s="4035"/>
      <c r="AW10" s="2105"/>
      <c r="AX10" s="1802"/>
    </row>
    <row r="11" spans="1:51" ht="12" customHeight="1" thickBot="1" x14ac:dyDescent="0.25">
      <c r="A11" s="190"/>
      <c r="B11" s="1799"/>
      <c r="C11" s="4128" t="s">
        <v>2018</v>
      </c>
      <c r="D11" s="4129"/>
      <c r="E11" s="4134" t="s">
        <v>2019</v>
      </c>
      <c r="F11" s="4135"/>
      <c r="G11" s="3180" t="s">
        <v>2020</v>
      </c>
      <c r="H11" s="4157"/>
      <c r="I11" s="68"/>
      <c r="J11" s="4087" t="s">
        <v>2015</v>
      </c>
      <c r="K11" s="4087"/>
      <c r="L11" s="4087"/>
      <c r="M11" s="4087"/>
      <c r="N11" s="68"/>
      <c r="O11" s="3169" t="s">
        <v>1827</v>
      </c>
      <c r="P11" s="3169"/>
      <c r="Q11" s="3169"/>
      <c r="R11" s="68"/>
      <c r="S11" s="1807"/>
      <c r="T11" s="1584"/>
      <c r="U11" s="190"/>
      <c r="V11" s="1799"/>
      <c r="W11" s="3214" t="s">
        <v>2024</v>
      </c>
      <c r="X11" s="3215"/>
      <c r="Y11" s="3215" t="s">
        <v>2023</v>
      </c>
      <c r="Z11" s="3215"/>
      <c r="AA11" s="3215"/>
      <c r="AB11" s="3215"/>
      <c r="AC11" s="2354" t="s">
        <v>1715</v>
      </c>
      <c r="AD11" s="1885" t="s">
        <v>9159</v>
      </c>
      <c r="AE11" s="3214" t="s">
        <v>2025</v>
      </c>
      <c r="AF11" s="3215"/>
      <c r="AG11" s="3215" t="s">
        <v>2023</v>
      </c>
      <c r="AH11" s="3215"/>
      <c r="AI11" s="3215"/>
      <c r="AJ11" s="3215"/>
      <c r="AK11" s="2354" t="s">
        <v>1715</v>
      </c>
      <c r="AL11" s="1807"/>
      <c r="AM11" s="190"/>
      <c r="AN11" s="2088"/>
      <c r="AW11" s="2105"/>
      <c r="AX11" s="1802"/>
      <c r="AY11" s="1885"/>
    </row>
    <row r="12" spans="1:51" ht="12" customHeight="1" thickBot="1" x14ac:dyDescent="0.25">
      <c r="A12" s="190"/>
      <c r="B12" s="1799"/>
      <c r="C12" s="4137">
        <f>NiveldeMagia_final</f>
        <v>0</v>
      </c>
      <c r="D12" s="4138"/>
      <c r="E12" s="4130">
        <f>SUM(G15:G26)+G12</f>
        <v>0</v>
      </c>
      <c r="F12" s="4131"/>
      <c r="G12" s="4141">
        <f>Metamagia!$T$37</f>
        <v>0</v>
      </c>
      <c r="H12" s="4142"/>
      <c r="I12" s="68"/>
      <c r="J12" s="4158" t="s">
        <v>2021</v>
      </c>
      <c r="K12" s="4158"/>
      <c r="L12" s="4162" t="s">
        <v>1825</v>
      </c>
      <c r="M12" s="4162"/>
      <c r="N12" s="68"/>
      <c r="O12" s="1922" t="s">
        <v>1705</v>
      </c>
      <c r="P12" s="268" t="s">
        <v>1889</v>
      </c>
      <c r="Q12" s="1923" t="s">
        <v>2022</v>
      </c>
      <c r="R12" s="68"/>
      <c r="S12" s="1807"/>
      <c r="T12" s="1584" t="str">
        <f>"Conjuros"&amp;IF(W12="","","_"&amp;W12)</f>
        <v>Conjuros</v>
      </c>
      <c r="U12" s="190"/>
      <c r="V12" s="1975">
        <f>IF(AC12="",0,VLOOKUP(AC12,Tablas!$M$1024:$N$1033,2))</f>
        <v>0</v>
      </c>
      <c r="W12" s="4096"/>
      <c r="X12" s="3659"/>
      <c r="Y12" s="3977"/>
      <c r="Z12" s="3977"/>
      <c r="AA12" s="3977"/>
      <c r="AB12" s="3977"/>
      <c r="AC12" s="2330" t="str">
        <f>IF(Místicos!Y12=0,"",VLOOKUP(Místicos!Y12,Tablas!$E$1129:$G$1803,2,FALSE))</f>
        <v/>
      </c>
      <c r="AD12" s="1986" t="str">
        <f t="shared" ref="AD12:AD50" si="0">AE12&amp;AK12</f>
        <v/>
      </c>
      <c r="AE12" s="4096"/>
      <c r="AF12" s="3659"/>
      <c r="AG12" s="3977"/>
      <c r="AH12" s="3977"/>
      <c r="AI12" s="3977"/>
      <c r="AJ12" s="3977"/>
      <c r="AK12" s="2328"/>
      <c r="AL12" s="1976">
        <f>IF(Místicos!AG12=0,0,VLOOKUP(Místicos!AG12,Tablas!E1520:F1649,2,FALSE)-10)</f>
        <v>0</v>
      </c>
      <c r="AM12" s="190"/>
      <c r="AN12" s="2088"/>
      <c r="AO12" s="3985" t="s">
        <v>8946</v>
      </c>
      <c r="AP12" s="3986"/>
      <c r="AQ12" s="3986"/>
      <c r="AR12" s="3986"/>
      <c r="AS12" s="3986"/>
      <c r="AT12" s="3986"/>
      <c r="AU12" s="3986"/>
      <c r="AV12" s="3987"/>
      <c r="AW12" s="2106">
        <f>IF(AP12=0,0,VLOOKUP(AP12,Tablas!J1663:K1792,2,FALSE)-10)</f>
        <v>0</v>
      </c>
      <c r="AX12" s="1802"/>
      <c r="AY12" s="1986">
        <f>IF(AC12="",0,VLOOKUP(AC12,Tablas!$M$1024:$N$1033,2)*VLOOKUP(W12,Tabla_CosteConjuros,3))</f>
        <v>0</v>
      </c>
    </row>
    <row r="13" spans="1:51" ht="12" customHeight="1" thickBot="1" x14ac:dyDescent="0.25">
      <c r="A13" s="190"/>
      <c r="B13" s="1799"/>
      <c r="C13" s="4139"/>
      <c r="D13" s="4140"/>
      <c r="E13" s="4132"/>
      <c r="F13" s="4133"/>
      <c r="G13" s="4141"/>
      <c r="H13" s="4142"/>
      <c r="I13" s="68"/>
      <c r="J13" s="4143">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143"/>
      <c r="L13" s="4144">
        <f>ACT_final+L21</f>
        <v>0</v>
      </c>
      <c r="M13" s="4144"/>
      <c r="N13" s="68"/>
      <c r="O13" s="4145">
        <f>Turno_Nat_final</f>
        <v>45</v>
      </c>
      <c r="P13" s="4146">
        <f>IF(OR(PDs!E99="Proyección Mágica como ataque",PDs!E100="Proyección Mágica como ataque"),PDs!V22+ProyecciónMágica_final-PDs!V93,ProyecciónMágica_final+Q15)</f>
        <v>0</v>
      </c>
      <c r="Q13" s="4119">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4097"/>
      <c r="X13" s="3662"/>
      <c r="Y13" s="3976"/>
      <c r="Z13" s="3976"/>
      <c r="AA13" s="3976"/>
      <c r="AB13" s="3976"/>
      <c r="AC13" s="1722" t="str">
        <f>IF(Místicos!Y13=0,"",VLOOKUP(Místicos!Y13,Tablas!$E$1129:$G$1803,2,FALSE))</f>
        <v/>
      </c>
      <c r="AD13" s="1986" t="str">
        <f t="shared" si="0"/>
        <v/>
      </c>
      <c r="AE13" s="4097"/>
      <c r="AF13" s="3662"/>
      <c r="AG13" s="3976"/>
      <c r="AH13" s="3976"/>
      <c r="AI13" s="3976"/>
      <c r="AJ13" s="3976"/>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151" t="s">
        <v>2024</v>
      </c>
      <c r="D14" s="4152"/>
      <c r="E14" s="4153" t="s">
        <v>2026</v>
      </c>
      <c r="F14" s="4154"/>
      <c r="G14" s="1988" t="s">
        <v>2027</v>
      </c>
      <c r="H14" s="1964" t="s">
        <v>1715</v>
      </c>
      <c r="I14" s="68"/>
      <c r="J14" s="4143"/>
      <c r="K14" s="4143"/>
      <c r="L14" s="4144"/>
      <c r="M14" s="4144"/>
      <c r="N14" s="68"/>
      <c r="O14" s="4145"/>
      <c r="P14" s="4146"/>
      <c r="Q14" s="4119"/>
      <c r="R14" s="68"/>
      <c r="S14" s="1807"/>
      <c r="T14" s="1584" t="str">
        <f t="shared" si="1"/>
        <v>Conjuros</v>
      </c>
      <c r="U14" s="190"/>
      <c r="V14" s="1975">
        <f>IF(AC14="",0,VLOOKUP(AC14,Tablas!$M$1024:$N$1033,2))</f>
        <v>0</v>
      </c>
      <c r="W14" s="4096"/>
      <c r="X14" s="3659"/>
      <c r="Y14" s="3977"/>
      <c r="Z14" s="3977"/>
      <c r="AA14" s="3977"/>
      <c r="AB14" s="3977"/>
      <c r="AC14" s="2330" t="str">
        <f>IF(Místicos!Y14=0,"",VLOOKUP(Místicos!Y14,Tablas!$E$1129:$G$1803,2,FALSE))</f>
        <v/>
      </c>
      <c r="AD14" s="1986" t="str">
        <f t="shared" si="0"/>
        <v/>
      </c>
      <c r="AE14" s="4096"/>
      <c r="AF14" s="3659"/>
      <c r="AG14" s="3977"/>
      <c r="AH14" s="3977"/>
      <c r="AI14" s="3977"/>
      <c r="AJ14" s="3977"/>
      <c r="AK14" s="2328"/>
      <c r="AL14" s="1976">
        <f>IF(Místicos!AG14=0,0,VLOOKUP(Místicos!AG14,Tablas!E1522:F1651,2,FALSE)-10)</f>
        <v>0</v>
      </c>
      <c r="AM14" s="190"/>
      <c r="AN14" s="2088"/>
      <c r="AO14" s="3997" t="s">
        <v>8938</v>
      </c>
      <c r="AP14" s="3998"/>
      <c r="AQ14" s="3998"/>
      <c r="AR14" s="4044" t="s">
        <v>8963</v>
      </c>
      <c r="AS14" s="3998"/>
      <c r="AT14" s="3998"/>
      <c r="AU14" s="3998"/>
      <c r="AV14" s="3999"/>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147" t="s">
        <v>2029</v>
      </c>
      <c r="D15" s="4148"/>
      <c r="E15" s="4149"/>
      <c r="F15" s="4150"/>
      <c r="G15" s="271"/>
      <c r="H15" s="1965">
        <f>ROUNDUP(G15/Tablas!J1037,0)+40*Tablas!G403+20*Tablas!H1897+40*Tablas!H1898+60*Tablas!H1899+80*Tablas!H1900+90*Tablas!H1901</f>
        <v>0</v>
      </c>
      <c r="I15" s="269">
        <f>IF(H15&gt;3,VLOOKUP(H15,Tabla_ConjurosLA,2)-IF(Místicos!E15=0,0,VLOOKUP(H15,Tabla_ConjurosLA,2)),0)</f>
        <v>0</v>
      </c>
      <c r="J15" s="4163"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163"/>
      <c r="L15" s="4163"/>
      <c r="M15" s="4163"/>
      <c r="N15" s="68"/>
      <c r="O15" s="4164" t="s">
        <v>2028</v>
      </c>
      <c r="P15" s="4164"/>
      <c r="Q15" s="265"/>
      <c r="R15" s="68"/>
      <c r="S15" s="1807"/>
      <c r="T15" s="1584" t="str">
        <f t="shared" si="1"/>
        <v>Conjuros</v>
      </c>
      <c r="U15" s="190"/>
      <c r="V15" s="1975">
        <f>IF(AC15="",0,VLOOKUP(AC15,Tablas!$M$1024:$N$1033,2))</f>
        <v>0</v>
      </c>
      <c r="W15" s="4097"/>
      <c r="X15" s="3662"/>
      <c r="Y15" s="3976"/>
      <c r="Z15" s="3976"/>
      <c r="AA15" s="3976"/>
      <c r="AB15" s="3976"/>
      <c r="AC15" s="1722" t="str">
        <f>IF(Místicos!Y15=0,"",VLOOKUP(Místicos!Y15,Tablas!$E$1129:$G$1803,2,FALSE))</f>
        <v/>
      </c>
      <c r="AD15" s="1986" t="str">
        <f t="shared" si="0"/>
        <v/>
      </c>
      <c r="AE15" s="4097"/>
      <c r="AF15" s="3662"/>
      <c r="AG15" s="3976"/>
      <c r="AH15" s="3976"/>
      <c r="AI15" s="3976"/>
      <c r="AJ15" s="3976"/>
      <c r="AK15" s="2356"/>
      <c r="AL15" s="1976">
        <f>IF(Místicos!AG15=0,0,VLOOKUP(Místicos!AG15,Tablas!E1523:F1652,2,FALSE)-10)</f>
        <v>0</v>
      </c>
      <c r="AM15" s="190"/>
      <c r="AN15" s="2088"/>
      <c r="AO15" s="2060" t="s">
        <v>1715</v>
      </c>
      <c r="AP15" s="4041" t="s">
        <v>8909</v>
      </c>
      <c r="AQ15" s="4041"/>
      <c r="AR15" s="2065" t="s">
        <v>1891</v>
      </c>
      <c r="AS15" s="1995" t="s">
        <v>135</v>
      </c>
      <c r="AT15" s="1995" t="s">
        <v>2644</v>
      </c>
      <c r="AU15" s="1995" t="s">
        <v>1778</v>
      </c>
      <c r="AV15" s="2059" t="s">
        <v>8936</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4120" t="s">
        <v>2030</v>
      </c>
      <c r="D16" s="4121"/>
      <c r="E16" s="4122"/>
      <c r="F16" s="4123"/>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4096"/>
      <c r="X16" s="3659"/>
      <c r="Y16" s="3977"/>
      <c r="Z16" s="3977"/>
      <c r="AA16" s="3977"/>
      <c r="AB16" s="3977"/>
      <c r="AC16" s="2330" t="str">
        <f>IF(Místicos!Y16=0,"",VLOOKUP(Místicos!Y16,Tablas!$E$1129:$G$1803,2,FALSE))</f>
        <v/>
      </c>
      <c r="AD16" s="1986" t="str">
        <f t="shared" si="0"/>
        <v/>
      </c>
      <c r="AE16" s="4096"/>
      <c r="AF16" s="3659"/>
      <c r="AG16" s="3977"/>
      <c r="AH16" s="3977"/>
      <c r="AI16" s="3977"/>
      <c r="AJ16" s="3977"/>
      <c r="AK16" s="2328"/>
      <c r="AL16" s="1976">
        <f>IF(Místicos!AG16=0,0,VLOOKUP(Místicos!AG16,Tablas!E1524:F1653,2,FALSE)-10)</f>
        <v>0</v>
      </c>
      <c r="AM16" s="190"/>
      <c r="AN16" s="2088"/>
      <c r="AO16" s="2075">
        <v>1</v>
      </c>
      <c r="AP16" s="3979">
        <f>VLOOKUP(AO16,Tabla_MagiaNatural_DifBase,2,FALSE)+IF(NOT($AS$10="Magia Natural"),4,0)+IF($AR$32="",0,IF(ISNUMBER(SEARCH("(",$AR$32)),-4,-2))</f>
        <v>18</v>
      </c>
      <c r="AQ16" s="3979"/>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4124" t="s">
        <v>1938</v>
      </c>
      <c r="D17" s="4125"/>
      <c r="E17" s="4126"/>
      <c r="F17" s="4127"/>
      <c r="G17" s="1968"/>
      <c r="H17" s="1965">
        <f>ROUNDUP(G17/Tablas!J1039,0)+40*Tablas!G405+20*Tablas!H1899+40*Tablas!H1900+60*Tablas!H1901+80*Tablas!H1902+90*Tablas!H1903</f>
        <v>0</v>
      </c>
      <c r="I17" s="269">
        <f>IF(H17&gt;3,VLOOKUP(H17,Tabla_ConjurosLA,3)-IF(Místicos!E17=0,0,VLOOKUP(H17,Tabla_ConjurosLA,2)),0)</f>
        <v>0</v>
      </c>
      <c r="J17" s="4087" t="s">
        <v>1824</v>
      </c>
      <c r="K17" s="4087"/>
      <c r="L17" s="4087"/>
      <c r="M17" s="4087"/>
      <c r="N17" s="4136" t="s">
        <v>2031</v>
      </c>
      <c r="O17" s="4136"/>
      <c r="P17" s="4136"/>
      <c r="Q17" s="272">
        <f>VLOOKUP($L$13,Tabla_MagiaInnata,2)</f>
        <v>0</v>
      </c>
      <c r="R17" s="68"/>
      <c r="S17" s="1807"/>
      <c r="T17" s="1584" t="str">
        <f t="shared" si="1"/>
        <v>Conjuros</v>
      </c>
      <c r="U17" s="190"/>
      <c r="V17" s="1975">
        <f>IF(AC17="",0,VLOOKUP(AC17,Tablas!$M$1024:$N$1033,2))</f>
        <v>0</v>
      </c>
      <c r="W17" s="4097"/>
      <c r="X17" s="3662"/>
      <c r="Y17" s="3976"/>
      <c r="Z17" s="3976"/>
      <c r="AA17" s="3976"/>
      <c r="AB17" s="3976"/>
      <c r="AC17" s="1722" t="str">
        <f>IF(Místicos!Y17=0,"",VLOOKUP(Místicos!Y17,Tablas!$E$1129:$G$1803,2,FALSE))</f>
        <v/>
      </c>
      <c r="AD17" s="1986" t="str">
        <f t="shared" si="0"/>
        <v/>
      </c>
      <c r="AE17" s="4097"/>
      <c r="AF17" s="3662"/>
      <c r="AG17" s="3976"/>
      <c r="AH17" s="3976"/>
      <c r="AI17" s="3976"/>
      <c r="AJ17" s="3976"/>
      <c r="AK17" s="2356"/>
      <c r="AL17" s="1976">
        <f>IF(Místicos!AG17=0,0,VLOOKUP(Místicos!AG17,Tablas!E1525:F1654,2,FALSE)-10)</f>
        <v>0</v>
      </c>
      <c r="AM17" s="190"/>
      <c r="AN17" s="2088"/>
      <c r="AO17" s="2075">
        <v>2</v>
      </c>
      <c r="AP17" s="3979">
        <f>VLOOKUP(AO17,Tabla_MagiaNatural_DifBase,2,FALSE)+IF(NOT($AS$10="Magia Natural"),4,0)+IF($AR$32="",0,IF(ISNUMBER(SEARCH("(",$AR$32)),-4,-2))</f>
        <v>22</v>
      </c>
      <c r="AQ17" s="3979"/>
      <c r="AR17" s="2073">
        <v>50</v>
      </c>
      <c r="AS17" s="2074" t="s">
        <v>7478</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4120" t="s">
        <v>1934</v>
      </c>
      <c r="D18" s="4121"/>
      <c r="E18" s="4122"/>
      <c r="F18" s="4123"/>
      <c r="G18" s="1966"/>
      <c r="H18" s="1967">
        <f>ROUNDUP(G18/Tablas!J1040,0)+40*Tablas!G406+20*Tablas!H1900+40*Tablas!H1901+60*Tablas!H1902+80*Tablas!H1903+90*Tablas!H1904</f>
        <v>0</v>
      </c>
      <c r="I18" s="269">
        <f>IF(H18&gt;3,VLOOKUP(H18,Tabla_ConjurosLA,3)-IF(Místicos!E18=0,0,VLOOKUP(H18,Tabla_ConjurosLA,2)),0)</f>
        <v>0</v>
      </c>
      <c r="J18" s="4155" t="s">
        <v>2032</v>
      </c>
      <c r="K18" s="4156">
        <f>Zeón_final+L20-IF(AS10="Onmyodo",AV62*AU62+AU63*AV63+AU64*AV64+AU65*AV65+AU66*AV66+AU67*AV67+AU68*AV68+AU69*AV69+AU70*AV70+AU71*AV71+AU72*AV72,0)</f>
        <v>100</v>
      </c>
      <c r="L18" s="4156"/>
      <c r="M18" s="3422"/>
      <c r="N18" s="3422"/>
      <c r="O18" s="3422"/>
      <c r="P18" s="3422"/>
      <c r="Q18" s="3422"/>
      <c r="R18" s="68"/>
      <c r="S18" s="1807"/>
      <c r="T18" s="1584" t="str">
        <f t="shared" si="1"/>
        <v>Conjuros</v>
      </c>
      <c r="U18" s="190"/>
      <c r="V18" s="1975">
        <f>IF(AC18="",0,VLOOKUP(AC18,Tablas!$M$1024:$N$1033,2))</f>
        <v>0</v>
      </c>
      <c r="W18" s="4096"/>
      <c r="X18" s="3659"/>
      <c r="Y18" s="3977"/>
      <c r="Z18" s="3977"/>
      <c r="AA18" s="3977"/>
      <c r="AB18" s="3977"/>
      <c r="AC18" s="2330" t="str">
        <f>IF(Místicos!Y18=0,"",VLOOKUP(Místicos!Y18,Tablas!$E$1129:$G$1803,2,FALSE))</f>
        <v/>
      </c>
      <c r="AD18" s="1986" t="str">
        <f t="shared" si="0"/>
        <v/>
      </c>
      <c r="AE18" s="4096"/>
      <c r="AF18" s="3659"/>
      <c r="AG18" s="3977"/>
      <c r="AH18" s="3977"/>
      <c r="AI18" s="3977"/>
      <c r="AJ18" s="3977"/>
      <c r="AK18" s="2328"/>
      <c r="AL18" s="1976">
        <f>IF(Místicos!AG18=0,0,VLOOKUP(Místicos!AG18,Tablas!E1526:F1655,2,FALSE)-10)</f>
        <v>0</v>
      </c>
      <c r="AM18" s="190"/>
      <c r="AN18" s="2088"/>
      <c r="AO18" s="2075">
        <v>3</v>
      </c>
      <c r="AP18" s="3979">
        <f>VLOOKUP(AO18,Tabla_MagiaNatural_DifBase,2,FALSE)+IF(NOT($AS$10="Magia Natural"),4,0)+IF($AR$32="",0,IF(ISNUMBER(SEARCH("(",$AR$32)),-4,-2))</f>
        <v>28</v>
      </c>
      <c r="AQ18" s="3979"/>
      <c r="AR18" s="2073">
        <v>100</v>
      </c>
      <c r="AS18" s="2074" t="s">
        <v>8952</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4124" t="s">
        <v>1931</v>
      </c>
      <c r="D19" s="4125"/>
      <c r="E19" s="4126"/>
      <c r="F19" s="4127"/>
      <c r="G19" s="1968"/>
      <c r="H19" s="1965">
        <f>ROUNDUP(G19/Tablas!J1041,0)+40*Tablas!G407+20*Tablas!H1901+40*Tablas!H1902+60*Tablas!H1903+80*Tablas!H1904+90*Tablas!H1905</f>
        <v>0</v>
      </c>
      <c r="I19" s="269">
        <f>IF(H19&gt;3,VLOOKUP(H19,Tabla_ConjurosLA,3)-IF(Místicos!E19=0,0,VLOOKUP(H19,Tabla_ConjurosLA,2)),0)</f>
        <v>0</v>
      </c>
      <c r="J19" s="4155"/>
      <c r="K19" s="4156"/>
      <c r="L19" s="4156"/>
      <c r="M19" s="3422"/>
      <c r="N19" s="3422"/>
      <c r="O19" s="3422"/>
      <c r="P19" s="3422"/>
      <c r="Q19" s="3422"/>
      <c r="R19" s="68"/>
      <c r="S19" s="1807"/>
      <c r="T19" s="1584" t="str">
        <f t="shared" si="1"/>
        <v>Conjuros</v>
      </c>
      <c r="U19" s="190"/>
      <c r="V19" s="1975">
        <f>IF(AC19="",0,VLOOKUP(AC19,Tablas!$M$1024:$N$1033,2))</f>
        <v>0</v>
      </c>
      <c r="W19" s="4097"/>
      <c r="X19" s="3662"/>
      <c r="Y19" s="3976"/>
      <c r="Z19" s="3976"/>
      <c r="AA19" s="3976"/>
      <c r="AB19" s="3976"/>
      <c r="AC19" s="1722" t="str">
        <f>IF(Místicos!Y19=0,"",VLOOKUP(Místicos!Y19,Tablas!$E$1129:$G$1803,2,FALSE))</f>
        <v/>
      </c>
      <c r="AD19" s="1986" t="str">
        <f t="shared" si="0"/>
        <v/>
      </c>
      <c r="AE19" s="4097"/>
      <c r="AF19" s="3662"/>
      <c r="AG19" s="3976"/>
      <c r="AH19" s="3976"/>
      <c r="AI19" s="3976"/>
      <c r="AJ19" s="3976"/>
      <c r="AK19" s="2356"/>
      <c r="AL19" s="1976">
        <f>IF(Místicos!AG19=0,0,VLOOKUP(Místicos!AG19,Tablas!E1527:F1656,2,FALSE)-10)</f>
        <v>0</v>
      </c>
      <c r="AM19" s="190"/>
      <c r="AN19" s="2088"/>
      <c r="AO19" s="2075">
        <v>4</v>
      </c>
      <c r="AP19" s="3979">
        <f>VLOOKUP(AO19,Tabla_MagiaNatural_DifBase,2,FALSE)+IF(NOT($AS$10="Magia Natural"),4,0)+IF($AR$32="",0,IF(ISNUMBER(SEARCH("(",$AR$32)),-4,-2))</f>
        <v>34</v>
      </c>
      <c r="AQ19" s="3979"/>
      <c r="AR19" s="2073">
        <v>150</v>
      </c>
      <c r="AS19" s="2074" t="s">
        <v>7481</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4120" t="s">
        <v>2034</v>
      </c>
      <c r="D20" s="4121"/>
      <c r="E20" s="4122"/>
      <c r="F20" s="4123"/>
      <c r="G20" s="1966"/>
      <c r="H20" s="1967">
        <f>ROUNDUP(G20/Tablas!J1042,0)+40*Tablas!G408+20*Tablas!H1902+40*Tablas!H1903+60*Tablas!H1904+80*Tablas!H1905+90*Tablas!H1906</f>
        <v>0</v>
      </c>
      <c r="I20" s="269">
        <f>IF(H20&gt;3,VLOOKUP(H20,Tabla_ConjurosLA,3)-IF(Místicos!E20=0,0,VLOOKUP(H20,Tabla_ConjurosLA,2)),0)</f>
        <v>0</v>
      </c>
      <c r="J20" s="4167" t="s">
        <v>2033</v>
      </c>
      <c r="K20" s="4167"/>
      <c r="L20" s="273"/>
      <c r="M20" s="3422"/>
      <c r="N20" s="3422"/>
      <c r="O20" s="3422"/>
      <c r="P20" s="3422"/>
      <c r="Q20" s="3422"/>
      <c r="R20" s="68"/>
      <c r="S20" s="1807"/>
      <c r="T20" s="1584" t="str">
        <f t="shared" si="1"/>
        <v>Conjuros</v>
      </c>
      <c r="U20" s="190"/>
      <c r="V20" s="1975">
        <f>IF(AC20="",0,VLOOKUP(AC20,Tablas!$M$1024:$N$1033,2))</f>
        <v>0</v>
      </c>
      <c r="W20" s="4096"/>
      <c r="X20" s="3659"/>
      <c r="Y20" s="3977"/>
      <c r="Z20" s="3977"/>
      <c r="AA20" s="3977"/>
      <c r="AB20" s="3977"/>
      <c r="AC20" s="2330" t="str">
        <f>IF(Místicos!Y20=0,"",VLOOKUP(Místicos!Y20,Tablas!$E$1129:$G$1803,2,FALSE))</f>
        <v/>
      </c>
      <c r="AD20" s="1986" t="str">
        <f t="shared" si="0"/>
        <v/>
      </c>
      <c r="AE20" s="4096"/>
      <c r="AF20" s="3659"/>
      <c r="AG20" s="3977"/>
      <c r="AH20" s="3977"/>
      <c r="AI20" s="3977"/>
      <c r="AJ20" s="3977"/>
      <c r="AK20" s="2328"/>
      <c r="AL20" s="1976">
        <f>IF(Místicos!AG20=0,0,VLOOKUP(Místicos!AG20,Tablas!E1528:F1657,2,FALSE)-10)</f>
        <v>0</v>
      </c>
      <c r="AM20" s="190"/>
      <c r="AN20" s="2088"/>
      <c r="AO20" s="2077">
        <v>5</v>
      </c>
      <c r="AP20" s="3980">
        <f>VLOOKUP(AO20,Tabla_MagiaNatural_DifBase,2,FALSE)+IF(NOT($AS$10="Magia Natural"),4,0)+IF($AR$32="",0,IF(ISNUMBER(SEARCH("(",$AR$32)),-4,-2))</f>
        <v>40</v>
      </c>
      <c r="AQ20" s="3980"/>
      <c r="AR20" s="2078">
        <v>250</v>
      </c>
      <c r="AS20" s="2079" t="s">
        <v>8951</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4124" t="s">
        <v>2036</v>
      </c>
      <c r="D21" s="4125"/>
      <c r="E21" s="4126"/>
      <c r="F21" s="4127"/>
      <c r="G21" s="1968"/>
      <c r="H21" s="1965">
        <f>ROUNDUP(G21/Tablas!J1043,0)+40*Tablas!G409+20*Tablas!H1903+40*Tablas!H1904+60*Tablas!H1905+80*Tablas!H1906+90*Tablas!H1907</f>
        <v>0</v>
      </c>
      <c r="I21" s="269">
        <f>IF(H21&gt;3,VLOOKUP(H21,Tabla_ConjurosLA,2)-IF(Místicos!E21=0,0,VLOOKUP(H21,Tabla_ConjurosLA,2)),0)</f>
        <v>0</v>
      </c>
      <c r="J21" s="4168" t="s">
        <v>2035</v>
      </c>
      <c r="K21" s="4168"/>
      <c r="L21" s="274"/>
      <c r="M21" s="3422"/>
      <c r="N21" s="3422"/>
      <c r="O21" s="3422"/>
      <c r="P21" s="3422"/>
      <c r="Q21" s="3422"/>
      <c r="R21" s="68"/>
      <c r="S21" s="1807"/>
      <c r="T21" s="1584" t="str">
        <f t="shared" si="1"/>
        <v>Conjuros</v>
      </c>
      <c r="U21" s="190"/>
      <c r="V21" s="1975">
        <f>IF(AC21="",0,VLOOKUP(AC21,Tablas!$M$1024:$N$1033,2))</f>
        <v>0</v>
      </c>
      <c r="W21" s="4097"/>
      <c r="X21" s="3662"/>
      <c r="Y21" s="3976"/>
      <c r="Z21" s="3976"/>
      <c r="AA21" s="3976"/>
      <c r="AB21" s="3976"/>
      <c r="AC21" s="1722" t="str">
        <f>IF(Místicos!Y21=0,"",VLOOKUP(Místicos!Y21,Tablas!$E$1129:$G$1803,2,FALSE))</f>
        <v/>
      </c>
      <c r="AD21" s="1986" t="str">
        <f t="shared" si="0"/>
        <v/>
      </c>
      <c r="AE21" s="4097"/>
      <c r="AF21" s="3662"/>
      <c r="AG21" s="3976"/>
      <c r="AH21" s="3976"/>
      <c r="AI21" s="3976"/>
      <c r="AJ21" s="3976"/>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4120" t="s">
        <v>2037</v>
      </c>
      <c r="D22" s="4121"/>
      <c r="E22" s="4122"/>
      <c r="F22" s="4123"/>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4096"/>
      <c r="X22" s="3659"/>
      <c r="Y22" s="3977"/>
      <c r="Z22" s="3977"/>
      <c r="AA22" s="3977"/>
      <c r="AB22" s="3977"/>
      <c r="AC22" s="2330" t="str">
        <f>IF(Místicos!Y22=0,"",VLOOKUP(Místicos!Y22,Tablas!$E$1129:$G$1803,2,FALSE))</f>
        <v/>
      </c>
      <c r="AD22" s="1986" t="str">
        <f t="shared" si="0"/>
        <v/>
      </c>
      <c r="AE22" s="4096"/>
      <c r="AF22" s="3659"/>
      <c r="AG22" s="3977"/>
      <c r="AH22" s="3977"/>
      <c r="AI22" s="3977"/>
      <c r="AJ22" s="3977"/>
      <c r="AK22" s="2328"/>
      <c r="AL22" s="1976">
        <f>IF(Místicos!AG22=0,0,VLOOKUP(Místicos!AG22,Tablas!E1530:F1659,2,FALSE)-10)</f>
        <v>0</v>
      </c>
      <c r="AM22" s="190"/>
      <c r="AN22" s="2088"/>
      <c r="AO22" s="4045" t="s">
        <v>8959</v>
      </c>
      <c r="AP22" s="4046"/>
      <c r="AQ22" s="4046"/>
      <c r="AR22" s="4046"/>
      <c r="AS22" s="4046"/>
      <c r="AT22" s="4046"/>
      <c r="AU22" s="4046"/>
      <c r="AV22" s="4047"/>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4124" t="s">
        <v>2039</v>
      </c>
      <c r="D23" s="4125"/>
      <c r="E23" s="4126"/>
      <c r="F23" s="4127"/>
      <c r="G23" s="1968"/>
      <c r="H23" s="1965">
        <f>ROUNDUP(G23/Tablas!J1045,0)+40*Tablas!G411+20*Tablas!H1905+40*Tablas!H1906+60*Tablas!H1907+80*Tablas!H1908+90*Tablas!H1909</f>
        <v>0</v>
      </c>
      <c r="I23" s="269">
        <f>IF(H23&gt;3,VLOOKUP(H23,Tabla_ConjurosLA,3)-IF(Místicos!E23=0,0,VLOOKUP(H23,Tabla_ConjurosLA,2)),0)</f>
        <v>0</v>
      </c>
      <c r="J23" s="3169" t="s">
        <v>2038</v>
      </c>
      <c r="K23" s="3169"/>
      <c r="L23" s="3169"/>
      <c r="M23" s="3169"/>
      <c r="N23" s="3169"/>
      <c r="O23" s="3169"/>
      <c r="P23" s="3169"/>
      <c r="Q23" s="3169"/>
      <c r="R23" s="68"/>
      <c r="S23" s="1807"/>
      <c r="T23" s="1584" t="str">
        <f t="shared" si="1"/>
        <v>Conjuros</v>
      </c>
      <c r="U23" s="190"/>
      <c r="V23" s="1975">
        <f>IF(AC23="",0,VLOOKUP(AC23,Tablas!$M$1024:$N$1033,2))</f>
        <v>0</v>
      </c>
      <c r="W23" s="4097"/>
      <c r="X23" s="3662"/>
      <c r="Y23" s="3976"/>
      <c r="Z23" s="3976"/>
      <c r="AA23" s="3976"/>
      <c r="AB23" s="3976"/>
      <c r="AC23" s="1722" t="str">
        <f>IF(Místicos!Y23=0,"",VLOOKUP(Místicos!Y23,Tablas!$E$1129:$G$1803,2,FALSE))</f>
        <v/>
      </c>
      <c r="AD23" s="1986" t="str">
        <f t="shared" si="0"/>
        <v/>
      </c>
      <c r="AE23" s="4097"/>
      <c r="AF23" s="3662"/>
      <c r="AG23" s="3976"/>
      <c r="AH23" s="3976"/>
      <c r="AI23" s="3976"/>
      <c r="AJ23" s="3976"/>
      <c r="AK23" s="2356"/>
      <c r="AL23" s="1976">
        <f>IF(Místicos!AG23=0,0,VLOOKUP(Místicos!AG23,Tablas!E1531:F1660,2,FALSE)-10)</f>
        <v>0</v>
      </c>
      <c r="AM23" s="190"/>
      <c r="AN23" s="2088"/>
      <c r="AO23" s="4040" t="s">
        <v>8910</v>
      </c>
      <c r="AP23" s="4041"/>
      <c r="AQ23" s="1995" t="s">
        <v>8960</v>
      </c>
      <c r="AR23" s="4041" t="s">
        <v>8912</v>
      </c>
      <c r="AS23" s="4041"/>
      <c r="AT23" s="1995" t="s">
        <v>8960</v>
      </c>
      <c r="AU23" s="1995" t="s">
        <v>3234</v>
      </c>
      <c r="AV23" s="2066" t="s">
        <v>8960</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4120" t="s">
        <v>2041</v>
      </c>
      <c r="D24" s="4121"/>
      <c r="E24" s="4122"/>
      <c r="F24" s="4123"/>
      <c r="G24" s="1966"/>
      <c r="H24" s="1967">
        <f>ROUNDUP(G24/Tablas!J1046,0)+40*Tablas!G412+20*Tablas!H1906+40*Tablas!H1907+60*Tablas!H1908+80*Tablas!H1909+90*Tablas!H1910</f>
        <v>0</v>
      </c>
      <c r="I24" s="269">
        <f>IF(H24&gt;3,VLOOKUP(H24,Tabla_ConjurosLA,3)-IF(Místicos!E24=0,0,VLOOKUP(H24,Tabla_ConjurosLA,2)),0)</f>
        <v>0</v>
      </c>
      <c r="J24" s="3328" t="s">
        <v>1687</v>
      </c>
      <c r="K24" s="3328"/>
      <c r="L24" s="1974" t="s">
        <v>1731</v>
      </c>
      <c r="M24" s="276" t="s">
        <v>1661</v>
      </c>
      <c r="N24" s="4170" t="s">
        <v>2040</v>
      </c>
      <c r="O24" s="4170"/>
      <c r="P24" s="4170"/>
      <c r="Q24" s="277" t="str">
        <f>IF(P25="Invocador","No","Nv. "&amp;PDs!X15+Tablas!G388+2*Tablas!G389+3*Tablas!G390)</f>
        <v>Nv. 1</v>
      </c>
      <c r="R24" s="68"/>
      <c r="S24" s="1807"/>
      <c r="T24" s="1584" t="str">
        <f t="shared" si="1"/>
        <v>Conjuros</v>
      </c>
      <c r="U24" s="190"/>
      <c r="V24" s="1975">
        <f>IF(AC24="",0,VLOOKUP(AC24,Tablas!$M$1024:$N$1033,2))</f>
        <v>0</v>
      </c>
      <c r="W24" s="4096"/>
      <c r="X24" s="3659"/>
      <c r="Y24" s="3977"/>
      <c r="Z24" s="3977"/>
      <c r="AA24" s="3977"/>
      <c r="AB24" s="3977"/>
      <c r="AC24" s="2330" t="str">
        <f>IF(Místicos!Y24=0,"",VLOOKUP(Místicos!Y24,Tablas!$E$1129:$G$1803,2,FALSE))</f>
        <v/>
      </c>
      <c r="AD24" s="1986" t="str">
        <f t="shared" si="0"/>
        <v/>
      </c>
      <c r="AE24" s="4096"/>
      <c r="AF24" s="3659"/>
      <c r="AG24" s="3977"/>
      <c r="AH24" s="3977"/>
      <c r="AI24" s="3977"/>
      <c r="AJ24" s="3977"/>
      <c r="AK24" s="2328"/>
      <c r="AL24" s="1976">
        <f>IF(Místicos!AG24=0,0,VLOOKUP(Místicos!AG24,Tablas!E1532:F1661,2,FALSE)-10)</f>
        <v>0</v>
      </c>
      <c r="AM24" s="190"/>
      <c r="AN24" s="2088"/>
      <c r="AO24" s="4042" t="s">
        <v>8911</v>
      </c>
      <c r="AP24" s="4043"/>
      <c r="AQ24" s="2072" t="s">
        <v>8929</v>
      </c>
      <c r="AR24" s="4042" t="s">
        <v>8913</v>
      </c>
      <c r="AS24" s="4043"/>
      <c r="AT24" s="2069" t="s">
        <v>8929</v>
      </c>
      <c r="AU24" s="2061" t="s">
        <v>8918</v>
      </c>
      <c r="AV24" s="2096" t="s">
        <v>8945</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4176" t="s">
        <v>2043</v>
      </c>
      <c r="D25" s="4177"/>
      <c r="E25" s="4178"/>
      <c r="F25" s="4179"/>
      <c r="G25" s="279"/>
      <c r="H25" s="1969">
        <f>ROUNDUP(G25/Tablas!J1047,0)+40*Tablas!G413+20*Tablas!H1907+40*Tablas!H1908+60*Tablas!H1909+80*Tablas!H1910+90*Tablas!H1911</f>
        <v>0</v>
      </c>
      <c r="I25" s="269">
        <f>IF(H25&gt;3,VLOOKUP(H25,Tabla_ConjurosLA,2)-IF(Místicos!E25=0,0,VLOOKUP(H25,Tabla_ConjurosLA,2)),0)</f>
        <v>0</v>
      </c>
      <c r="J25" s="4169" t="s">
        <v>1830</v>
      </c>
      <c r="K25" s="4169"/>
      <c r="L25" s="209"/>
      <c r="M25" s="278">
        <f>Convocar_final+L25</f>
        <v>0</v>
      </c>
      <c r="N25" s="3765" t="s">
        <v>2042</v>
      </c>
      <c r="O25" s="3765"/>
      <c r="P25" s="3334"/>
      <c r="Q25" s="3334"/>
      <c r="R25" s="68"/>
      <c r="S25" s="1807"/>
      <c r="T25" s="1584" t="str">
        <f t="shared" si="1"/>
        <v>Conjuros</v>
      </c>
      <c r="U25" s="190"/>
      <c r="V25" s="1975">
        <f>IF(AC25="",0,VLOOKUP(AC25,Tablas!$M$1024:$N$1033,2))</f>
        <v>0</v>
      </c>
      <c r="W25" s="4097"/>
      <c r="X25" s="3662"/>
      <c r="Y25" s="3976"/>
      <c r="Z25" s="3976"/>
      <c r="AA25" s="3976"/>
      <c r="AB25" s="3976"/>
      <c r="AC25" s="1722" t="str">
        <f>IF(Místicos!Y25=0,"",VLOOKUP(Místicos!Y25,Tablas!$E$1129:$G$1803,2,FALSE))</f>
        <v/>
      </c>
      <c r="AD25" s="1986" t="str">
        <f t="shared" si="0"/>
        <v/>
      </c>
      <c r="AE25" s="4097"/>
      <c r="AF25" s="3662"/>
      <c r="AG25" s="3976"/>
      <c r="AH25" s="3976"/>
      <c r="AI25" s="3976"/>
      <c r="AJ25" s="3976"/>
      <c r="AK25" s="2356"/>
      <c r="AL25" s="1976">
        <f>IF(Místicos!AG25=0,0,VLOOKUP(Místicos!AG25,Tablas!E1533:F1662,2,FALSE)-10)</f>
        <v>0</v>
      </c>
      <c r="AM25" s="190"/>
      <c r="AN25" s="2088"/>
      <c r="AO25" s="4036" t="s">
        <v>8907</v>
      </c>
      <c r="AP25" s="4037"/>
      <c r="AQ25" s="2067" t="s">
        <v>3575</v>
      </c>
      <c r="AR25" s="4036" t="s">
        <v>2067</v>
      </c>
      <c r="AS25" s="4037"/>
      <c r="AT25" s="2070" t="s">
        <v>3575</v>
      </c>
      <c r="AU25" s="2062" t="s">
        <v>8919</v>
      </c>
      <c r="AV25" s="2097" t="s">
        <v>4219</v>
      </c>
      <c r="AW25" s="2106"/>
      <c r="AX25" s="1802"/>
      <c r="AY25" s="1986">
        <f>IF(AC25="",0,VLOOKUP(AC25,Tablas!$M$1024:$N$1033,2)*VLOOKUP(W25,Tabla_CosteConjuros,3))</f>
        <v>0</v>
      </c>
    </row>
    <row r="26" spans="1:51" ht="12" customHeight="1" thickBot="1" x14ac:dyDescent="0.25">
      <c r="A26" s="190"/>
      <c r="B26" s="1799"/>
      <c r="C26" s="4180" t="s">
        <v>2016</v>
      </c>
      <c r="D26" s="4181"/>
      <c r="E26" s="4181"/>
      <c r="F26" s="4182"/>
      <c r="G26" s="2043"/>
      <c r="H26" s="2044">
        <f>SUM(V12:V50)</f>
        <v>0</v>
      </c>
      <c r="I26" s="68"/>
      <c r="J26" s="4118" t="s">
        <v>1831</v>
      </c>
      <c r="K26" s="4118"/>
      <c r="L26" s="113"/>
      <c r="M26" s="280">
        <f>Controlar_final+L26</f>
        <v>0</v>
      </c>
      <c r="N26" s="3845" t="str">
        <f>IF(P25=0,"",IF(P25="Invocador","Invocador: No puede convocar criaturas","Elementalismo: +30 sobre seres afines, -30 sobre el resto, -60 sobre opuestos"))</f>
        <v/>
      </c>
      <c r="O26" s="3845"/>
      <c r="P26" s="3845"/>
      <c r="Q26" s="3845"/>
      <c r="R26" s="68"/>
      <c r="S26" s="1807"/>
      <c r="T26" s="1584" t="str">
        <f t="shared" si="1"/>
        <v>Conjuros</v>
      </c>
      <c r="U26" s="190"/>
      <c r="V26" s="1975">
        <f>IF(AC26="",0,VLOOKUP(AC26,Tablas!$M$1024:$N$1033,2))</f>
        <v>0</v>
      </c>
      <c r="W26" s="4096"/>
      <c r="X26" s="3659"/>
      <c r="Y26" s="3977"/>
      <c r="Z26" s="3977"/>
      <c r="AA26" s="3977"/>
      <c r="AB26" s="3977"/>
      <c r="AC26" s="2330" t="str">
        <f>IF(Místicos!Y26=0,"",VLOOKUP(Místicos!Y26,Tablas!$E$1129:$G$1803,2,FALSE))</f>
        <v/>
      </c>
      <c r="AD26" s="1986" t="str">
        <f t="shared" si="0"/>
        <v/>
      </c>
      <c r="AE26" s="4096"/>
      <c r="AF26" s="3659"/>
      <c r="AG26" s="3977"/>
      <c r="AH26" s="3977"/>
      <c r="AI26" s="3977"/>
      <c r="AJ26" s="3977"/>
      <c r="AK26" s="2328"/>
      <c r="AL26" s="1976">
        <f>IF(Místicos!AG26=0,0,VLOOKUP(Místicos!AG26,Tablas!E1534:F1663,2,FALSE)-10)</f>
        <v>0</v>
      </c>
      <c r="AM26" s="190"/>
      <c r="AN26" s="2088"/>
      <c r="AO26" s="4036" t="s">
        <v>8915</v>
      </c>
      <c r="AP26" s="4037"/>
      <c r="AQ26" s="2067" t="s">
        <v>3575</v>
      </c>
      <c r="AR26" s="4036" t="s">
        <v>2069</v>
      </c>
      <c r="AS26" s="4037"/>
      <c r="AT26" s="2070" t="s">
        <v>3484</v>
      </c>
      <c r="AU26" s="2062" t="s">
        <v>8920</v>
      </c>
      <c r="AV26" s="2098" t="s">
        <v>8929</v>
      </c>
      <c r="AW26" s="2106"/>
      <c r="AX26" s="1802"/>
      <c r="AY26" s="1986">
        <f>IF(AC26="",0,VLOOKUP(AC26,Tablas!$M$1024:$N$1033,2)*VLOOKUP(W26,Tabla_CosteConjuros,3))</f>
        <v>0</v>
      </c>
    </row>
    <row r="27" spans="1:51" ht="12" customHeight="1" thickBot="1" x14ac:dyDescent="0.25">
      <c r="A27" s="190"/>
      <c r="B27" s="1799"/>
      <c r="C27" s="4110" t="s">
        <v>8899</v>
      </c>
      <c r="D27" s="4112" t="str">
        <f>Tablas!$K$1045</f>
        <v/>
      </c>
      <c r="E27" s="4113"/>
      <c r="F27" s="4113"/>
      <c r="G27" s="4113"/>
      <c r="H27" s="4114"/>
      <c r="I27" s="100"/>
      <c r="J27" s="4118" t="s">
        <v>1832</v>
      </c>
      <c r="K27" s="4118"/>
      <c r="L27" s="113"/>
      <c r="M27" s="280">
        <f>Atar_final+L27</f>
        <v>0</v>
      </c>
      <c r="N27" s="3845"/>
      <c r="O27" s="3845"/>
      <c r="P27" s="3845"/>
      <c r="Q27" s="3845"/>
      <c r="R27" s="68"/>
      <c r="S27" s="1807"/>
      <c r="T27" s="1584" t="str">
        <f t="shared" si="1"/>
        <v>Conjuros</v>
      </c>
      <c r="U27" s="190"/>
      <c r="V27" s="1975">
        <f>IF(AC27="",0,VLOOKUP(AC27,Tablas!$M$1024:$N$1033,2))</f>
        <v>0</v>
      </c>
      <c r="W27" s="4097"/>
      <c r="X27" s="3662"/>
      <c r="Y27" s="3976"/>
      <c r="Z27" s="3976"/>
      <c r="AA27" s="3976"/>
      <c r="AB27" s="3976"/>
      <c r="AC27" s="1722" t="str">
        <f>IF(Místicos!Y27=0,"",VLOOKUP(Místicos!Y27,Tablas!$E$1129:$G$1803,2,FALSE))</f>
        <v/>
      </c>
      <c r="AD27" s="1986" t="str">
        <f t="shared" si="0"/>
        <v/>
      </c>
      <c r="AE27" s="4097"/>
      <c r="AF27" s="3662"/>
      <c r="AG27" s="3976"/>
      <c r="AH27" s="3976"/>
      <c r="AI27" s="3976"/>
      <c r="AJ27" s="3976"/>
      <c r="AK27" s="2356"/>
      <c r="AL27" s="1976">
        <f>IF(Místicos!AG27=0,0,VLOOKUP(Místicos!AG27,Tablas!E1535:F1664,2,FALSE)-10)</f>
        <v>0</v>
      </c>
      <c r="AM27" s="190"/>
      <c r="AN27" s="2088"/>
      <c r="AO27" s="4036" t="s">
        <v>8916</v>
      </c>
      <c r="AP27" s="4037"/>
      <c r="AQ27" s="2067" t="s">
        <v>3484</v>
      </c>
      <c r="AR27" s="4036" t="s">
        <v>8914</v>
      </c>
      <c r="AS27" s="4037"/>
      <c r="AT27" s="2070" t="s">
        <v>3485</v>
      </c>
      <c r="AU27" s="2062" t="s">
        <v>8921</v>
      </c>
      <c r="AV27" s="2098">
        <v>-2</v>
      </c>
      <c r="AW27" s="2106"/>
      <c r="AX27" s="1802"/>
      <c r="AY27" s="1986">
        <f>IF(AC27="",0,VLOOKUP(AC27,Tablas!$M$1024:$N$1033,2)*VLOOKUP(W27,Tabla_CosteConjuros,3))</f>
        <v>0</v>
      </c>
    </row>
    <row r="28" spans="1:51" ht="12" customHeight="1" thickBot="1" x14ac:dyDescent="0.25">
      <c r="A28" s="190"/>
      <c r="B28" s="1799"/>
      <c r="C28" s="4111"/>
      <c r="D28" s="4115"/>
      <c r="E28" s="4116"/>
      <c r="F28" s="4116"/>
      <c r="G28" s="4116"/>
      <c r="H28" s="4117"/>
      <c r="I28" s="100"/>
      <c r="J28" s="4107" t="s">
        <v>1833</v>
      </c>
      <c r="K28" s="4107"/>
      <c r="L28" s="88"/>
      <c r="M28" s="281">
        <f>Desconvocar_final+L28</f>
        <v>0</v>
      </c>
      <c r="N28" s="3845"/>
      <c r="O28" s="3845"/>
      <c r="P28" s="3845"/>
      <c r="Q28" s="3845"/>
      <c r="R28" s="68"/>
      <c r="S28" s="1807"/>
      <c r="T28" s="1584" t="str">
        <f t="shared" si="1"/>
        <v>Conjuros</v>
      </c>
      <c r="U28" s="190"/>
      <c r="V28" s="1975">
        <f>IF(AC28="",0,VLOOKUP(AC28,Tablas!$M$1024:$N$1033,2))</f>
        <v>0</v>
      </c>
      <c r="W28" s="4096"/>
      <c r="X28" s="3659"/>
      <c r="Y28" s="3977"/>
      <c r="Z28" s="3977"/>
      <c r="AA28" s="3977"/>
      <c r="AB28" s="3977"/>
      <c r="AC28" s="2330" t="str">
        <f>IF(Místicos!Y28=0,"",VLOOKUP(Místicos!Y28,Tablas!$E$1129:$G$1803,2,FALSE))</f>
        <v/>
      </c>
      <c r="AD28" s="1986" t="str">
        <f t="shared" si="0"/>
        <v/>
      </c>
      <c r="AE28" s="4096"/>
      <c r="AF28" s="3659"/>
      <c r="AG28" s="3977"/>
      <c r="AH28" s="3977"/>
      <c r="AI28" s="3977"/>
      <c r="AJ28" s="3977"/>
      <c r="AK28" s="2328"/>
      <c r="AL28" s="1976">
        <f>IF(Místicos!AG28=0,0,VLOOKUP(Místicos!AG28,Tablas!E1536:F1665,2,FALSE)-10)</f>
        <v>0</v>
      </c>
      <c r="AM28" s="190"/>
      <c r="AN28" s="2088"/>
      <c r="AO28" s="4036" t="s">
        <v>8917</v>
      </c>
      <c r="AP28" s="4037"/>
      <c r="AQ28" s="2067" t="s">
        <v>3485</v>
      </c>
      <c r="AR28" s="4036" t="s">
        <v>2072</v>
      </c>
      <c r="AS28" s="4037"/>
      <c r="AT28" s="2070" t="s">
        <v>4219</v>
      </c>
      <c r="AU28" s="2062" t="s">
        <v>8922</v>
      </c>
      <c r="AV28" s="2098">
        <v>-4</v>
      </c>
      <c r="AW28" s="2106"/>
      <c r="AX28" s="1802"/>
      <c r="AY28" s="1986">
        <f>IF(AC28="",0,VLOOKUP(AC28,Tablas!$M$1024:$N$1033,2)*VLOOKUP(W28,Tabla_CosteConjuros,3))</f>
        <v>0</v>
      </c>
    </row>
    <row r="29" spans="1:51" ht="12" customHeight="1" thickBot="1" x14ac:dyDescent="0.25">
      <c r="A29" s="190"/>
      <c r="B29" s="1799"/>
      <c r="C29" s="410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04"/>
      <c r="E29" s="4104"/>
      <c r="F29" s="4104"/>
      <c r="G29" s="4104"/>
      <c r="H29" s="4105"/>
      <c r="I29" s="100"/>
      <c r="R29" s="68"/>
      <c r="S29" s="1807"/>
      <c r="T29" s="1584" t="str">
        <f t="shared" si="1"/>
        <v>Conjuros</v>
      </c>
      <c r="U29" s="190"/>
      <c r="V29" s="1975">
        <f>IF(AC29="",0,VLOOKUP(AC29,Tablas!$M$1024:$N$1033,2))</f>
        <v>0</v>
      </c>
      <c r="W29" s="4097"/>
      <c r="X29" s="3662"/>
      <c r="Y29" s="3976"/>
      <c r="Z29" s="3976"/>
      <c r="AA29" s="3976"/>
      <c r="AB29" s="3976"/>
      <c r="AC29" s="1722" t="str">
        <f>IF(Místicos!Y29=0,"",VLOOKUP(Místicos!Y29,Tablas!$E$1129:$G$1803,2,FALSE))</f>
        <v/>
      </c>
      <c r="AD29" s="1986" t="str">
        <f t="shared" si="0"/>
        <v/>
      </c>
      <c r="AE29" s="4097"/>
      <c r="AF29" s="3662"/>
      <c r="AG29" s="3976"/>
      <c r="AH29" s="3976"/>
      <c r="AI29" s="3976"/>
      <c r="AJ29" s="3976"/>
      <c r="AK29" s="2356"/>
      <c r="AL29" s="1976">
        <f>IF(Místicos!AG29=0,0,VLOOKUP(Místicos!AG29,Tablas!E1537:F1666,2,FALSE)-10)</f>
        <v>0</v>
      </c>
      <c r="AM29" s="190"/>
      <c r="AN29" s="2088"/>
      <c r="AO29" s="4038" t="s">
        <v>8953</v>
      </c>
      <c r="AP29" s="4039"/>
      <c r="AQ29" s="2068" t="s">
        <v>4219</v>
      </c>
      <c r="AR29" s="4038" t="s">
        <v>2077</v>
      </c>
      <c r="AS29" s="4039"/>
      <c r="AT29" s="2071" t="s">
        <v>8930</v>
      </c>
      <c r="AU29" s="2062" t="s">
        <v>8923</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4096"/>
      <c r="X30" s="3659"/>
      <c r="Y30" s="3977"/>
      <c r="Z30" s="3977"/>
      <c r="AA30" s="3977"/>
      <c r="AB30" s="3977"/>
      <c r="AC30" s="2330" t="str">
        <f>IF(Místicos!Y30=0,"",VLOOKUP(Místicos!Y30,Tablas!$E$1129:$G$1803,2,FALSE))</f>
        <v/>
      </c>
      <c r="AD30" s="1986" t="str">
        <f t="shared" si="0"/>
        <v/>
      </c>
      <c r="AE30" s="4096"/>
      <c r="AF30" s="3659"/>
      <c r="AG30" s="3977"/>
      <c r="AH30" s="3977"/>
      <c r="AI30" s="3977"/>
      <c r="AJ30" s="3977"/>
      <c r="AK30" s="2328"/>
      <c r="AL30" s="1976">
        <f>IF(Místicos!AG30=0,0,VLOOKUP(Místicos!AG30,Tablas!E1538:F1667,2,FALSE)-10)</f>
        <v>0</v>
      </c>
      <c r="AM30" s="190"/>
      <c r="AN30" s="2088"/>
      <c r="AO30" s="2064"/>
      <c r="AP30" s="1954"/>
      <c r="AQ30" s="2064"/>
      <c r="AR30" s="1954"/>
      <c r="AS30" s="1875"/>
      <c r="AT30" s="1875"/>
      <c r="AU30" s="2062" t="s">
        <v>8924</v>
      </c>
      <c r="AV30" s="2098">
        <v>-8</v>
      </c>
      <c r="AW30" s="2106"/>
      <c r="AX30" s="1802"/>
      <c r="AY30" s="1986">
        <f>IF(AC30="",0,VLOOKUP(AC30,Tablas!$M$1024:$N$1033,2)*VLOOKUP(W30,Tabla_CosteConjuros,3))</f>
        <v>0</v>
      </c>
    </row>
    <row r="31" spans="1:51" ht="12" customHeight="1" thickBot="1" x14ac:dyDescent="0.25">
      <c r="A31" s="190"/>
      <c r="B31" s="1799"/>
      <c r="C31" s="3192" t="s">
        <v>2044</v>
      </c>
      <c r="D31" s="3192"/>
      <c r="E31" s="3192"/>
      <c r="F31" s="3192"/>
      <c r="G31" s="3192"/>
      <c r="H31" s="3929" t="s">
        <v>2045</v>
      </c>
      <c r="I31" s="100"/>
      <c r="J31" s="3475" t="s">
        <v>2046</v>
      </c>
      <c r="K31" s="3476"/>
      <c r="L31" s="3476"/>
      <c r="M31" s="3476"/>
      <c r="N31" s="3476"/>
      <c r="O31" s="3476"/>
      <c r="P31" s="3476"/>
      <c r="Q31" s="3477"/>
      <c r="R31" s="68"/>
      <c r="S31" s="1807"/>
      <c r="T31" s="1584" t="str">
        <f t="shared" si="1"/>
        <v>Conjuros</v>
      </c>
      <c r="U31" s="190"/>
      <c r="V31" s="1975">
        <f>IF(AC31="",0,VLOOKUP(AC31,Tablas!$M$1024:$N$1033,2))</f>
        <v>0</v>
      </c>
      <c r="W31" s="4097"/>
      <c r="X31" s="3662"/>
      <c r="Y31" s="3976"/>
      <c r="Z31" s="3976"/>
      <c r="AA31" s="3976"/>
      <c r="AB31" s="3976"/>
      <c r="AC31" s="1722" t="str">
        <f>IF(Místicos!Y31=0,"",VLOOKUP(Místicos!Y31,Tablas!$E$1129:$G$1803,2,FALSE))</f>
        <v/>
      </c>
      <c r="AD31" s="1986" t="str">
        <f t="shared" si="0"/>
        <v/>
      </c>
      <c r="AE31" s="4097"/>
      <c r="AF31" s="3662"/>
      <c r="AG31" s="3976"/>
      <c r="AH31" s="3976"/>
      <c r="AI31" s="3976"/>
      <c r="AJ31" s="3976"/>
      <c r="AK31" s="2356"/>
      <c r="AL31" s="1976">
        <f>IF(Místicos!AG31=0,0,VLOOKUP(Místicos!AG31,Tablas!E1539:F1668,2,FALSE)-10)</f>
        <v>0</v>
      </c>
      <c r="AM31" s="190"/>
      <c r="AN31" s="2088"/>
      <c r="AO31" s="2064"/>
      <c r="AP31" s="3995" t="s">
        <v>3235</v>
      </c>
      <c r="AQ31" s="3996"/>
      <c r="AR31" s="3996" t="s">
        <v>8234</v>
      </c>
      <c r="AS31" s="4008"/>
      <c r="AT31" s="1875"/>
      <c r="AU31" s="2062" t="s">
        <v>8925</v>
      </c>
      <c r="AV31" s="2098">
        <v>-10</v>
      </c>
      <c r="AW31" s="2106"/>
      <c r="AX31" s="1802"/>
      <c r="AY31" s="1986">
        <f>IF(AC31="",0,VLOOKUP(AC31,Tablas!$M$1024:$N$1033,2)*VLOOKUP(W31,Tabla_CosteConjuros,3))</f>
        <v>0</v>
      </c>
    </row>
    <row r="32" spans="1:51" ht="12" customHeight="1" thickBot="1" x14ac:dyDescent="0.25">
      <c r="A32" s="190"/>
      <c r="B32" s="1799"/>
      <c r="C32" s="4106" t="s">
        <v>2047</v>
      </c>
      <c r="D32" s="4106"/>
      <c r="E32" s="4106"/>
      <c r="F32" s="4106"/>
      <c r="G32" s="4106"/>
      <c r="H32" s="3929"/>
      <c r="I32" s="100"/>
      <c r="J32" s="4108" t="s">
        <v>1754</v>
      </c>
      <c r="K32" s="4109"/>
      <c r="L32" s="4109"/>
      <c r="M32" s="4109"/>
      <c r="N32" s="4109"/>
      <c r="O32" s="4109"/>
      <c r="P32" s="1987" t="s">
        <v>2048</v>
      </c>
      <c r="Q32" s="1961" t="s">
        <v>1824</v>
      </c>
      <c r="R32" s="68"/>
      <c r="S32" s="1807"/>
      <c r="T32" s="1584" t="str">
        <f t="shared" si="1"/>
        <v>Conjuros</v>
      </c>
      <c r="U32" s="190"/>
      <c r="V32" s="1975">
        <f>IF(AC32="",0,VLOOKUP(AC32,Tablas!$M$1024:$N$1033,2))</f>
        <v>0</v>
      </c>
      <c r="W32" s="4096"/>
      <c r="X32" s="3659"/>
      <c r="Y32" s="3977"/>
      <c r="Z32" s="3977"/>
      <c r="AA32" s="3977"/>
      <c r="AB32" s="3977"/>
      <c r="AC32" s="2330" t="str">
        <f>IF(Místicos!Y32=0,"",VLOOKUP(Místicos!Y32,Tablas!$E$1129:$G$1803,2,FALSE))</f>
        <v/>
      </c>
      <c r="AD32" s="1986" t="str">
        <f t="shared" si="0"/>
        <v/>
      </c>
      <c r="AE32" s="4096"/>
      <c r="AF32" s="3659"/>
      <c r="AG32" s="3977"/>
      <c r="AH32" s="3977"/>
      <c r="AI32" s="3977"/>
      <c r="AJ32" s="3977"/>
      <c r="AK32" s="2328"/>
      <c r="AL32" s="1976">
        <f>IF(Místicos!AG32=0,0,VLOOKUP(Místicos!AG32,Tablas!E1540:F1669,2,FALSE)-10)</f>
        <v>0</v>
      </c>
      <c r="AM32" s="190"/>
      <c r="AN32" s="2088"/>
      <c r="AO32" s="2064"/>
      <c r="AP32" s="4004">
        <f>Presencia_final*2+Bono_Des</f>
        <v>60</v>
      </c>
      <c r="AQ32" s="4005"/>
      <c r="AR32" s="4000"/>
      <c r="AS32" s="4001"/>
      <c r="AT32" s="1875"/>
      <c r="AU32" s="2062" t="s">
        <v>8926</v>
      </c>
      <c r="AV32" s="2098">
        <v>-12</v>
      </c>
      <c r="AW32" s="2106"/>
      <c r="AX32" s="1802"/>
      <c r="AY32" s="1986">
        <f>IF(AC32="",0,VLOOKUP(AC32,Tablas!$M$1024:$N$1033,2)*VLOOKUP(W32,Tabla_CosteConjuros,3))</f>
        <v>0</v>
      </c>
    </row>
    <row r="33" spans="1:60" ht="12" customHeight="1" thickBot="1" x14ac:dyDescent="0.25">
      <c r="A33" s="190"/>
      <c r="B33" s="1799"/>
      <c r="C33" s="3203"/>
      <c r="D33" s="4101"/>
      <c r="E33" s="4101"/>
      <c r="F33" s="4101"/>
      <c r="G33" s="4102"/>
      <c r="H33" s="22"/>
      <c r="I33" s="68"/>
      <c r="J33" s="4051"/>
      <c r="K33" s="4052"/>
      <c r="L33" s="4052"/>
      <c r="M33" s="4052"/>
      <c r="N33" s="4052"/>
      <c r="O33" s="4052"/>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4097"/>
      <c r="X33" s="3662"/>
      <c r="Y33" s="3976"/>
      <c r="Z33" s="3976"/>
      <c r="AA33" s="3976"/>
      <c r="AB33" s="3976"/>
      <c r="AC33" s="1722" t="str">
        <f>IF(Místicos!Y33=0,"",VLOOKUP(Místicos!Y33,Tablas!$E$1129:$G$1803,2,FALSE))</f>
        <v/>
      </c>
      <c r="AD33" s="1986" t="str">
        <f t="shared" si="0"/>
        <v/>
      </c>
      <c r="AE33" s="4097"/>
      <c r="AF33" s="3662"/>
      <c r="AG33" s="3976"/>
      <c r="AH33" s="3976"/>
      <c r="AI33" s="3976"/>
      <c r="AJ33" s="3976"/>
      <c r="AK33" s="2356"/>
      <c r="AL33" s="1976">
        <f>IF(Místicos!AG33=0,0,VLOOKUP(Místicos!AG33,Tablas!E1541:F1670,2,FALSE)-10)</f>
        <v>0</v>
      </c>
      <c r="AM33" s="190"/>
      <c r="AN33" s="2088"/>
      <c r="AO33" s="2064"/>
      <c r="AP33" s="4006"/>
      <c r="AQ33" s="4007"/>
      <c r="AR33" s="4002"/>
      <c r="AS33" s="4003"/>
      <c r="AT33" s="1875"/>
      <c r="AU33" s="2062" t="s">
        <v>8927</v>
      </c>
      <c r="AV33" s="2098">
        <v>-14</v>
      </c>
      <c r="AW33" s="2106"/>
      <c r="AX33" s="1802"/>
      <c r="AY33" s="1986">
        <f>IF(AC33="",0,VLOOKUP(AC33,Tablas!$M$1024:$N$1033,2)*VLOOKUP(W33,Tabla_CosteConjuros,3))</f>
        <v>0</v>
      </c>
    </row>
    <row r="34" spans="1:60" ht="12" customHeight="1" x14ac:dyDescent="0.2">
      <c r="A34" s="190"/>
      <c r="B34" s="1799"/>
      <c r="C34" s="4061"/>
      <c r="D34" s="4061"/>
      <c r="E34" s="4061"/>
      <c r="F34" s="4061"/>
      <c r="G34" s="4061"/>
      <c r="H34" s="282"/>
      <c r="I34" s="68"/>
      <c r="J34" s="4053"/>
      <c r="K34" s="4054"/>
      <c r="L34" s="4054"/>
      <c r="M34" s="4054"/>
      <c r="N34" s="4054"/>
      <c r="O34" s="4054"/>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4096"/>
      <c r="X34" s="3659"/>
      <c r="Y34" s="3977"/>
      <c r="Z34" s="3977"/>
      <c r="AA34" s="3977"/>
      <c r="AB34" s="3977"/>
      <c r="AC34" s="2330" t="str">
        <f>IF(Místicos!Y34=0,"",VLOOKUP(Místicos!Y34,Tablas!$E$1129:$G$1803,2,FALSE))</f>
        <v/>
      </c>
      <c r="AD34" s="1986" t="str">
        <f t="shared" si="0"/>
        <v/>
      </c>
      <c r="AE34" s="4096"/>
      <c r="AF34" s="3659"/>
      <c r="AG34" s="3977"/>
      <c r="AH34" s="3977"/>
      <c r="AI34" s="3977"/>
      <c r="AJ34" s="3977"/>
      <c r="AK34" s="2328"/>
      <c r="AL34" s="1976">
        <f>IF(Místicos!AG34=0,0,VLOOKUP(Místicos!AG34,Tablas!E1542:F1671,2,FALSE)-10)</f>
        <v>0</v>
      </c>
      <c r="AM34" s="190"/>
      <c r="AN34" s="2088"/>
      <c r="AO34" s="2064"/>
      <c r="AP34" s="1954"/>
      <c r="AQ34" s="2064"/>
      <c r="AR34" s="1954"/>
      <c r="AS34" s="1875"/>
      <c r="AT34" s="1875"/>
      <c r="AU34" s="2063" t="s">
        <v>8928</v>
      </c>
      <c r="AV34" s="2099">
        <v>-16</v>
      </c>
      <c r="AW34" s="2106"/>
      <c r="AX34" s="1802"/>
      <c r="AY34" s="1986">
        <f>IF(AC34="",0,VLOOKUP(AC34,Tablas!$M$1024:$N$1033,2)*VLOOKUP(W34,Tabla_CosteConjuros,3))</f>
        <v>0</v>
      </c>
    </row>
    <row r="35" spans="1:60" ht="12" customHeight="1" thickBot="1" x14ac:dyDescent="0.25">
      <c r="A35" s="190"/>
      <c r="B35" s="1799"/>
      <c r="C35" s="3205"/>
      <c r="D35" s="3205"/>
      <c r="E35" s="3205"/>
      <c r="F35" s="3205"/>
      <c r="G35" s="3205"/>
      <c r="H35" s="22"/>
      <c r="I35" s="68"/>
      <c r="J35" s="4055"/>
      <c r="K35" s="4056"/>
      <c r="L35" s="4056"/>
      <c r="M35" s="4056"/>
      <c r="N35" s="4056"/>
      <c r="O35" s="4056"/>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4097"/>
      <c r="X35" s="3662"/>
      <c r="Y35" s="3976"/>
      <c r="Z35" s="3976"/>
      <c r="AA35" s="3976"/>
      <c r="AB35" s="3976"/>
      <c r="AC35" s="1722" t="str">
        <f>IF(Místicos!Y35=0,"",VLOOKUP(Místicos!Y35,Tablas!$E$1129:$G$1803,2,FALSE))</f>
        <v/>
      </c>
      <c r="AD35" s="1986" t="str">
        <f t="shared" si="0"/>
        <v/>
      </c>
      <c r="AE35" s="4097"/>
      <c r="AF35" s="3662"/>
      <c r="AG35" s="3976"/>
      <c r="AH35" s="3976"/>
      <c r="AI35" s="3976"/>
      <c r="AJ35" s="3976"/>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61"/>
      <c r="D36" s="4061"/>
      <c r="E36" s="4061"/>
      <c r="F36" s="4061"/>
      <c r="G36" s="4061"/>
      <c r="H36" s="282"/>
      <c r="I36" s="68"/>
      <c r="J36" s="4053"/>
      <c r="K36" s="4054"/>
      <c r="L36" s="4054"/>
      <c r="M36" s="4054"/>
      <c r="N36" s="4054"/>
      <c r="O36" s="4054"/>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4096"/>
      <c r="X36" s="3659"/>
      <c r="Y36" s="3977"/>
      <c r="Z36" s="3977"/>
      <c r="AA36" s="3977"/>
      <c r="AB36" s="3977"/>
      <c r="AC36" s="2330" t="str">
        <f>IF(Místicos!Y36=0,"",VLOOKUP(Místicos!Y36,Tablas!$E$1129:$G$1803,2,FALSE))</f>
        <v/>
      </c>
      <c r="AD36" s="1986" t="str">
        <f t="shared" si="0"/>
        <v/>
      </c>
      <c r="AE36" s="4096"/>
      <c r="AF36" s="3659"/>
      <c r="AG36" s="3977"/>
      <c r="AH36" s="3977"/>
      <c r="AI36" s="3977"/>
      <c r="AJ36" s="3977"/>
      <c r="AK36" s="2328"/>
      <c r="AL36" s="1976">
        <f>IF(Místicos!AG36=0,0,VLOOKUP(Místicos!AG36,Tablas!E1544:F1673,2,FALSE)-10)</f>
        <v>0</v>
      </c>
      <c r="AM36" s="190"/>
      <c r="AN36" s="2088"/>
      <c r="AO36" s="3997" t="s">
        <v>8937</v>
      </c>
      <c r="AP36" s="3998"/>
      <c r="AQ36" s="3998"/>
      <c r="AR36" s="3998"/>
      <c r="AS36" s="3998"/>
      <c r="AT36" s="3998"/>
      <c r="AU36" s="3998"/>
      <c r="AV36" s="3999"/>
      <c r="AW36" s="2106"/>
      <c r="AX36" s="1802"/>
      <c r="AY36" s="1986">
        <f>IF(AC36="",0,VLOOKUP(AC36,Tablas!$M$1024:$N$1033,2)*VLOOKUP(W36,Tabla_CosteConjuros,3))</f>
        <v>0</v>
      </c>
    </row>
    <row r="37" spans="1:60" ht="12" customHeight="1" x14ac:dyDescent="0.2">
      <c r="A37" s="190"/>
      <c r="B37" s="1799"/>
      <c r="C37" s="3205"/>
      <c r="D37" s="3205"/>
      <c r="E37" s="3205"/>
      <c r="F37" s="3205"/>
      <c r="G37" s="3205"/>
      <c r="H37" s="22"/>
      <c r="I37" s="68"/>
      <c r="J37" s="4055"/>
      <c r="K37" s="4056"/>
      <c r="L37" s="4056"/>
      <c r="M37" s="4056"/>
      <c r="N37" s="4056"/>
      <c r="O37" s="4056"/>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4097"/>
      <c r="X37" s="3662"/>
      <c r="Y37" s="3976"/>
      <c r="Z37" s="3976"/>
      <c r="AA37" s="3976"/>
      <c r="AB37" s="3976"/>
      <c r="AC37" s="1722" t="str">
        <f>IF(Místicos!Y37=0,"",VLOOKUP(Místicos!Y37,Tablas!$E$1129:$G$1803,2,FALSE))</f>
        <v/>
      </c>
      <c r="AD37" s="1986" t="str">
        <f t="shared" si="0"/>
        <v/>
      </c>
      <c r="AE37" s="4097"/>
      <c r="AF37" s="3662"/>
      <c r="AG37" s="3976"/>
      <c r="AH37" s="3976"/>
      <c r="AI37" s="3976"/>
      <c r="AJ37" s="3976"/>
      <c r="AK37" s="2356"/>
      <c r="AL37" s="1976">
        <f>IF(Místicos!AG37=0,0,VLOOKUP(Místicos!AG37,Tablas!E1545:F1674,2,FALSE)-10)</f>
        <v>0</v>
      </c>
      <c r="AM37" s="190"/>
      <c r="AN37" s="2089"/>
      <c r="AO37" s="2093" t="s">
        <v>8931</v>
      </c>
      <c r="AP37" s="4098" t="s">
        <v>8958</v>
      </c>
      <c r="AQ37" s="4099"/>
      <c r="AR37" s="4099"/>
      <c r="AS37" s="4099"/>
      <c r="AT37" s="4099"/>
      <c r="AU37" s="4099"/>
      <c r="AV37" s="4100"/>
      <c r="AW37" s="2106"/>
      <c r="AX37" s="1802"/>
      <c r="AY37" s="1986">
        <f>IF(AC37="",0,VLOOKUP(AC37,Tablas!$M$1024:$N$1033,2)*VLOOKUP(W37,Tabla_CosteConjuros,3))</f>
        <v>0</v>
      </c>
      <c r="BB37" s="1985"/>
    </row>
    <row r="38" spans="1:60" ht="12" customHeight="1" x14ac:dyDescent="0.2">
      <c r="A38" s="190"/>
      <c r="B38" s="1799"/>
      <c r="C38" s="4061"/>
      <c r="D38" s="4061"/>
      <c r="E38" s="4061"/>
      <c r="F38" s="4061"/>
      <c r="G38" s="4061"/>
      <c r="H38" s="282"/>
      <c r="I38" s="68"/>
      <c r="J38" s="4053"/>
      <c r="K38" s="4054"/>
      <c r="L38" s="4054"/>
      <c r="M38" s="4054"/>
      <c r="N38" s="4054"/>
      <c r="O38" s="4054"/>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4096"/>
      <c r="X38" s="3659"/>
      <c r="Y38" s="3977"/>
      <c r="Z38" s="3977"/>
      <c r="AA38" s="3977"/>
      <c r="AB38" s="3977"/>
      <c r="AC38" s="2330" t="str">
        <f>IF(Místicos!Y38=0,"",VLOOKUP(Místicos!Y38,Tablas!$E$1129:$G$1803,2,FALSE))</f>
        <v/>
      </c>
      <c r="AD38" s="1986" t="str">
        <f t="shared" si="0"/>
        <v/>
      </c>
      <c r="AE38" s="4096"/>
      <c r="AF38" s="3659"/>
      <c r="AG38" s="3977"/>
      <c r="AH38" s="3977"/>
      <c r="AI38" s="3977"/>
      <c r="AJ38" s="3977"/>
      <c r="AK38" s="2328"/>
      <c r="AL38" s="1976">
        <f>IF(Místicos!AG38=0,0,VLOOKUP(Místicos!AG38,Tablas!E1546:F1675,2,FALSE)-10)</f>
        <v>0</v>
      </c>
      <c r="AM38" s="190"/>
      <c r="AN38" s="2089"/>
      <c r="AO38" s="2094" t="s">
        <v>8932</v>
      </c>
      <c r="AP38" s="3991" t="s">
        <v>8957</v>
      </c>
      <c r="AQ38" s="3992"/>
      <c r="AR38" s="3992"/>
      <c r="AS38" s="3992"/>
      <c r="AT38" s="3992"/>
      <c r="AU38" s="3992"/>
      <c r="AV38" s="3992"/>
      <c r="AW38" s="2106"/>
      <c r="AX38" s="1802"/>
      <c r="AY38" s="1986">
        <f>IF(AC38="",0,VLOOKUP(AC38,Tablas!$M$1024:$N$1033,2)*VLOOKUP(W38,Tabla_CosteConjuros,3))</f>
        <v>0</v>
      </c>
    </row>
    <row r="39" spans="1:60" ht="12" customHeight="1" x14ac:dyDescent="0.2">
      <c r="A39" s="190"/>
      <c r="B39" s="1799"/>
      <c r="C39" s="3205"/>
      <c r="D39" s="3205"/>
      <c r="E39" s="3205"/>
      <c r="F39" s="3205"/>
      <c r="G39" s="3205"/>
      <c r="H39" s="22"/>
      <c r="I39" s="68"/>
      <c r="J39" s="4055"/>
      <c r="K39" s="4056"/>
      <c r="L39" s="4056"/>
      <c r="M39" s="4056"/>
      <c r="N39" s="4056"/>
      <c r="O39" s="4056"/>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4097"/>
      <c r="X39" s="3662"/>
      <c r="Y39" s="3976"/>
      <c r="Z39" s="3976"/>
      <c r="AA39" s="3976"/>
      <c r="AB39" s="3976"/>
      <c r="AC39" s="1722" t="str">
        <f>IF(Místicos!Y39=0,"",VLOOKUP(Místicos!Y39,Tablas!$E$1129:$G$1803,2,FALSE))</f>
        <v/>
      </c>
      <c r="AD39" s="1986" t="str">
        <f t="shared" si="0"/>
        <v/>
      </c>
      <c r="AE39" s="4097"/>
      <c r="AF39" s="3662"/>
      <c r="AG39" s="3976"/>
      <c r="AH39" s="3976"/>
      <c r="AI39" s="3976"/>
      <c r="AJ39" s="3976"/>
      <c r="AK39" s="2356"/>
      <c r="AL39" s="1976">
        <f>IF(Místicos!AG39=0,0,VLOOKUP(Místicos!AG39,Tablas!E1547:F1676,2,FALSE)-10)</f>
        <v>0</v>
      </c>
      <c r="AM39" s="190"/>
      <c r="AN39" s="2089"/>
      <c r="AO39" s="2094" t="s">
        <v>8933</v>
      </c>
      <c r="AP39" s="3991" t="s">
        <v>8956</v>
      </c>
      <c r="AQ39" s="3992"/>
      <c r="AR39" s="3992"/>
      <c r="AS39" s="3992"/>
      <c r="AT39" s="3992"/>
      <c r="AU39" s="3992"/>
      <c r="AV39" s="3992"/>
      <c r="AW39" s="2106"/>
      <c r="AX39" s="1802"/>
      <c r="AY39" s="1986">
        <f>IF(AC39="",0,VLOOKUP(AC39,Tablas!$M$1024:$N$1033,2)*VLOOKUP(W39,Tabla_CosteConjuros,3))</f>
        <v>0</v>
      </c>
    </row>
    <row r="40" spans="1:60" ht="12" customHeight="1" x14ac:dyDescent="0.2">
      <c r="A40" s="190"/>
      <c r="B40" s="1799"/>
      <c r="C40" s="4061"/>
      <c r="D40" s="4061"/>
      <c r="E40" s="4061"/>
      <c r="F40" s="4061"/>
      <c r="G40" s="4061"/>
      <c r="H40" s="282"/>
      <c r="I40" s="68"/>
      <c r="J40" s="4053"/>
      <c r="K40" s="4054"/>
      <c r="L40" s="4054"/>
      <c r="M40" s="4054"/>
      <c r="N40" s="4054"/>
      <c r="O40" s="4054"/>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4096"/>
      <c r="X40" s="3659"/>
      <c r="Y40" s="3977"/>
      <c r="Z40" s="3977"/>
      <c r="AA40" s="3977"/>
      <c r="AB40" s="3977"/>
      <c r="AC40" s="2330" t="str">
        <f>IF(Místicos!Y40=0,"",VLOOKUP(Místicos!Y40,Tablas!$E$1129:$G$1803,2,FALSE))</f>
        <v/>
      </c>
      <c r="AD40" s="1986" t="str">
        <f t="shared" si="0"/>
        <v/>
      </c>
      <c r="AE40" s="4096"/>
      <c r="AF40" s="3659"/>
      <c r="AG40" s="3977"/>
      <c r="AH40" s="3977"/>
      <c r="AI40" s="3977"/>
      <c r="AJ40" s="3977"/>
      <c r="AK40" s="2328"/>
      <c r="AL40" s="1976">
        <f>IF(Místicos!AG40=0,0,VLOOKUP(Místicos!AG40,Tablas!E1548:F1677,2,FALSE)-10)</f>
        <v>0</v>
      </c>
      <c r="AM40" s="190"/>
      <c r="AN40" s="2089"/>
      <c r="AO40" s="2094" t="s">
        <v>8934</v>
      </c>
      <c r="AP40" s="3991" t="s">
        <v>8965</v>
      </c>
      <c r="AQ40" s="3992"/>
      <c r="AR40" s="3992"/>
      <c r="AS40" s="3992"/>
      <c r="AT40" s="3992"/>
      <c r="AU40" s="3992"/>
      <c r="AV40" s="3992"/>
      <c r="AW40" s="2106"/>
      <c r="AX40" s="1802"/>
      <c r="AY40" s="1986">
        <f>IF(AC40="",0,VLOOKUP(AC40,Tablas!$M$1024:$N$1033,2)*VLOOKUP(W40,Tabla_CosteConjuros,3))</f>
        <v>0</v>
      </c>
    </row>
    <row r="41" spans="1:60" ht="12" customHeight="1" x14ac:dyDescent="0.2">
      <c r="A41" s="190"/>
      <c r="B41" s="1799"/>
      <c r="C41" s="3205"/>
      <c r="D41" s="3205"/>
      <c r="E41" s="3205"/>
      <c r="F41" s="3205"/>
      <c r="G41" s="3205"/>
      <c r="H41" s="22"/>
      <c r="I41" s="68"/>
      <c r="J41" s="4055"/>
      <c r="K41" s="4056"/>
      <c r="L41" s="4056"/>
      <c r="M41" s="4056"/>
      <c r="N41" s="4056"/>
      <c r="O41" s="4056"/>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4097"/>
      <c r="X41" s="3662"/>
      <c r="Y41" s="3976"/>
      <c r="Z41" s="3976"/>
      <c r="AA41" s="3976"/>
      <c r="AB41" s="3976"/>
      <c r="AC41" s="1722" t="str">
        <f>IF(Místicos!Y41=0,"",VLOOKUP(Místicos!Y41,Tablas!$E$1129:$G$1803,2,FALSE))</f>
        <v/>
      </c>
      <c r="AD41" s="1986" t="str">
        <f t="shared" si="0"/>
        <v/>
      </c>
      <c r="AE41" s="4097"/>
      <c r="AF41" s="3662"/>
      <c r="AG41" s="3976"/>
      <c r="AH41" s="3976"/>
      <c r="AI41" s="3976"/>
      <c r="AJ41" s="3976"/>
      <c r="AK41" s="2356"/>
      <c r="AL41" s="1976">
        <f>IF(Místicos!AG41=0,0,VLOOKUP(Místicos!AG41,Tablas!E1549:F1678,2,FALSE)-10)</f>
        <v>0</v>
      </c>
      <c r="AM41" s="190"/>
      <c r="AN41" s="2089"/>
      <c r="AO41" s="2094" t="s">
        <v>8935</v>
      </c>
      <c r="AP41" s="3991" t="s">
        <v>8955</v>
      </c>
      <c r="AQ41" s="3992"/>
      <c r="AR41" s="3992"/>
      <c r="AS41" s="3992"/>
      <c r="AT41" s="3992"/>
      <c r="AU41" s="3992"/>
      <c r="AV41" s="3992"/>
      <c r="AW41" s="2106"/>
      <c r="AX41" s="1802"/>
      <c r="AY41" s="1986">
        <f>IF(AC41="",0,VLOOKUP(AC41,Tablas!$M$1024:$N$1033,2)*VLOOKUP(W41,Tabla_CosteConjuros,3))</f>
        <v>0</v>
      </c>
    </row>
    <row r="42" spans="1:60" ht="12" customHeight="1" thickBot="1" x14ac:dyDescent="0.25">
      <c r="A42" s="190"/>
      <c r="B42" s="1799"/>
      <c r="C42" s="4061"/>
      <c r="D42" s="4061"/>
      <c r="E42" s="4061"/>
      <c r="F42" s="4061"/>
      <c r="G42" s="4061"/>
      <c r="H42" s="282"/>
      <c r="I42" s="68"/>
      <c r="J42" s="4053"/>
      <c r="K42" s="4054"/>
      <c r="L42" s="4054"/>
      <c r="M42" s="4054"/>
      <c r="N42" s="4054"/>
      <c r="O42" s="4054"/>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4096"/>
      <c r="X42" s="3659"/>
      <c r="Y42" s="3977"/>
      <c r="Z42" s="3977"/>
      <c r="AA42" s="3977"/>
      <c r="AB42" s="3977"/>
      <c r="AC42" s="2330" t="str">
        <f>IF(Místicos!Y42=0,"",VLOOKUP(Místicos!Y42,Tablas!$E$1129:$G$1803,2,FALSE))</f>
        <v/>
      </c>
      <c r="AD42" s="1986" t="str">
        <f t="shared" si="0"/>
        <v/>
      </c>
      <c r="AE42" s="4096"/>
      <c r="AF42" s="3659"/>
      <c r="AG42" s="3977"/>
      <c r="AH42" s="3977"/>
      <c r="AI42" s="3977"/>
      <c r="AJ42" s="3977"/>
      <c r="AK42" s="2328"/>
      <c r="AL42" s="1976">
        <f>IF(Místicos!AG42=0,0,VLOOKUP(Místicos!AG42,Tablas!E1550:F1679,2,FALSE)-10)</f>
        <v>0</v>
      </c>
      <c r="AM42" s="190"/>
      <c r="AN42" s="2089"/>
      <c r="AO42" s="2095">
        <v>-9</v>
      </c>
      <c r="AP42" s="3993" t="s">
        <v>8954</v>
      </c>
      <c r="AQ42" s="3994"/>
      <c r="AR42" s="3994"/>
      <c r="AS42" s="3994"/>
      <c r="AT42" s="3994"/>
      <c r="AU42" s="3994"/>
      <c r="AV42" s="3994"/>
      <c r="AW42" s="2106"/>
      <c r="AX42" s="1802"/>
      <c r="AY42" s="1986">
        <f>IF(AC42="",0,VLOOKUP(AC42,Tablas!$M$1024:$N$1033,2)*VLOOKUP(W42,Tabla_CosteConjuros,3))</f>
        <v>0</v>
      </c>
    </row>
    <row r="43" spans="1:60" ht="12" customHeight="1" thickBot="1" x14ac:dyDescent="0.25">
      <c r="A43" s="190"/>
      <c r="B43" s="1799"/>
      <c r="C43" s="3205"/>
      <c r="D43" s="3205"/>
      <c r="E43" s="3205"/>
      <c r="F43" s="3205"/>
      <c r="G43" s="3205"/>
      <c r="H43" s="22"/>
      <c r="I43" s="68"/>
      <c r="J43" s="4055"/>
      <c r="K43" s="4056"/>
      <c r="L43" s="4056"/>
      <c r="M43" s="4056"/>
      <c r="N43" s="4056"/>
      <c r="O43" s="4056"/>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4097"/>
      <c r="X43" s="3662"/>
      <c r="Y43" s="3976"/>
      <c r="Z43" s="3976"/>
      <c r="AA43" s="3976"/>
      <c r="AB43" s="3976"/>
      <c r="AC43" s="1722" t="str">
        <f>IF(Místicos!Y43=0,"",VLOOKUP(Místicos!Y43,Tablas!$E$1129:$G$1803,2,FALSE))</f>
        <v/>
      </c>
      <c r="AD43" s="1986" t="str">
        <f t="shared" si="0"/>
        <v/>
      </c>
      <c r="AE43" s="4097"/>
      <c r="AF43" s="3662"/>
      <c r="AG43" s="3976"/>
      <c r="AH43" s="3976"/>
      <c r="AI43" s="3976"/>
      <c r="AJ43" s="3976"/>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61"/>
      <c r="D44" s="4061"/>
      <c r="E44" s="4061"/>
      <c r="F44" s="4061"/>
      <c r="G44" s="4061"/>
      <c r="H44" s="282"/>
      <c r="I44" s="68"/>
      <c r="J44" s="4053"/>
      <c r="K44" s="4054"/>
      <c r="L44" s="4054"/>
      <c r="M44" s="4054"/>
      <c r="N44" s="4054"/>
      <c r="O44" s="4054"/>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4096"/>
      <c r="X44" s="3659"/>
      <c r="Y44" s="3977"/>
      <c r="Z44" s="3977"/>
      <c r="AA44" s="3977"/>
      <c r="AB44" s="3977"/>
      <c r="AC44" s="2330" t="str">
        <f>IF(Místicos!Y44=0,"",VLOOKUP(Místicos!Y44,Tablas!$E$1129:$G$1803,2,FALSE))</f>
        <v/>
      </c>
      <c r="AD44" s="1986" t="str">
        <f t="shared" si="0"/>
        <v/>
      </c>
      <c r="AE44" s="4096"/>
      <c r="AF44" s="3659"/>
      <c r="AG44" s="3977"/>
      <c r="AH44" s="3977"/>
      <c r="AI44" s="3977"/>
      <c r="AJ44" s="3977"/>
      <c r="AK44" s="2328"/>
      <c r="AL44" s="1976">
        <f>IF(Místicos!AG44=0,0,VLOOKUP(Místicos!AG44,Tablas!E1552:F1681,2,FALSE)-10)</f>
        <v>0</v>
      </c>
      <c r="AM44" s="190"/>
      <c r="AN44" s="2089"/>
      <c r="AO44" s="3985" t="str">
        <f>IF(OR(AS10="General",AS10="Magia Natural"),"",AS10)</f>
        <v/>
      </c>
      <c r="AP44" s="3986"/>
      <c r="AQ44" s="3986"/>
      <c r="AR44" s="3986"/>
      <c r="AS44" s="3986"/>
      <c r="AT44" s="3986"/>
      <c r="AU44" s="3986"/>
      <c r="AV44" s="3987"/>
      <c r="AW44" s="2106"/>
      <c r="AX44" s="1802"/>
      <c r="AY44" s="1986">
        <f>IF(AC44="",0,VLOOKUP(AC44,Tablas!$M$1024:$N$1033,2)*VLOOKUP(W44,Tabla_CosteConjuros,3))</f>
        <v>0</v>
      </c>
      <c r="AZ44" s="1804" t="s">
        <v>8979</v>
      </c>
      <c r="BA44" s="1804" t="s">
        <v>8980</v>
      </c>
      <c r="BB44" s="1804" t="s">
        <v>8981</v>
      </c>
    </row>
    <row r="45" spans="1:60" ht="12" customHeight="1" thickBot="1" x14ac:dyDescent="0.25">
      <c r="A45" s="190"/>
      <c r="B45" s="1799"/>
      <c r="C45" s="3205"/>
      <c r="D45" s="3205"/>
      <c r="E45" s="3205"/>
      <c r="F45" s="3205"/>
      <c r="G45" s="3205"/>
      <c r="H45" s="22"/>
      <c r="I45" s="68"/>
      <c r="J45" s="4055"/>
      <c r="K45" s="4056"/>
      <c r="L45" s="4056"/>
      <c r="M45" s="4056"/>
      <c r="N45" s="4056"/>
      <c r="O45" s="4056"/>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4097"/>
      <c r="X45" s="3662"/>
      <c r="Y45" s="3976"/>
      <c r="Z45" s="3976"/>
      <c r="AA45" s="3976"/>
      <c r="AB45" s="3976"/>
      <c r="AC45" s="1722" t="str">
        <f>IF(Místicos!Y45=0,"",VLOOKUP(Místicos!Y45,Tablas!$E$1129:$G$1803,2,FALSE))</f>
        <v/>
      </c>
      <c r="AD45" s="1986" t="str">
        <f t="shared" si="0"/>
        <v/>
      </c>
      <c r="AE45" s="4097"/>
      <c r="AF45" s="3662"/>
      <c r="AG45" s="3976"/>
      <c r="AH45" s="3976"/>
      <c r="AI45" s="3976"/>
      <c r="AJ45" s="3976"/>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61"/>
      <c r="D46" s="4061"/>
      <c r="E46" s="4061"/>
      <c r="F46" s="4061"/>
      <c r="G46" s="4061"/>
      <c r="H46" s="282"/>
      <c r="I46" s="68"/>
      <c r="J46" s="4053"/>
      <c r="K46" s="4054"/>
      <c r="L46" s="4054"/>
      <c r="M46" s="4054"/>
      <c r="N46" s="4054"/>
      <c r="O46" s="4054"/>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4096"/>
      <c r="X46" s="3659"/>
      <c r="Y46" s="3977"/>
      <c r="Z46" s="3977"/>
      <c r="AA46" s="3977"/>
      <c r="AB46" s="3977"/>
      <c r="AC46" s="2330" t="str">
        <f>IF(Místicos!Y46=0,"",VLOOKUP(Místicos!Y46,Tablas!$E$1129:$G$1803,2,FALSE))</f>
        <v/>
      </c>
      <c r="AD46" s="1986" t="str">
        <f t="shared" si="0"/>
        <v/>
      </c>
      <c r="AE46" s="4096"/>
      <c r="AF46" s="3659"/>
      <c r="AG46" s="3977"/>
      <c r="AH46" s="3977"/>
      <c r="AI46" s="3977"/>
      <c r="AJ46" s="3977"/>
      <c r="AK46" s="2328"/>
      <c r="AL46" s="1976">
        <f>IF(Místicos!AG46=0,0,VLOOKUP(Místicos!AG46,Tablas!E1554:F1683,2,FALSE)-10)</f>
        <v>0</v>
      </c>
      <c r="AM46" s="190"/>
      <c r="AN46" s="2089"/>
      <c r="AO46" s="3995"/>
      <c r="AP46" s="3996"/>
      <c r="AQ46" s="3998" t="str">
        <f>IF($AZ$45,"Caligrafía ritual",IF($BA$45,"Vínculos Físicos",IF($BB$45,"Zonas Espirituales","""")))</f>
        <v>"</v>
      </c>
      <c r="AR46" s="3998"/>
      <c r="AS46" s="3998"/>
      <c r="AT46" s="3998"/>
      <c r="AU46" s="4013"/>
      <c r="AV46" s="4014"/>
      <c r="AW46" s="2106"/>
      <c r="AX46" s="1802"/>
      <c r="AY46" s="1986">
        <f>IF(AC46="",0,VLOOKUP(AC46,Tablas!$M$1024:$N$1033,2)*VLOOKUP(W46,Tabla_CosteConjuros,3))</f>
        <v>0</v>
      </c>
    </row>
    <row r="47" spans="1:60" ht="12" customHeight="1" x14ac:dyDescent="0.2">
      <c r="A47" s="190"/>
      <c r="B47" s="1799"/>
      <c r="C47" s="3205"/>
      <c r="D47" s="3205"/>
      <c r="E47" s="3205"/>
      <c r="F47" s="3205"/>
      <c r="G47" s="3205"/>
      <c r="H47" s="22"/>
      <c r="I47" s="68"/>
      <c r="J47" s="4055"/>
      <c r="K47" s="4056"/>
      <c r="L47" s="4056"/>
      <c r="M47" s="4056"/>
      <c r="N47" s="4056"/>
      <c r="O47" s="4056"/>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4097"/>
      <c r="X47" s="3662"/>
      <c r="Y47" s="3976"/>
      <c r="Z47" s="3976"/>
      <c r="AA47" s="3976"/>
      <c r="AB47" s="3976"/>
      <c r="AC47" s="1722" t="str">
        <f>IF(Místicos!Y47=0,"",VLOOKUP(Místicos!Y47,Tablas!$E$1129:$G$1803,2,FALSE))</f>
        <v/>
      </c>
      <c r="AD47" s="1986" t="str">
        <f t="shared" si="0"/>
        <v/>
      </c>
      <c r="AE47" s="4097"/>
      <c r="AF47" s="3662"/>
      <c r="AG47" s="3976"/>
      <c r="AH47" s="3976"/>
      <c r="AI47" s="3976"/>
      <c r="AJ47" s="3976"/>
      <c r="AK47" s="2356"/>
      <c r="AL47" s="1976">
        <f>IF(Místicos!AG47=0,0,VLOOKUP(Místicos!AG47,Tablas!E1555:F1684,2,FALSE)-10)</f>
        <v>0</v>
      </c>
      <c r="AM47" s="190"/>
      <c r="AN47" s="2089"/>
      <c r="AO47" s="4173" t="str">
        <f>IF($AZ$45,"Nv. Conjuro  Dif.",IF($BA$45,"",IF($BB$45,"Tipo de zona","""")))</f>
        <v>"</v>
      </c>
      <c r="AP47" s="4041"/>
      <c r="AQ47" s="3981" t="str">
        <f>IF($AZ$45,"Tiempo empleado en la preparación",IF($BA$45,"Objeto a consumir - Bono a RM",IF($BB$45,"Descripción","")))</f>
        <v/>
      </c>
      <c r="AR47" s="3981"/>
      <c r="AS47" s="3981"/>
      <c r="AT47" s="3981"/>
      <c r="AU47" s="3981" t="str">
        <f>IF($AZ$45,"Bono",IF($BA$45,"",IF($BB$45,"Llamar espíritus","")))</f>
        <v/>
      </c>
      <c r="AV47" s="3982"/>
      <c r="AW47" s="2106"/>
      <c r="AX47" s="1802"/>
      <c r="AY47" s="1986">
        <f>IF(AC47="",0,VLOOKUP(AC47,Tablas!$M$1024:$N$1033,2)*VLOOKUP(W47,Tabla_CosteConjuros,3))</f>
        <v>0</v>
      </c>
      <c r="AZ47" s="4161" t="s">
        <v>8978</v>
      </c>
      <c r="BA47" s="4161"/>
      <c r="BB47" s="4161"/>
      <c r="BC47" s="4161" t="s">
        <v>8990</v>
      </c>
      <c r="BD47" s="4161"/>
      <c r="BE47" s="4161"/>
      <c r="BF47" s="4161" t="s">
        <v>8991</v>
      </c>
      <c r="BG47" s="4161"/>
      <c r="BH47" s="4161"/>
    </row>
    <row r="48" spans="1:60" ht="12" customHeight="1" x14ac:dyDescent="0.2">
      <c r="A48" s="190"/>
      <c r="B48" s="1799"/>
      <c r="C48" s="4061"/>
      <c r="D48" s="4061"/>
      <c r="E48" s="4061"/>
      <c r="F48" s="4061"/>
      <c r="G48" s="4061"/>
      <c r="H48" s="282"/>
      <c r="I48" s="68"/>
      <c r="J48" s="4053"/>
      <c r="K48" s="4054"/>
      <c r="L48" s="4054"/>
      <c r="M48" s="4054"/>
      <c r="N48" s="4054"/>
      <c r="O48" s="4054"/>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4096"/>
      <c r="X48" s="3659"/>
      <c r="Y48" s="3977"/>
      <c r="Z48" s="3977"/>
      <c r="AA48" s="3977"/>
      <c r="AB48" s="3977"/>
      <c r="AC48" s="2330" t="str">
        <f>IF(Místicos!Y48=0,"",VLOOKUP(Místicos!Y48,Tablas!$E$1129:$G$1803,2,FALSE))</f>
        <v/>
      </c>
      <c r="AD48" s="1986" t="str">
        <f t="shared" si="0"/>
        <v/>
      </c>
      <c r="AE48" s="4096"/>
      <c r="AF48" s="3659"/>
      <c r="AG48" s="3977"/>
      <c r="AH48" s="3977"/>
      <c r="AI48" s="3977"/>
      <c r="AJ48" s="3977"/>
      <c r="AK48" s="2328"/>
      <c r="AL48" s="1976">
        <f>IF(Místicos!AG48=0,0,VLOOKUP(Místicos!AG48,Tablas!E1556:F1685,2,FALSE)-10)</f>
        <v>0</v>
      </c>
      <c r="AM48" s="190"/>
      <c r="AN48" s="2089"/>
      <c r="AO48" s="4165" t="str">
        <f>IF($AZ$45,AZ48,IF($BA$45,BA48,IF($BB$45,BB48,"")))</f>
        <v/>
      </c>
      <c r="AP48" s="4166"/>
      <c r="AQ48" s="3983" t="str">
        <f>IF($AZ$45,BC48,IF($BA$45,BD48,IF($BB$45,BE48,"")))</f>
        <v/>
      </c>
      <c r="AR48" s="3983"/>
      <c r="AS48" s="3983"/>
      <c r="AT48" s="3983"/>
      <c r="AU48" s="3983" t="str">
        <f t="shared" ref="AU48:AU55" si="2">IF($AZ$45,BF48,IF($BA$45,BG48,IF($BB$45,BH48,"")))</f>
        <v/>
      </c>
      <c r="AV48" s="3984"/>
      <c r="AW48" s="2106"/>
      <c r="AX48" s="1802"/>
      <c r="AY48" s="1986">
        <f>IF(AC48="",0,VLOOKUP(AC48,Tablas!$M$1024:$N$1033,2)*VLOOKUP(W48,Tabla_CosteConjuros,3))</f>
        <v>0</v>
      </c>
      <c r="AZ48" s="2422" t="s">
        <v>9266</v>
      </c>
      <c r="BA48" s="2422" t="s">
        <v>8977</v>
      </c>
      <c r="BB48" s="2422" t="s">
        <v>8973</v>
      </c>
      <c r="BC48" s="2422" t="s">
        <v>8982</v>
      </c>
      <c r="BD48" s="2422" t="s">
        <v>9005</v>
      </c>
      <c r="BE48" s="2422" t="s">
        <v>8985</v>
      </c>
      <c r="BF48" s="2422">
        <v>-40</v>
      </c>
      <c r="BG48" s="2422" t="s">
        <v>8977</v>
      </c>
      <c r="BH48" s="2422" t="s">
        <v>1769</v>
      </c>
    </row>
    <row r="49" spans="1:62" ht="12" customHeight="1" x14ac:dyDescent="0.2">
      <c r="A49" s="190"/>
      <c r="B49" s="1799"/>
      <c r="C49" s="3205"/>
      <c r="D49" s="3205"/>
      <c r="E49" s="3205"/>
      <c r="F49" s="3205"/>
      <c r="G49" s="3205"/>
      <c r="H49" s="22"/>
      <c r="I49" s="68"/>
      <c r="J49" s="4055"/>
      <c r="K49" s="4056"/>
      <c r="L49" s="4056"/>
      <c r="M49" s="4056"/>
      <c r="N49" s="4056"/>
      <c r="O49" s="4056"/>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4097"/>
      <c r="X49" s="3662"/>
      <c r="Y49" s="3976"/>
      <c r="Z49" s="3976"/>
      <c r="AA49" s="3976"/>
      <c r="AB49" s="3976"/>
      <c r="AC49" s="1722" t="str">
        <f>IF(Místicos!Y49=0,"",VLOOKUP(Místicos!Y49,Tablas!$E$1129:$G$1803,2,FALSE))</f>
        <v/>
      </c>
      <c r="AD49" s="1986" t="str">
        <f t="shared" si="0"/>
        <v/>
      </c>
      <c r="AE49" s="4097"/>
      <c r="AF49" s="3662"/>
      <c r="AG49" s="3976"/>
      <c r="AH49" s="3976"/>
      <c r="AI49" s="3976"/>
      <c r="AJ49" s="3976"/>
      <c r="AK49" s="2356"/>
      <c r="AL49" s="1976">
        <f>IF(Místicos!AG49=0,0,VLOOKUP(Místicos!AG49,Tablas!E1557:F1686,2,FALSE)-10)</f>
        <v>0</v>
      </c>
      <c r="AM49" s="190"/>
      <c r="AN49" s="2089"/>
      <c r="AO49" s="4165" t="str">
        <f t="shared" ref="AO49:AO52" si="3">IF($AZ$45,AZ49,IF($BA$45,BA49,IF($BB$45,BB49,"")))</f>
        <v/>
      </c>
      <c r="AP49" s="4166"/>
      <c r="AQ49" s="3983" t="str">
        <f t="shared" ref="AQ49:AQ52" si="4">IF($AZ$45,BC49,IF($BA$45,BD49,IF($BB$45,BE49,"")))</f>
        <v/>
      </c>
      <c r="AR49" s="3983"/>
      <c r="AS49" s="3983"/>
      <c r="AT49" s="3983"/>
      <c r="AU49" s="3983" t="str">
        <f t="shared" si="2"/>
        <v/>
      </c>
      <c r="AV49" s="3984"/>
      <c r="AW49" s="2106"/>
      <c r="AX49" s="1802"/>
      <c r="AY49" s="1986">
        <f>IF(AC49="",0,VLOOKUP(AC49,Tablas!$M$1024:$N$1033,2)*VLOOKUP(W49,Tabla_CosteConjuros,3))</f>
        <v>0</v>
      </c>
      <c r="AZ49" s="2422" t="s">
        <v>9267</v>
      </c>
      <c r="BA49" s="2422" t="s">
        <v>8977</v>
      </c>
      <c r="BB49" s="2422" t="s">
        <v>8974</v>
      </c>
      <c r="BC49" s="2422" t="s">
        <v>8983</v>
      </c>
      <c r="BD49" s="2422" t="s">
        <v>9006</v>
      </c>
      <c r="BE49" s="2422" t="s">
        <v>8986</v>
      </c>
      <c r="BF49" s="2422">
        <v>-20</v>
      </c>
      <c r="BG49" s="2422" t="s">
        <v>8977</v>
      </c>
      <c r="BH49" s="2422" t="s">
        <v>8992</v>
      </c>
    </row>
    <row r="50" spans="1:62" ht="12" customHeight="1" thickBot="1" x14ac:dyDescent="0.25">
      <c r="A50" s="190"/>
      <c r="B50" s="1799"/>
      <c r="C50" s="4061"/>
      <c r="D50" s="4061"/>
      <c r="E50" s="4061"/>
      <c r="F50" s="4061"/>
      <c r="G50" s="4061"/>
      <c r="H50" s="282"/>
      <c r="I50" s="68"/>
      <c r="J50" s="4053"/>
      <c r="K50" s="4054"/>
      <c r="L50" s="4054"/>
      <c r="M50" s="4054"/>
      <c r="N50" s="4054"/>
      <c r="O50" s="4054"/>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89"/>
      <c r="X50" s="3961"/>
      <c r="Y50" s="3978"/>
      <c r="Z50" s="3978"/>
      <c r="AA50" s="3978"/>
      <c r="AB50" s="3978"/>
      <c r="AC50" s="2331" t="str">
        <f>IF(Místicos!Y50=0,"",VLOOKUP(Místicos!Y50,Tablas!$E$1129:$G$1803,2,FALSE))</f>
        <v/>
      </c>
      <c r="AD50" s="1986" t="str">
        <f t="shared" si="0"/>
        <v/>
      </c>
      <c r="AE50" s="4089"/>
      <c r="AF50" s="3961"/>
      <c r="AG50" s="3978"/>
      <c r="AH50" s="3978"/>
      <c r="AI50" s="3978"/>
      <c r="AJ50" s="3978"/>
      <c r="AK50" s="2329"/>
      <c r="AL50" s="1976">
        <f>IF(Místicos!AG50=0,0,VLOOKUP(Místicos!AG50,Tablas!E1558:F1687,2,FALSE)-10)</f>
        <v>0</v>
      </c>
      <c r="AM50" s="190"/>
      <c r="AN50" s="2089"/>
      <c r="AO50" s="4165" t="str">
        <f t="shared" si="3"/>
        <v/>
      </c>
      <c r="AP50" s="4166"/>
      <c r="AQ50" s="3983" t="str">
        <f t="shared" si="4"/>
        <v/>
      </c>
      <c r="AR50" s="3983"/>
      <c r="AS50" s="3983"/>
      <c r="AT50" s="3983"/>
      <c r="AU50" s="3983" t="str">
        <f t="shared" si="2"/>
        <v/>
      </c>
      <c r="AV50" s="3984"/>
      <c r="AW50" s="2106"/>
      <c r="AX50" s="1802"/>
      <c r="AY50" s="1986">
        <f>IF(AC50="",0,VLOOKUP(AC50,Tablas!$M$1024:$N$1033,2)*VLOOKUP(W50,Tabla_CosteConjuros,3))</f>
        <v>0</v>
      </c>
      <c r="AZ50" s="2422" t="s">
        <v>9268</v>
      </c>
      <c r="BA50" s="2422" t="s">
        <v>8977</v>
      </c>
      <c r="BB50" s="2422" t="s">
        <v>1902</v>
      </c>
      <c r="BC50" s="2422" t="s">
        <v>8984</v>
      </c>
      <c r="BD50" s="2422" t="s">
        <v>9007</v>
      </c>
      <c r="BE50" s="2422" t="s">
        <v>8987</v>
      </c>
      <c r="BF50" s="2422">
        <v>0</v>
      </c>
      <c r="BG50" s="2422" t="s">
        <v>8977</v>
      </c>
      <c r="BH50" s="2422" t="s">
        <v>8993</v>
      </c>
    </row>
    <row r="51" spans="1:62" ht="12" customHeight="1" thickBot="1" x14ac:dyDescent="0.25">
      <c r="A51" s="190"/>
      <c r="B51" s="1799"/>
      <c r="C51" s="3205"/>
      <c r="D51" s="3205"/>
      <c r="E51" s="3205"/>
      <c r="F51" s="3205"/>
      <c r="G51" s="3205"/>
      <c r="H51" s="22"/>
      <c r="I51" s="68"/>
      <c r="J51" s="4055"/>
      <c r="K51" s="4056"/>
      <c r="L51" s="4056"/>
      <c r="M51" s="4056"/>
      <c r="N51" s="4056"/>
      <c r="O51" s="4056"/>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4165" t="str">
        <f t="shared" si="3"/>
        <v/>
      </c>
      <c r="AP51" s="4166"/>
      <c r="AQ51" s="3983" t="str">
        <f t="shared" si="4"/>
        <v/>
      </c>
      <c r="AR51" s="3983"/>
      <c r="AS51" s="3983"/>
      <c r="AT51" s="3983"/>
      <c r="AU51" s="3983" t="str">
        <f t="shared" si="2"/>
        <v/>
      </c>
      <c r="AV51" s="3984"/>
      <c r="AW51" s="2106"/>
      <c r="AX51" s="1802"/>
      <c r="AY51" s="1986">
        <f>IF(AC51="",0,VLOOKUP(AC51,Tablas!$M$1024:$N$1033,2)*VLOOKUP(AA51,Tabla_CosteConjuros,3))</f>
        <v>0</v>
      </c>
      <c r="AZ51" s="2422" t="s">
        <v>9269</v>
      </c>
      <c r="BA51" s="2422" t="s">
        <v>8977</v>
      </c>
      <c r="BB51" s="2422" t="s">
        <v>8975</v>
      </c>
      <c r="BC51" s="2422" t="s">
        <v>7985</v>
      </c>
      <c r="BD51" s="2422" t="s">
        <v>9008</v>
      </c>
      <c r="BE51" s="2422" t="s">
        <v>8988</v>
      </c>
      <c r="BF51" s="2422">
        <v>20</v>
      </c>
      <c r="BG51" s="2422" t="s">
        <v>8977</v>
      </c>
      <c r="BH51" s="2422" t="s">
        <v>8993</v>
      </c>
    </row>
    <row r="52" spans="1:62" ht="12" customHeight="1" thickBot="1" x14ac:dyDescent="0.25">
      <c r="A52" s="190"/>
      <c r="B52" s="1799"/>
      <c r="C52" s="4061"/>
      <c r="D52" s="4061"/>
      <c r="E52" s="4061"/>
      <c r="F52" s="4061"/>
      <c r="G52" s="4061"/>
      <c r="H52" s="282"/>
      <c r="I52" s="68"/>
      <c r="J52" s="4053"/>
      <c r="K52" s="4054"/>
      <c r="L52" s="4054"/>
      <c r="M52" s="4054"/>
      <c r="N52" s="4054"/>
      <c r="O52" s="4054"/>
      <c r="P52" s="1921" t="str">
        <f>IF(J52=0,"",VLOOKUP(J52,Tablas!$R$1157:$T$1326,2,FALSE))</f>
        <v/>
      </c>
      <c r="Q52" s="1963" t="str">
        <f>IF(J52=0,"",VLOOKUP(J52,Tablas!$R$1157:$T$1326,3,FALSE)*IF($P$25="Invocador",0.5,1))</f>
        <v/>
      </c>
      <c r="R52" s="68"/>
      <c r="S52" s="1807"/>
      <c r="T52" s="1584"/>
      <c r="U52" s="190"/>
      <c r="V52" s="1977"/>
      <c r="W52" s="3475" t="s">
        <v>2052</v>
      </c>
      <c r="X52" s="3476"/>
      <c r="Y52" s="3476"/>
      <c r="Z52" s="3476"/>
      <c r="AA52" s="3476"/>
      <c r="AB52" s="4091" t="s">
        <v>1866</v>
      </c>
      <c r="AC52" s="4091"/>
      <c r="AD52" s="4091"/>
      <c r="AE52" s="4091"/>
      <c r="AF52" s="4091"/>
      <c r="AG52" s="4091"/>
      <c r="AH52" s="4091"/>
      <c r="AI52" s="4091"/>
      <c r="AJ52" s="4091"/>
      <c r="AK52" s="4092"/>
      <c r="AL52" s="1978"/>
      <c r="AM52" s="190"/>
      <c r="AN52" s="2089"/>
      <c r="AO52" s="4165" t="str">
        <f t="shared" si="3"/>
        <v/>
      </c>
      <c r="AP52" s="4166"/>
      <c r="AQ52" s="3983" t="str">
        <f t="shared" si="4"/>
        <v/>
      </c>
      <c r="AR52" s="3983"/>
      <c r="AS52" s="3983"/>
      <c r="AT52" s="3983"/>
      <c r="AU52" s="3983" t="str">
        <f t="shared" si="2"/>
        <v/>
      </c>
      <c r="AV52" s="3984"/>
      <c r="AW52" s="2106"/>
      <c r="AX52" s="1802"/>
      <c r="AY52" s="1986">
        <f>IF(AC52="",0,VLOOKUP(AC52,Tablas!$M$1024:$N$1033,2)*VLOOKUP(AA52,Tabla_CosteConjuros,3))</f>
        <v>0</v>
      </c>
      <c r="AZ52" s="2422" t="s">
        <v>9270</v>
      </c>
      <c r="BA52" s="2422" t="s">
        <v>8977</v>
      </c>
      <c r="BB52" s="2422" t="s">
        <v>8976</v>
      </c>
      <c r="BC52" s="2422" t="s">
        <v>4901</v>
      </c>
      <c r="BD52" s="2422" t="s">
        <v>9009</v>
      </c>
      <c r="BE52" s="2422" t="s">
        <v>8989</v>
      </c>
      <c r="BF52" s="2422">
        <v>40</v>
      </c>
      <c r="BG52" s="2422" t="s">
        <v>8977</v>
      </c>
      <c r="BH52" s="2422" t="s">
        <v>8994</v>
      </c>
    </row>
    <row r="53" spans="1:62" ht="12" customHeight="1" x14ac:dyDescent="0.2">
      <c r="A53" s="190"/>
      <c r="B53" s="1799"/>
      <c r="C53" s="3205"/>
      <c r="D53" s="3205"/>
      <c r="E53" s="3205"/>
      <c r="F53" s="3205"/>
      <c r="G53" s="3205"/>
      <c r="H53" s="22"/>
      <c r="I53" s="68"/>
      <c r="J53" s="4055"/>
      <c r="K53" s="4056"/>
      <c r="L53" s="4056"/>
      <c r="M53" s="4056"/>
      <c r="N53" s="4056"/>
      <c r="O53" s="4056"/>
      <c r="P53" s="1920" t="str">
        <f>IF(J53=0,"",VLOOKUP(J53,Tablas!$R$1157:$T$1326,2,FALSE))</f>
        <v/>
      </c>
      <c r="Q53" s="1962" t="str">
        <f>IF(J53=0,"",VLOOKUP(J53,Tablas!$R$1157:$T$1326,3,FALSE)*IF($P$25="Invocador",0.5,1))</f>
        <v/>
      </c>
      <c r="R53" s="68"/>
      <c r="S53" s="1807"/>
      <c r="T53" s="1584"/>
      <c r="U53" s="190"/>
      <c r="V53" s="1977"/>
      <c r="W53" s="4093" t="str">
        <f>IF(SUM(Tablas!P1111:S1152)=0,"",IF(Tablas!A1&gt;MAX(Tablas!$P$1111:$P$1152),"",VLOOKUP(Tablas!A1,Tablas!$P$1111:$T$1152,2,FALSE)))</f>
        <v/>
      </c>
      <c r="X53" s="3860"/>
      <c r="Y53" s="3860"/>
      <c r="Z53" s="3860"/>
      <c r="AA53" s="3860"/>
      <c r="AB53" s="3958" t="str">
        <f>IF(SUM(Tablas!$P$1111:$P$1152)=0,"",IF(Tablas!A1&gt;MAX(Tablas!$P$1111:$P$1152),"",VLOOKUP(Tablas!A1,Tablas!$P$1111:$T$1152,4,FALSE)))</f>
        <v/>
      </c>
      <c r="AC53" s="4094"/>
      <c r="AD53" s="4094"/>
      <c r="AE53" s="4094"/>
      <c r="AF53" s="4094"/>
      <c r="AG53" s="4094"/>
      <c r="AH53" s="4094"/>
      <c r="AI53" s="4094"/>
      <c r="AJ53" s="4094"/>
      <c r="AK53" s="4095"/>
      <c r="AL53" s="1978"/>
      <c r="AM53" s="190"/>
      <c r="AN53" s="2089"/>
      <c r="AO53" s="4165" t="str">
        <f>IF($AZ$45,AZ53,IF($BA$45,BA53,IF($BB$45,BB53,"")))</f>
        <v/>
      </c>
      <c r="AP53" s="4166"/>
      <c r="AQ53" s="3983" t="str">
        <f>IF($AZ$45,BC53,IF($BA$45,BD53,IF($BB$45,BE53,"")))</f>
        <v/>
      </c>
      <c r="AR53" s="3983"/>
      <c r="AS53" s="3983"/>
      <c r="AT53" s="3983"/>
      <c r="AU53" s="3983" t="str">
        <f t="shared" si="2"/>
        <v/>
      </c>
      <c r="AV53" s="3984"/>
      <c r="AW53" s="2106"/>
      <c r="AX53" s="1802"/>
      <c r="AY53" s="1986">
        <f>IF(AC53="",0,VLOOKUP(AC53,Tablas!$M$1024:$N$1033,2)*VLOOKUP(AA53,Tabla_CosteConjuros,3))</f>
        <v>0</v>
      </c>
      <c r="AZ53" s="2422" t="s">
        <v>9271</v>
      </c>
      <c r="BA53" s="2422" t="s">
        <v>8977</v>
      </c>
      <c r="BB53" s="2422" t="s">
        <v>8977</v>
      </c>
      <c r="BC53" s="2422" t="s">
        <v>4902</v>
      </c>
      <c r="BD53" s="2422" t="s">
        <v>9010</v>
      </c>
      <c r="BE53" s="2422" t="s">
        <v>8977</v>
      </c>
      <c r="BF53" s="2422">
        <v>80</v>
      </c>
      <c r="BG53" s="2422" t="s">
        <v>8977</v>
      </c>
      <c r="BH53" s="2422" t="s">
        <v>8977</v>
      </c>
    </row>
    <row r="54" spans="1:62" ht="12" customHeight="1" thickBot="1" x14ac:dyDescent="0.25">
      <c r="A54" s="190"/>
      <c r="B54" s="1799"/>
      <c r="C54" s="4061"/>
      <c r="D54" s="4061"/>
      <c r="E54" s="4061"/>
      <c r="F54" s="4061"/>
      <c r="G54" s="4061"/>
      <c r="H54" s="282"/>
      <c r="I54" s="68"/>
      <c r="J54" s="4053"/>
      <c r="K54" s="4054"/>
      <c r="L54" s="4054"/>
      <c r="M54" s="4054"/>
      <c r="N54" s="4054"/>
      <c r="O54" s="4054"/>
      <c r="P54" s="1921" t="str">
        <f>IF(J54=0,"",VLOOKUP(J54,Tablas!$R$1157:$T$1326,2,FALSE))</f>
        <v/>
      </c>
      <c r="Q54" s="1963" t="str">
        <f>IF(J54=0,"",VLOOKUP(J54,Tablas!$R$1157:$T$1326,3,FALSE)*IF($P$25="Invocador",0.5,1))</f>
        <v/>
      </c>
      <c r="R54" s="68"/>
      <c r="S54" s="1807"/>
      <c r="T54" s="1584"/>
      <c r="U54" s="190"/>
      <c r="V54" s="1977"/>
      <c r="W54" s="4090" t="str">
        <f>IF(SUM(Tablas!$P$1111:$P$1152)=0,"",IF(Tablas!A2&gt;MAX(Tablas!$P$1111:$P$1152),"",VLOOKUP(Tablas!A2,Tablas!$P$1111:$T$1152,2,FALSE)))</f>
        <v/>
      </c>
      <c r="X54" s="3843"/>
      <c r="Y54" s="3843"/>
      <c r="Z54" s="3843"/>
      <c r="AA54" s="3843"/>
      <c r="AB54" s="3392" t="str">
        <f>IF(SUM(Tablas!$P$1111:$P$1152)=0,"",IF(Tablas!A2&gt;MAX(Tablas!$P$1111:$P$1152),"",VLOOKUP(Tablas!A2,Tablas!$P$1111:$T$1152,4,FALSE)))</f>
        <v/>
      </c>
      <c r="AC54" s="3390"/>
      <c r="AD54" s="3390"/>
      <c r="AE54" s="3390"/>
      <c r="AF54" s="3390"/>
      <c r="AG54" s="3390"/>
      <c r="AH54" s="3390"/>
      <c r="AI54" s="3390"/>
      <c r="AJ54" s="3390"/>
      <c r="AK54" s="4082"/>
      <c r="AL54" s="1978"/>
      <c r="AM54" s="190"/>
      <c r="AN54" s="2089"/>
      <c r="AO54" s="4183" t="str">
        <f>IF($AZ$45,AZ54,IF($BA$45,BA54,IF($BB$45,BB54,"")))</f>
        <v/>
      </c>
      <c r="AP54" s="4184"/>
      <c r="AQ54" s="4011" t="str">
        <f>IF($AZ$45,BC54,IF($BA$45,BD54,IF($BB$45,BE54,"")))</f>
        <v/>
      </c>
      <c r="AR54" s="4011"/>
      <c r="AS54" s="4011"/>
      <c r="AT54" s="4011"/>
      <c r="AU54" s="4011" t="str">
        <f t="shared" si="2"/>
        <v/>
      </c>
      <c r="AV54" s="4012"/>
      <c r="AW54" s="2106"/>
      <c r="AX54" s="1802"/>
      <c r="AY54" s="1986">
        <f>IF(AC54="",0,VLOOKUP(AC54,Tablas!$M$1024:$N$1033,2)*VLOOKUP(AA54,Tabla_CosteConjuros,3))</f>
        <v>0</v>
      </c>
      <c r="AZ54" s="2422" t="s">
        <v>9272</v>
      </c>
      <c r="BA54" s="2422" t="s">
        <v>8977</v>
      </c>
      <c r="BB54" s="2422" t="s">
        <v>8977</v>
      </c>
      <c r="BC54" s="2422" t="s">
        <v>4903</v>
      </c>
      <c r="BD54" s="2422" t="s">
        <v>9011</v>
      </c>
      <c r="BE54" s="2422"/>
      <c r="BF54" s="2422">
        <v>120</v>
      </c>
      <c r="BG54" s="2422" t="s">
        <v>8977</v>
      </c>
      <c r="BH54" s="2422" t="s">
        <v>8977</v>
      </c>
    </row>
    <row r="55" spans="1:62" ht="12" customHeight="1" x14ac:dyDescent="0.2">
      <c r="A55" s="190"/>
      <c r="B55" s="1799"/>
      <c r="C55" s="3205"/>
      <c r="D55" s="3205"/>
      <c r="E55" s="3205"/>
      <c r="F55" s="3205"/>
      <c r="G55" s="3205"/>
      <c r="H55" s="22"/>
      <c r="J55" s="4055"/>
      <c r="K55" s="4056"/>
      <c r="L55" s="4056"/>
      <c r="M55" s="4056"/>
      <c r="N55" s="4056"/>
      <c r="O55" s="4056"/>
      <c r="P55" s="1920" t="str">
        <f>IF(J55=0,"",VLOOKUP(J55,Tablas!$R$1157:$T$1326,2,FALSE))</f>
        <v/>
      </c>
      <c r="Q55" s="1962" t="str">
        <f>IF(J55=0,"",VLOOKUP(J55,Tablas!$R$1157:$T$1326,3,FALSE)*IF($P$25="Invocador",0.5,1))</f>
        <v/>
      </c>
      <c r="R55" s="68"/>
      <c r="S55" s="1807"/>
      <c r="T55" s="1584"/>
      <c r="U55" s="190"/>
      <c r="V55" s="1977"/>
      <c r="W55" s="4066" t="str">
        <f>IF(SUM(Tablas!$P$1111:$P$1152)=0,"",IF(Tablas!A3&gt;MAX(Tablas!$P$1111:$P$1152),"",VLOOKUP(Tablas!A3,Tablas!$P$1111:$T$1152,2,FALSE)))</f>
        <v/>
      </c>
      <c r="X55" s="4067"/>
      <c r="Y55" s="4067"/>
      <c r="Z55" s="4067"/>
      <c r="AA55" s="4068"/>
      <c r="AB55" s="3392" t="str">
        <f>IF(SUM(Tablas!$P$1111:$P$1152)=0,"",IF(Tablas!A3&gt;MAX(Tablas!$P$1111:$P$1152),"",VLOOKUP(Tablas!A3,Tablas!$P$1111:$T$1152,4,FALSE)))</f>
        <v/>
      </c>
      <c r="AC55" s="3390"/>
      <c r="AD55" s="3390"/>
      <c r="AE55" s="3390"/>
      <c r="AF55" s="3390"/>
      <c r="AG55" s="3390"/>
      <c r="AH55" s="3390"/>
      <c r="AI55" s="3390"/>
      <c r="AJ55" s="3390"/>
      <c r="AK55" s="4082"/>
      <c r="AL55" s="1978"/>
      <c r="AM55" s="190"/>
      <c r="AN55" s="2089"/>
      <c r="AO55" s="4028" t="str">
        <f>IF($AZ$45,AZ55,IF($BA$45,BA55,IF($BB$45,BB55,"")))</f>
        <v/>
      </c>
      <c r="AP55" s="4029"/>
      <c r="AQ55" s="4009" t="str">
        <f>IF($AZ$45,BC55,IF($BA$45,BD55,IF($BB$45,BE55,"")))</f>
        <v/>
      </c>
      <c r="AR55" s="4174"/>
      <c r="AS55" s="4174"/>
      <c r="AT55" s="4175"/>
      <c r="AU55" s="4009" t="str">
        <f t="shared" si="2"/>
        <v/>
      </c>
      <c r="AV55" s="4010"/>
      <c r="AW55" s="2106"/>
      <c r="AX55" s="1802"/>
      <c r="AY55" s="1986">
        <f>IF(AC55="",0,VLOOKUP(AC55,Tablas!$M$1024:$N$1033,2)*VLOOKUP(AA55,Tabla_CosteConjuros,3))</f>
        <v>0</v>
      </c>
      <c r="AZ55" s="2422" t="s">
        <v>3361</v>
      </c>
      <c r="BA55" s="2422" t="s">
        <v>8977</v>
      </c>
      <c r="BB55" s="2422" t="s">
        <v>8977</v>
      </c>
      <c r="BC55" s="2422" t="s">
        <v>8977</v>
      </c>
      <c r="BD55" s="2422" t="s">
        <v>8977</v>
      </c>
      <c r="BE55" s="2422" t="s">
        <v>8995</v>
      </c>
      <c r="BF55" s="2422" t="s">
        <v>8977</v>
      </c>
      <c r="BG55" s="2422" t="s">
        <v>8977</v>
      </c>
      <c r="BH55" s="2422" t="s">
        <v>8977</v>
      </c>
      <c r="BI55" s="2422" t="s">
        <v>8977</v>
      </c>
    </row>
    <row r="56" spans="1:62" ht="12" customHeight="1" x14ac:dyDescent="0.2">
      <c r="A56" s="190"/>
      <c r="B56" s="1799"/>
      <c r="C56" s="4061"/>
      <c r="D56" s="4061"/>
      <c r="E56" s="4061"/>
      <c r="F56" s="4061"/>
      <c r="G56" s="4061"/>
      <c r="H56" s="282"/>
      <c r="J56" s="4053"/>
      <c r="K56" s="4054"/>
      <c r="L56" s="4054"/>
      <c r="M56" s="4054"/>
      <c r="N56" s="4054"/>
      <c r="O56" s="4054"/>
      <c r="P56" s="1990" t="str">
        <f>IF(J56=0,"",VLOOKUP(J56,Tablas!$R$1157:$T$1326,2,FALSE))</f>
        <v/>
      </c>
      <c r="Q56" s="1963" t="str">
        <f>IF(J56=0,"",VLOOKUP(J56,Tablas!$R$1157:$T$1326,3,FALSE)*IF($P$25="Invocador",0.5,1))</f>
        <v/>
      </c>
      <c r="R56" s="68"/>
      <c r="S56" s="1807"/>
      <c r="T56" s="1584"/>
      <c r="U56" s="190"/>
      <c r="V56" s="1977"/>
      <c r="W56" s="4066" t="str">
        <f>IF(SUM(Tablas!$P$1111:$P$1152)=0,"",IF(Tablas!A4&gt;MAX(Tablas!$P$1111:$P$1152),"",VLOOKUP(Tablas!A4,Tablas!$P$1111:$T$1152,2,FALSE)))</f>
        <v/>
      </c>
      <c r="X56" s="4067"/>
      <c r="Y56" s="4067"/>
      <c r="Z56" s="4067"/>
      <c r="AA56" s="4068"/>
      <c r="AB56" s="3392" t="str">
        <f>IF(SUM(Tablas!$P$1111:$P$1152)=0,"",IF(Tablas!A4&gt;MAX(Tablas!$P$1111:$P$1152),"",VLOOKUP(Tablas!A4,Tablas!$P$1111:$T$1152,4,FALSE)))</f>
        <v/>
      </c>
      <c r="AC56" s="3390"/>
      <c r="AD56" s="3390"/>
      <c r="AE56" s="3390"/>
      <c r="AF56" s="3390"/>
      <c r="AG56" s="3390"/>
      <c r="AH56" s="3390"/>
      <c r="AI56" s="3390"/>
      <c r="AJ56" s="3390"/>
      <c r="AK56" s="4082"/>
      <c r="AL56" s="1978"/>
      <c r="AM56" s="190"/>
      <c r="AN56" s="2089"/>
      <c r="AO56" s="4171" t="str">
        <f t="shared" ref="AO56" si="5">IF($AZ$45,AZ56,IF($BA$45,BA56,IF($BB$45,BB56,"")))</f>
        <v/>
      </c>
      <c r="AP56" s="4172"/>
      <c r="AQ56" s="4019" t="str">
        <f>IF($AZ$45,BC56,IF($BA$45,BD56,IF($BB$45,BE56,"")))</f>
        <v/>
      </c>
      <c r="AR56" s="4020"/>
      <c r="AS56" s="4020"/>
      <c r="AT56" s="4020"/>
      <c r="AU56" s="4020"/>
      <c r="AV56" s="4021"/>
      <c r="AW56" s="2106"/>
      <c r="AX56" s="1802"/>
      <c r="AZ56" s="2422" t="s">
        <v>8977</v>
      </c>
      <c r="BA56" s="2422" t="s">
        <v>8977</v>
      </c>
      <c r="BB56" s="2422" t="s">
        <v>8996</v>
      </c>
      <c r="BC56" s="2422" t="s">
        <v>8977</v>
      </c>
      <c r="BD56" s="2422" t="s">
        <v>9003</v>
      </c>
      <c r="BE56" s="2422" t="s">
        <v>8999</v>
      </c>
      <c r="BF56" s="2422" t="s">
        <v>8977</v>
      </c>
      <c r="BG56" s="2422" t="s">
        <v>8977</v>
      </c>
      <c r="BH56" s="2422" t="s">
        <v>8977</v>
      </c>
      <c r="BI56" s="2422" t="s">
        <v>8977</v>
      </c>
      <c r="BJ56" s="2422" t="s">
        <v>8977</v>
      </c>
    </row>
    <row r="57" spans="1:62" ht="12" customHeight="1" x14ac:dyDescent="0.2">
      <c r="A57" s="190"/>
      <c r="B57" s="1799"/>
      <c r="C57" s="3205"/>
      <c r="D57" s="3205"/>
      <c r="E57" s="3205"/>
      <c r="F57" s="3205"/>
      <c r="G57" s="3205"/>
      <c r="H57" s="22"/>
      <c r="J57" s="4055"/>
      <c r="K57" s="4056"/>
      <c r="L57" s="4056"/>
      <c r="M57" s="4056"/>
      <c r="N57" s="4056"/>
      <c r="O57" s="4056"/>
      <c r="P57" s="1920" t="str">
        <f>IF(J57=0,"",VLOOKUP(J57,Tablas!$R$1157:$T$1326,2,FALSE))</f>
        <v/>
      </c>
      <c r="Q57" s="1962" t="str">
        <f>IF(J57=0,"",VLOOKUP(J57,Tablas!$R$1157:$T$1326,3,FALSE)*IF($P$25="Invocador",0.5,1))</f>
        <v/>
      </c>
      <c r="R57" s="68"/>
      <c r="S57" s="1807"/>
      <c r="T57" s="1584"/>
      <c r="U57" s="190"/>
      <c r="V57" s="1977"/>
      <c r="W57" s="4066" t="str">
        <f>IF(SUM(Tablas!$P$1111:$P$1152)=0,"",IF(Tablas!A5&gt;MAX(Tablas!$P$1111:$P$1152),"",VLOOKUP(Tablas!A5,Tablas!$P$1111:$T$1152,2,FALSE)))</f>
        <v/>
      </c>
      <c r="X57" s="4067"/>
      <c r="Y57" s="4067"/>
      <c r="Z57" s="4067"/>
      <c r="AA57" s="4068"/>
      <c r="AB57" s="3392" t="str">
        <f>IF(SUM(Tablas!$P$1111:$P$1152)=0,"",IF(Tablas!A5&gt;MAX(Tablas!$P$1111:$P$1152),"",VLOOKUP(Tablas!A5,Tablas!$P$1111:$T$1152,4,FALSE)))</f>
        <v/>
      </c>
      <c r="AC57" s="3390"/>
      <c r="AD57" s="3390"/>
      <c r="AE57" s="3390"/>
      <c r="AF57" s="3390"/>
      <c r="AG57" s="3390"/>
      <c r="AH57" s="3390"/>
      <c r="AI57" s="3390"/>
      <c r="AJ57" s="3390"/>
      <c r="AK57" s="4082"/>
      <c r="AL57" s="1978"/>
      <c r="AM57" s="190"/>
      <c r="AN57" s="2089"/>
      <c r="AO57" s="4015" t="str">
        <f>IF($AZ$45,AZ57,IF($BA$45,BA57,IF($BB$45,BB57,"")))</f>
        <v/>
      </c>
      <c r="AP57" s="4016"/>
      <c r="AQ57" s="4022" t="str">
        <f t="shared" ref="AQ57:AQ58" si="6">IF($AZ$45,BC57,IF($BA$45,BD57,IF($BB$45,BE57,"")))</f>
        <v/>
      </c>
      <c r="AR57" s="4023"/>
      <c r="AS57" s="4023"/>
      <c r="AT57" s="4023"/>
      <c r="AU57" s="4023"/>
      <c r="AV57" s="4024"/>
      <c r="AW57" s="2106"/>
      <c r="AX57" s="1802"/>
      <c r="AZ57" s="2422" t="s">
        <v>8977</v>
      </c>
      <c r="BA57" s="2422" t="s">
        <v>8977</v>
      </c>
      <c r="BB57" s="1803" t="s">
        <v>8997</v>
      </c>
      <c r="BC57" s="2422" t="s">
        <v>8977</v>
      </c>
      <c r="BD57" s="2422" t="s">
        <v>9001</v>
      </c>
      <c r="BE57" s="1803" t="s">
        <v>1769</v>
      </c>
      <c r="BF57" s="2422" t="s">
        <v>8977</v>
      </c>
      <c r="BG57" s="2422" t="s">
        <v>8977</v>
      </c>
      <c r="BI57" s="2422" t="s">
        <v>8977</v>
      </c>
      <c r="BJ57" s="2422" t="s">
        <v>8977</v>
      </c>
    </row>
    <row r="58" spans="1:62" ht="12" customHeight="1" thickBot="1" x14ac:dyDescent="0.25">
      <c r="A58" s="190"/>
      <c r="B58" s="1799"/>
      <c r="C58" s="4061"/>
      <c r="D58" s="4061"/>
      <c r="E58" s="4061"/>
      <c r="F58" s="4061"/>
      <c r="G58" s="4061"/>
      <c r="H58" s="282"/>
      <c r="J58" s="4053"/>
      <c r="K58" s="4054"/>
      <c r="L58" s="4054"/>
      <c r="M58" s="4054"/>
      <c r="N58" s="4054"/>
      <c r="O58" s="4054"/>
      <c r="P58" s="1921" t="str">
        <f>IF(J58=0,"",VLOOKUP(J58,Tablas!$R$1157:$T$1326,2,FALSE))</f>
        <v/>
      </c>
      <c r="Q58" s="1963" t="str">
        <f>IF(J58=0,"",VLOOKUP(J58,Tablas!$R$1157:$T$1326,3,FALSE)*IF($P$25="Invocador",0.5,1))</f>
        <v/>
      </c>
      <c r="R58" s="68"/>
      <c r="S58" s="1807"/>
      <c r="T58" s="1584"/>
      <c r="U58" s="190"/>
      <c r="V58" s="1977"/>
      <c r="W58" s="4066" t="str">
        <f>IF(SUM(Tablas!$P$1111:$P$1152)=0,"",IF(Tablas!A6&gt;MAX(Tablas!$P$1111:$P$1152),"",VLOOKUP(Tablas!A6,Tablas!$P$1111:$T$1152,2,FALSE)))</f>
        <v/>
      </c>
      <c r="X58" s="4067"/>
      <c r="Y58" s="4067"/>
      <c r="Z58" s="4067"/>
      <c r="AA58" s="4068"/>
      <c r="AB58" s="3392" t="str">
        <f>IF(SUM(Tablas!$P$1111:$P$1152)=0,"",IF(Tablas!A6&gt;MAX(Tablas!$P$1111:$P$1152),"",VLOOKUP(Tablas!A6,Tablas!$P$1111:$T$1152,4,FALSE)))</f>
        <v/>
      </c>
      <c r="AC58" s="3390"/>
      <c r="AD58" s="3390"/>
      <c r="AE58" s="3390"/>
      <c r="AF58" s="3390"/>
      <c r="AG58" s="3390"/>
      <c r="AH58" s="3390"/>
      <c r="AI58" s="3390"/>
      <c r="AJ58" s="3390"/>
      <c r="AK58" s="4082"/>
      <c r="AL58" s="1978"/>
      <c r="AM58" s="190"/>
      <c r="AN58" s="2089"/>
      <c r="AO58" s="4017" t="str">
        <f t="shared" ref="AO58" si="7">IF($AZ$45,AZ58,IF($BA$45,BA58,IF($BB$45,BB58,"")))</f>
        <v/>
      </c>
      <c r="AP58" s="4018"/>
      <c r="AQ58" s="4025" t="str">
        <f t="shared" si="6"/>
        <v/>
      </c>
      <c r="AR58" s="4026"/>
      <c r="AS58" s="4026"/>
      <c r="AT58" s="4026"/>
      <c r="AU58" s="4026"/>
      <c r="AV58" s="4027"/>
      <c r="AW58" s="2106"/>
      <c r="AX58" s="1802"/>
      <c r="BB58" s="1803" t="s">
        <v>8998</v>
      </c>
      <c r="BC58" s="2422" t="s">
        <v>8977</v>
      </c>
      <c r="BD58" s="2422" t="s">
        <v>9002</v>
      </c>
      <c r="BE58" s="1803" t="s">
        <v>9000</v>
      </c>
      <c r="BF58" s="2422" t="s">
        <v>8977</v>
      </c>
      <c r="BG58" s="2422" t="s">
        <v>8977</v>
      </c>
    </row>
    <row r="59" spans="1:62" ht="12" customHeight="1" thickBot="1" x14ac:dyDescent="0.25">
      <c r="A59" s="190"/>
      <c r="B59" s="1799"/>
      <c r="C59" s="3492" t="s">
        <v>2049</v>
      </c>
      <c r="D59" s="3492"/>
      <c r="E59" s="3492"/>
      <c r="F59" s="3492"/>
      <c r="G59" s="3492"/>
      <c r="H59" s="283">
        <f>SUM(H33:H58)+IF(Sheele!$F$5="No",0,Sheele!$U$5)</f>
        <v>0</v>
      </c>
      <c r="J59" s="4058" t="str">
        <f>IF(Tablas!X21,IF(AND(22-COUNTBLANK(P33:P58)&gt;VLOOKUP(Nivel_Sobrenatural,Tablas!$S$9:$X$12,6,FALSE)),"Número inicial de invocaciones excesivo. ","")&amp;IF(P25="Invocador","Costes de las invocaciones ya reducidos",""),"")</f>
        <v/>
      </c>
      <c r="K59" s="4059"/>
      <c r="L59" s="4059"/>
      <c r="M59" s="4059"/>
      <c r="N59" s="4059"/>
      <c r="O59" s="4059"/>
      <c r="P59" s="4059"/>
      <c r="Q59" s="4060"/>
      <c r="R59" s="68"/>
      <c r="S59" s="1807"/>
      <c r="T59" s="1584"/>
      <c r="U59" s="190"/>
      <c r="V59" s="1977"/>
      <c r="W59" s="4066" t="str">
        <f>IF(SUM(Tablas!$P$1111:$P$1152)=0,"",IF(Tablas!A7&gt;MAX(Tablas!$P$1111:$P$1152),"",VLOOKUP(Tablas!A7,Tablas!$P$1111:$T$1152,2,FALSE)))</f>
        <v/>
      </c>
      <c r="X59" s="4067"/>
      <c r="Y59" s="4067"/>
      <c r="Z59" s="4067"/>
      <c r="AA59" s="4068"/>
      <c r="AB59" s="3392" t="str">
        <f>IF(SUM(Tablas!$P$1111:$P$1152)=0,"",IF(Tablas!A7&gt;MAX(Tablas!$P$1111:$P$1152),"",VLOOKUP(Tablas!A7,Tablas!$P$1111:$T$1152,4,FALSE)))</f>
        <v/>
      </c>
      <c r="AC59" s="3390"/>
      <c r="AD59" s="3390"/>
      <c r="AE59" s="3390"/>
      <c r="AF59" s="3390"/>
      <c r="AG59" s="3390"/>
      <c r="AH59" s="3390"/>
      <c r="AI59" s="3390"/>
      <c r="AJ59" s="3390"/>
      <c r="AK59" s="4082"/>
      <c r="AL59" s="1978"/>
      <c r="AM59" s="190"/>
      <c r="AN59" s="2089"/>
      <c r="AW59" s="2106"/>
      <c r="AX59" s="1802"/>
    </row>
    <row r="60" spans="1:62" ht="12" customHeight="1" thickBot="1" x14ac:dyDescent="0.25">
      <c r="A60" s="190"/>
      <c r="B60" s="1799"/>
      <c r="R60" s="68"/>
      <c r="S60" s="1807"/>
      <c r="T60" s="1584"/>
      <c r="U60" s="190"/>
      <c r="V60" s="1977"/>
      <c r="W60" s="4066" t="str">
        <f>IF(SUM(Tablas!$P$1111:$P$1152)=0,"",IF(Tablas!A8&gt;MAX(Tablas!$P$1111:$P$1152),"",VLOOKUP(Tablas!A8,Tablas!$P$1111:$T$1152,2,FALSE)))</f>
        <v/>
      </c>
      <c r="X60" s="4067"/>
      <c r="Y60" s="4067"/>
      <c r="Z60" s="4067"/>
      <c r="AA60" s="4068"/>
      <c r="AB60" s="3392" t="str">
        <f>IF(SUM(Tablas!$P$1111:$P$1152)=0,"",IF(Tablas!A8&gt;MAX(Tablas!$P$1111:$P$1152),"",VLOOKUP(Tablas!A8,Tablas!$P$1111:$T$1152,4,FALSE)))</f>
        <v/>
      </c>
      <c r="AC60" s="3390"/>
      <c r="AD60" s="3390"/>
      <c r="AE60" s="3390"/>
      <c r="AF60" s="3390"/>
      <c r="AG60" s="3390"/>
      <c r="AH60" s="3390"/>
      <c r="AI60" s="3390"/>
      <c r="AJ60" s="3390"/>
      <c r="AK60" s="4082"/>
      <c r="AL60" s="1978"/>
      <c r="AM60" s="190"/>
      <c r="AN60" s="2089"/>
      <c r="AO60" s="3988" t="s">
        <v>8961</v>
      </c>
      <c r="AP60" s="3989"/>
      <c r="AQ60" s="3989"/>
      <c r="AR60" s="3989"/>
      <c r="AS60" s="3989"/>
      <c r="AT60" s="3989"/>
      <c r="AU60" s="3989"/>
      <c r="AV60" s="3990"/>
      <c r="AW60" s="2106"/>
      <c r="AX60" s="1802"/>
      <c r="AZ60" s="1803" t="s">
        <v>9004</v>
      </c>
      <c r="BA60" s="1803" t="s">
        <v>9004</v>
      </c>
      <c r="BB60" s="1803" t="s">
        <v>9004</v>
      </c>
      <c r="BC60" s="1803" t="s">
        <v>9004</v>
      </c>
      <c r="BD60" s="1803" t="s">
        <v>9004</v>
      </c>
      <c r="BE60" s="1803" t="s">
        <v>9004</v>
      </c>
      <c r="BF60" s="1803" t="s">
        <v>9004</v>
      </c>
      <c r="BG60" s="1803" t="s">
        <v>9004</v>
      </c>
      <c r="BH60" s="1803" t="s">
        <v>9004</v>
      </c>
      <c r="BI60" s="1803" t="s">
        <v>9004</v>
      </c>
      <c r="BJ60" s="1803" t="s">
        <v>9004</v>
      </c>
    </row>
    <row r="61" spans="1:62" ht="12" customHeight="1" thickBot="1" x14ac:dyDescent="0.25">
      <c r="A61" s="190"/>
      <c r="B61" s="1799"/>
      <c r="C61" s="3169" t="s">
        <v>2050</v>
      </c>
      <c r="D61" s="3169"/>
      <c r="E61" s="3169"/>
      <c r="F61" s="3169"/>
      <c r="G61" s="3169"/>
      <c r="H61" s="3169"/>
      <c r="I61" s="68"/>
      <c r="J61" s="4087" t="s">
        <v>2051</v>
      </c>
      <c r="K61" s="4087"/>
      <c r="L61" s="4087"/>
      <c r="M61" s="4088" t="s">
        <v>1827</v>
      </c>
      <c r="N61" s="4088"/>
      <c r="O61" s="4088"/>
      <c r="P61" s="4088"/>
      <c r="Q61" s="4088"/>
      <c r="R61" s="68"/>
      <c r="S61" s="1807"/>
      <c r="T61" s="1584"/>
      <c r="U61" s="190"/>
      <c r="V61" s="1977"/>
      <c r="W61" s="4066" t="str">
        <f>IF(SUM(Tablas!$P$1111:$P$1152)=0,"",IF(Tablas!A9&gt;MAX(Tablas!$P$1111:$P$1152),"",VLOOKUP(Tablas!A9,Tablas!$P$1111:$T$1152,2,FALSE)))</f>
        <v/>
      </c>
      <c r="X61" s="4067"/>
      <c r="Y61" s="4067"/>
      <c r="Z61" s="4067"/>
      <c r="AA61" s="4068"/>
      <c r="AB61" s="4069" t="str">
        <f>IF(SUM(Tablas!$P$1111:$P$1152)=0,"",IF(Tablas!A9&gt;MAX(Tablas!$P$1111:$P$1152),"",VLOOKUP(Tablas!A9,Tablas!$P$1111:$T$1152,4,FALSE)))</f>
        <v/>
      </c>
      <c r="AC61" s="4070"/>
      <c r="AD61" s="4070"/>
      <c r="AE61" s="4070"/>
      <c r="AF61" s="4070"/>
      <c r="AG61" s="4070"/>
      <c r="AH61" s="4070"/>
      <c r="AI61" s="4070"/>
      <c r="AJ61" s="4070"/>
      <c r="AK61" s="4071"/>
      <c r="AL61" s="1978"/>
      <c r="AM61" s="190"/>
      <c r="AN61" s="2089"/>
      <c r="AO61" s="3963" t="s">
        <v>2024</v>
      </c>
      <c r="AP61" s="3964"/>
      <c r="AQ61" s="3964" t="s">
        <v>2023</v>
      </c>
      <c r="AR61" s="3964"/>
      <c r="AS61" s="3964"/>
      <c r="AT61" s="2428"/>
      <c r="AU61" s="2082" t="s">
        <v>8962</v>
      </c>
      <c r="AV61" s="2081" t="s">
        <v>3234</v>
      </c>
      <c r="AW61" s="2106"/>
      <c r="AX61" s="1802"/>
    </row>
    <row r="62" spans="1:62" ht="12" customHeight="1" x14ac:dyDescent="0.2">
      <c r="A62" s="190"/>
      <c r="B62" s="1799"/>
      <c r="C62" s="4084" t="s">
        <v>2053</v>
      </c>
      <c r="D62" s="4084"/>
      <c r="E62" s="285" t="s">
        <v>1679</v>
      </c>
      <c r="F62" s="4085" t="s">
        <v>2054</v>
      </c>
      <c r="G62" s="4085"/>
      <c r="H62" s="4085"/>
      <c r="I62" s="68"/>
      <c r="J62" s="286">
        <v>20</v>
      </c>
      <c r="K62" s="4057" t="s">
        <v>2055</v>
      </c>
      <c r="L62" s="4057"/>
      <c r="M62" s="4086" t="s">
        <v>2056</v>
      </c>
      <c r="N62" s="4086"/>
      <c r="O62" s="4086"/>
      <c r="P62" s="4086"/>
      <c r="Q62" s="4086"/>
      <c r="R62" s="68"/>
      <c r="S62" s="1807"/>
      <c r="T62" s="1584"/>
      <c r="U62" s="190"/>
      <c r="V62" s="1977"/>
      <c r="W62" s="4066" t="str">
        <f>IF(SUM(Tablas!$P$1111:$P$1152)=0,"",IF(Tablas!A10&gt;MAX(Tablas!$P$1111:$P$1152),"",VLOOKUP(Tablas!A10,Tablas!$P$1111:$T$1152,2,FALSE)))</f>
        <v/>
      </c>
      <c r="X62" s="4067"/>
      <c r="Y62" s="4067"/>
      <c r="Z62" s="4067"/>
      <c r="AA62" s="4068"/>
      <c r="AB62" s="4069" t="str">
        <f>IF(SUM(Tablas!$P$1111:$P$1152)=0,"",IF(Tablas!A10&gt;MAX(Tablas!$P$1111:$P$1152),"",VLOOKUP(Tablas!A10,Tablas!$P$1111:$T$1152,4,FALSE)))</f>
        <v/>
      </c>
      <c r="AC62" s="4070"/>
      <c r="AD62" s="4070"/>
      <c r="AE62" s="4070"/>
      <c r="AF62" s="4070"/>
      <c r="AG62" s="4070"/>
      <c r="AH62" s="4070"/>
      <c r="AI62" s="4070"/>
      <c r="AJ62" s="4070"/>
      <c r="AK62" s="4071"/>
      <c r="AL62" s="1978"/>
      <c r="AM62" s="190"/>
      <c r="AN62" s="2427" t="str">
        <f>"Conjuros"&amp;IF(AO62="","","_"&amp;AO62)</f>
        <v>Conjuros</v>
      </c>
      <c r="AO62" s="3972"/>
      <c r="AP62" s="3973"/>
      <c r="AQ62" s="3974"/>
      <c r="AR62" s="3974"/>
      <c r="AS62" s="3974"/>
      <c r="AT62" s="3975"/>
      <c r="AU62" s="2040"/>
      <c r="AV62" s="2084">
        <f>IF(AQ62="",0,VLOOKUP(AQ62,'Tablas Magia'!$D$6:$Z$680,11,FALSE)/2)</f>
        <v>0</v>
      </c>
      <c r="AW62" s="2106"/>
      <c r="AX62" s="1802"/>
      <c r="BD62" s="2422"/>
    </row>
    <row r="63" spans="1:62" ht="12" customHeight="1" x14ac:dyDescent="0.2">
      <c r="A63" s="190"/>
      <c r="B63" s="1799"/>
      <c r="C63" s="4083" t="s">
        <v>2057</v>
      </c>
      <c r="D63" s="4083"/>
      <c r="E63" s="287">
        <v>-100</v>
      </c>
      <c r="F63" s="4049" t="s">
        <v>2058</v>
      </c>
      <c r="G63" s="4049"/>
      <c r="H63" s="4050">
        <v>20</v>
      </c>
      <c r="I63" s="68"/>
      <c r="J63" s="286">
        <v>40</v>
      </c>
      <c r="K63" s="4057" t="s">
        <v>2059</v>
      </c>
      <c r="L63" s="4057"/>
      <c r="M63" s="4073" t="s">
        <v>2060</v>
      </c>
      <c r="N63" s="4073"/>
      <c r="O63" s="4073"/>
      <c r="P63" s="4073"/>
      <c r="Q63" s="4073"/>
      <c r="R63" s="68"/>
      <c r="S63" s="1807"/>
      <c r="T63" s="1584"/>
      <c r="U63" s="190"/>
      <c r="V63" s="1977"/>
      <c r="W63" s="4066" t="str">
        <f>IF(SUM(Tablas!$P$1111:$P$1152)=0,"",IF(Tablas!A11&gt;MAX(Tablas!$P$1111:$P$1152),"",VLOOKUP(Tablas!A11,Tablas!$P$1111:$T$1152,2,FALSE)))</f>
        <v/>
      </c>
      <c r="X63" s="4067"/>
      <c r="Y63" s="4067"/>
      <c r="Z63" s="4067"/>
      <c r="AA63" s="4068"/>
      <c r="AB63" s="4069" t="str">
        <f>IF(SUM(Tablas!$P$1111:$P$1152)=0,"",IF(Tablas!A11&gt;MAX(Tablas!$P$1111:$P$1152),"",VLOOKUP(Tablas!A11,Tablas!$P$1111:$T$1152,4,FALSE)))</f>
        <v/>
      </c>
      <c r="AC63" s="4070"/>
      <c r="AD63" s="4070"/>
      <c r="AE63" s="4070"/>
      <c r="AF63" s="4070"/>
      <c r="AG63" s="4070"/>
      <c r="AH63" s="4070"/>
      <c r="AI63" s="4070"/>
      <c r="AJ63" s="4070"/>
      <c r="AK63" s="4071"/>
      <c r="AL63" s="1978"/>
      <c r="AM63" s="190"/>
      <c r="AN63" s="2427" t="str">
        <f t="shared" ref="AN63:AN72" si="8">"Conjuros"&amp;IF(AO63="","","_"&amp;AO63)</f>
        <v>Conjuros</v>
      </c>
      <c r="AO63" s="3965"/>
      <c r="AP63" s="3966"/>
      <c r="AQ63" s="3967"/>
      <c r="AR63" s="3967"/>
      <c r="AS63" s="3967"/>
      <c r="AT63" s="3968"/>
      <c r="AU63" s="2083"/>
      <c r="AV63" s="2085">
        <f>IF(AQ63="",0,VLOOKUP(AQ63,'Tablas Magia'!$D$6:$Z$680,11,FALSE)/2)</f>
        <v>0</v>
      </c>
      <c r="AW63" s="2106"/>
      <c r="AX63" s="1802"/>
      <c r="BD63" s="2422"/>
    </row>
    <row r="64" spans="1:62" ht="12" customHeight="1" x14ac:dyDescent="0.2">
      <c r="A64" s="190"/>
      <c r="B64" s="1799"/>
      <c r="C64" s="4048" t="s">
        <v>2061</v>
      </c>
      <c r="D64" s="4048"/>
      <c r="E64" s="287">
        <v>-50</v>
      </c>
      <c r="F64" s="4049"/>
      <c r="G64" s="4049"/>
      <c r="H64" s="4050"/>
      <c r="I64" s="68"/>
      <c r="J64" s="286">
        <v>80</v>
      </c>
      <c r="K64" s="4057" t="s">
        <v>2062</v>
      </c>
      <c r="L64" s="4057"/>
      <c r="M64" s="4073" t="s">
        <v>2063</v>
      </c>
      <c r="N64" s="4073"/>
      <c r="O64" s="4073"/>
      <c r="P64" s="4073"/>
      <c r="Q64" s="4073"/>
      <c r="R64" s="68"/>
      <c r="S64" s="1807"/>
      <c r="T64" s="1584"/>
      <c r="U64" s="190"/>
      <c r="V64" s="1977"/>
      <c r="W64" s="4066" t="str">
        <f>IF(SUM(Tablas!$P$1111:$P$1152)=0,"",IF(Tablas!A12&gt;MAX(Tablas!$P$1111:$P$1152),"",VLOOKUP(Tablas!A12,Tablas!$P$1111:$T$1152,2,FALSE)))</f>
        <v/>
      </c>
      <c r="X64" s="4067"/>
      <c r="Y64" s="4067"/>
      <c r="Z64" s="4067"/>
      <c r="AA64" s="4068"/>
      <c r="AB64" s="4069" t="str">
        <f>IF(SUM(Tablas!$P$1111:$P$1152)=0,"",IF(Tablas!A12&gt;MAX(Tablas!$P$1111:$P$1152),"",VLOOKUP(Tablas!A12,Tablas!$P$1111:$T$1152,4,FALSE)))</f>
        <v/>
      </c>
      <c r="AC64" s="4070"/>
      <c r="AD64" s="4070"/>
      <c r="AE64" s="4070"/>
      <c r="AF64" s="4070"/>
      <c r="AG64" s="4070"/>
      <c r="AH64" s="4070"/>
      <c r="AI64" s="4070"/>
      <c r="AJ64" s="4070"/>
      <c r="AK64" s="4071"/>
      <c r="AL64" s="1978"/>
      <c r="AM64" s="190"/>
      <c r="AN64" s="2427" t="str">
        <f t="shared" si="8"/>
        <v>Conjuros</v>
      </c>
      <c r="AO64" s="3969"/>
      <c r="AP64" s="3970"/>
      <c r="AQ64" s="3659"/>
      <c r="AR64" s="3659"/>
      <c r="AS64" s="3659"/>
      <c r="AT64" s="3971"/>
      <c r="AU64" s="2041"/>
      <c r="AV64" s="2036">
        <f>IF(AQ64="",0,VLOOKUP(AQ64,'Tablas Magia'!$D$6:$Z$680,11,FALSE)/2)</f>
        <v>0</v>
      </c>
      <c r="AW64" s="2106"/>
      <c r="AX64" s="1802"/>
    </row>
    <row r="65" spans="1:50" ht="12" customHeight="1" x14ac:dyDescent="0.2">
      <c r="A65" s="190"/>
      <c r="B65" s="1799"/>
      <c r="C65" s="4048" t="s">
        <v>2064</v>
      </c>
      <c r="D65" s="4048"/>
      <c r="E65" s="287">
        <v>-20</v>
      </c>
      <c r="F65" s="4049" t="s">
        <v>2065</v>
      </c>
      <c r="G65" s="4049"/>
      <c r="H65" s="4050">
        <v>10</v>
      </c>
      <c r="I65" s="68"/>
      <c r="J65" s="286">
        <v>120</v>
      </c>
      <c r="K65" s="4057" t="s">
        <v>2066</v>
      </c>
      <c r="L65" s="4057"/>
      <c r="M65" s="4073" t="str">
        <f>IF(Metamagia!$R$54+Metamagia!$U$54+Metamagia!$AA$54+Metamagia!$AA$59+Metamagia!$AA$64+Metamagia!$AD$48+Metamagia!$AG$46&gt;0,"Blancos hasta 100m. Zeón 10","Blancos hasta 100m")</f>
        <v>Blancos hasta 100m</v>
      </c>
      <c r="N65" s="4073"/>
      <c r="O65" s="4073"/>
      <c r="P65" s="4073"/>
      <c r="Q65" s="4073"/>
      <c r="R65" s="68"/>
      <c r="S65" s="1807"/>
      <c r="T65" s="1584"/>
      <c r="U65" s="190"/>
      <c r="V65" s="1977"/>
      <c r="W65" s="4066" t="str">
        <f>IF(SUM(Tablas!$P$1111:$P$1152)=0,"",IF(Tablas!A13&gt;MAX(Tablas!$P$1111:$P$1152),"",VLOOKUP(Tablas!A13,Tablas!$P$1111:$T$1152,2,FALSE)))</f>
        <v/>
      </c>
      <c r="X65" s="4067"/>
      <c r="Y65" s="4067"/>
      <c r="Z65" s="4067"/>
      <c r="AA65" s="4068"/>
      <c r="AB65" s="4069" t="str">
        <f>IF(SUM(Tablas!$P$1111:$P$1152)=0,"",IF(Tablas!A13&gt;MAX(Tablas!$P$1111:$P$1152),"",VLOOKUP(Tablas!A13,Tablas!$P$1111:$T$1152,4,FALSE)))</f>
        <v/>
      </c>
      <c r="AC65" s="4070"/>
      <c r="AD65" s="4070"/>
      <c r="AE65" s="4070"/>
      <c r="AF65" s="4070"/>
      <c r="AG65" s="4070"/>
      <c r="AH65" s="4070"/>
      <c r="AI65" s="4070"/>
      <c r="AJ65" s="4070"/>
      <c r="AK65" s="4071"/>
      <c r="AL65" s="1807"/>
      <c r="AM65" s="190"/>
      <c r="AN65" s="2427" t="str">
        <f t="shared" si="8"/>
        <v>Conjuros</v>
      </c>
      <c r="AO65" s="3965"/>
      <c r="AP65" s="3966"/>
      <c r="AQ65" s="3967"/>
      <c r="AR65" s="3967"/>
      <c r="AS65" s="3967"/>
      <c r="AT65" s="3968"/>
      <c r="AU65" s="2083"/>
      <c r="AV65" s="2085">
        <f>IF(AQ65="",0,VLOOKUP(AQ65,'Tablas Magia'!$D$6:$Z$680,11,FALSE)/2)</f>
        <v>0</v>
      </c>
      <c r="AW65" s="2105"/>
      <c r="AX65" s="1802"/>
    </row>
    <row r="66" spans="1:50" ht="12" customHeight="1" x14ac:dyDescent="0.2">
      <c r="A66" s="190"/>
      <c r="B66" s="1799"/>
      <c r="C66" s="4048" t="s">
        <v>2067</v>
      </c>
      <c r="D66" s="4048"/>
      <c r="E66" s="287">
        <v>0</v>
      </c>
      <c r="F66" s="4049"/>
      <c r="G66" s="4049"/>
      <c r="H66" s="4050"/>
      <c r="I66" s="68"/>
      <c r="J66" s="286">
        <v>140</v>
      </c>
      <c r="K66" s="4057" t="s">
        <v>2068</v>
      </c>
      <c r="L66" s="4057"/>
      <c r="M66" s="4073" t="str">
        <f>IF(Metamagia!$R$54+Metamagia!$U$54+Metamagia!$AA$54+Metamagia!$AA$59+Metamagia!$AA$64+Metamagia!$AD$48+Metamagia!$AG$46&gt;1,"Blancos hasta 250m. Zeón 20","Blancos hasta 250m")</f>
        <v>Blancos hasta 250m</v>
      </c>
      <c r="N66" s="4073"/>
      <c r="O66" s="4073"/>
      <c r="P66" s="4073"/>
      <c r="Q66" s="4073"/>
      <c r="R66" s="68"/>
      <c r="S66" s="1807"/>
      <c r="T66" s="1584"/>
      <c r="U66" s="190"/>
      <c r="V66" s="1977"/>
      <c r="W66" s="4066" t="str">
        <f>IF(SUM(Tablas!$P$1111:$P$1152)=0,"",IF(Tablas!A14&gt;MAX(Tablas!$P$1111:$P$1152),"",VLOOKUP(Tablas!A14,Tablas!$P$1111:$T$1152,2,FALSE)))</f>
        <v/>
      </c>
      <c r="X66" s="4067"/>
      <c r="Y66" s="4067"/>
      <c r="Z66" s="4067"/>
      <c r="AA66" s="4068"/>
      <c r="AB66" s="4069" t="str">
        <f>IF(SUM(Tablas!$P$1111:$P$1152)=0,"",IF(Tablas!A14&gt;MAX(Tablas!$P$1111:$P$1152),"",VLOOKUP(Tablas!A14,Tablas!$P$1111:$T$1152,4,FALSE)))</f>
        <v/>
      </c>
      <c r="AC66" s="4070"/>
      <c r="AD66" s="4070"/>
      <c r="AE66" s="4070"/>
      <c r="AF66" s="4070"/>
      <c r="AG66" s="4070"/>
      <c r="AH66" s="4070"/>
      <c r="AI66" s="4070"/>
      <c r="AJ66" s="4070"/>
      <c r="AK66" s="4071"/>
      <c r="AL66" s="1807"/>
      <c r="AM66" s="190"/>
      <c r="AN66" s="2427" t="str">
        <f t="shared" si="8"/>
        <v>Conjuros</v>
      </c>
      <c r="AO66" s="3969"/>
      <c r="AP66" s="3970"/>
      <c r="AQ66" s="3659"/>
      <c r="AR66" s="3659"/>
      <c r="AS66" s="3659"/>
      <c r="AT66" s="3971"/>
      <c r="AU66" s="2041"/>
      <c r="AV66" s="2036">
        <f>IF(AQ66="",0,VLOOKUP(AQ66,'Tablas Magia'!$D$6:$Z$680,11,FALSE)/2)</f>
        <v>0</v>
      </c>
      <c r="AW66" s="2105"/>
      <c r="AX66" s="1802"/>
    </row>
    <row r="67" spans="1:50" ht="12" customHeight="1" x14ac:dyDescent="0.2">
      <c r="A67" s="190"/>
      <c r="B67" s="1799"/>
      <c r="C67" s="4048" t="s">
        <v>2069</v>
      </c>
      <c r="D67" s="4048"/>
      <c r="E67" s="287">
        <v>10</v>
      </c>
      <c r="F67" s="4049" t="s">
        <v>2070</v>
      </c>
      <c r="G67" s="4049"/>
      <c r="H67" s="4050">
        <v>20</v>
      </c>
      <c r="I67" s="68"/>
      <c r="J67" s="286">
        <v>180</v>
      </c>
      <c r="K67" s="4057" t="s">
        <v>2071</v>
      </c>
      <c r="L67" s="4057"/>
      <c r="M67" s="4073" t="str">
        <f>IF(Metamagia!$R$54+Metamagia!$U$54+Metamagia!$AA$54+Metamagia!$AA$59+Metamagia!$AA$64+Metamagia!$AD$48+Metamagia!$AG$46&gt;2,"Blancos hasta 500m. Zeón 40","Blancos hasta 500m")</f>
        <v>Blancos hasta 500m</v>
      </c>
      <c r="N67" s="4073"/>
      <c r="O67" s="4073"/>
      <c r="P67" s="4073"/>
      <c r="Q67" s="4073"/>
      <c r="R67" s="68"/>
      <c r="S67" s="1807"/>
      <c r="T67" s="1584"/>
      <c r="U67" s="190"/>
      <c r="V67" s="1977"/>
      <c r="W67" s="4066" t="str">
        <f>IF(SUM(Tablas!$P$1111:$P$1152)=0,"",IF(Tablas!A15&gt;MAX(Tablas!$P$1111:$P$1152),"",VLOOKUP(Tablas!A15,Tablas!$P$1111:$T$1152,2,FALSE)))</f>
        <v/>
      </c>
      <c r="X67" s="4067"/>
      <c r="Y67" s="4067"/>
      <c r="Z67" s="4067"/>
      <c r="AA67" s="4068"/>
      <c r="AB67" s="4069" t="str">
        <f>IF(SUM(Tablas!$P$1111:$P$1152)=0,"",IF(Tablas!A15&gt;MAX(Tablas!$P$1111:$P$1152),"",VLOOKUP(Tablas!A15,Tablas!$P$1111:$T$1152,4,FALSE)))</f>
        <v/>
      </c>
      <c r="AC67" s="4070"/>
      <c r="AD67" s="4070"/>
      <c r="AE67" s="4070"/>
      <c r="AF67" s="4070"/>
      <c r="AG67" s="4070"/>
      <c r="AH67" s="4070"/>
      <c r="AI67" s="4070"/>
      <c r="AJ67" s="4070"/>
      <c r="AK67" s="4071"/>
      <c r="AL67" s="1807"/>
      <c r="AM67" s="190"/>
      <c r="AN67" s="2427" t="str">
        <f t="shared" si="8"/>
        <v>Conjuros</v>
      </c>
      <c r="AO67" s="3965"/>
      <c r="AP67" s="3966"/>
      <c r="AQ67" s="3967"/>
      <c r="AR67" s="3967"/>
      <c r="AS67" s="3967"/>
      <c r="AT67" s="3968"/>
      <c r="AU67" s="2083"/>
      <c r="AV67" s="2085">
        <f>IF(AQ67="",0,VLOOKUP(AQ67,'Tablas Magia'!$D$6:$Z$680,11,FALSE)/2)</f>
        <v>0</v>
      </c>
      <c r="AW67" s="2105"/>
      <c r="AX67" s="1802"/>
    </row>
    <row r="68" spans="1:50" ht="12" customHeight="1" x14ac:dyDescent="0.2">
      <c r="A68" s="190"/>
      <c r="B68" s="1799"/>
      <c r="C68" s="4048" t="s">
        <v>2072</v>
      </c>
      <c r="D68" s="4048"/>
      <c r="E68" s="287">
        <v>20</v>
      </c>
      <c r="F68" s="4049"/>
      <c r="G68" s="4049"/>
      <c r="H68" s="4050"/>
      <c r="I68" s="68"/>
      <c r="J68" s="286">
        <v>240</v>
      </c>
      <c r="K68" s="4057" t="s">
        <v>2073</v>
      </c>
      <c r="L68" s="4057"/>
      <c r="M68" s="4073" t="str">
        <f>IF(Metamagia!$R$54+Metamagia!$U$54+Metamagia!$AA$54+Metamagia!$AA$59+Metamagia!$AA$64+Metamagia!$AD$48+Metamagia!$AG$46&gt;3,"Hasta 1 km. Blanco localizado. Zeón 60","Hasta 1 km. Blanco localizado")</f>
        <v>Hasta 1 km. Blanco localizado</v>
      </c>
      <c r="N68" s="4073"/>
      <c r="O68" s="4073"/>
      <c r="P68" s="4073"/>
      <c r="Q68" s="4073"/>
      <c r="R68" s="68"/>
      <c r="S68" s="1807"/>
      <c r="T68" s="1584"/>
      <c r="U68" s="190"/>
      <c r="V68" s="1977"/>
      <c r="W68" s="4066" t="str">
        <f>IF(SUM(Tablas!$P$1111:$P$1152)=0,"",IF(Tablas!A16&gt;MAX(Tablas!$P$1111:$P$1152),"",VLOOKUP(Tablas!A16,Tablas!$P$1111:$T$1152,2,FALSE)))</f>
        <v/>
      </c>
      <c r="X68" s="4067"/>
      <c r="Y68" s="4067"/>
      <c r="Z68" s="4067"/>
      <c r="AA68" s="4068"/>
      <c r="AB68" s="4069" t="str">
        <f>IF(SUM(Tablas!$P$1111:$P$1152)=0,"",IF(Tablas!A16&gt;MAX(Tablas!$P$1111:$P$1152),"",VLOOKUP(Tablas!A16,Tablas!$P$1111:$T$1152,4,FALSE)))</f>
        <v/>
      </c>
      <c r="AC68" s="4070"/>
      <c r="AD68" s="4070"/>
      <c r="AE68" s="4070"/>
      <c r="AF68" s="4070"/>
      <c r="AG68" s="4070"/>
      <c r="AH68" s="4070"/>
      <c r="AI68" s="4070"/>
      <c r="AJ68" s="4070"/>
      <c r="AK68" s="4071"/>
      <c r="AL68" s="1807"/>
      <c r="AM68" s="190"/>
      <c r="AN68" s="2427" t="str">
        <f t="shared" si="8"/>
        <v>Conjuros</v>
      </c>
      <c r="AO68" s="3969"/>
      <c r="AP68" s="3970"/>
      <c r="AQ68" s="3659"/>
      <c r="AR68" s="3659"/>
      <c r="AS68" s="3659"/>
      <c r="AT68" s="3971"/>
      <c r="AU68" s="2041"/>
      <c r="AV68" s="2036">
        <f>IF(AQ68="",0,VLOOKUP(AQ68,'Tablas Magia'!$D$6:$Z$680,11,FALSE)/2)</f>
        <v>0</v>
      </c>
      <c r="AW68" s="2105"/>
      <c r="AX68" s="1802"/>
    </row>
    <row r="69" spans="1:50" ht="12" customHeight="1" x14ac:dyDescent="0.2">
      <c r="A69" s="190"/>
      <c r="B69" s="1799"/>
      <c r="C69" s="4048" t="s">
        <v>2074</v>
      </c>
      <c r="D69" s="4048"/>
      <c r="E69" s="287">
        <v>30</v>
      </c>
      <c r="F69" s="4080" t="s">
        <v>2075</v>
      </c>
      <c r="G69" s="4080"/>
      <c r="H69" s="4081">
        <v>-50</v>
      </c>
      <c r="I69" s="68"/>
      <c r="J69" s="286">
        <v>280</v>
      </c>
      <c r="K69" s="4057" t="s">
        <v>2076</v>
      </c>
      <c r="L69" s="4057"/>
      <c r="M69" s="4073" t="str">
        <f>IF(Metamagia!$R$54+Metamagia!$U$54+Metamagia!$AA$54+Metamagia!$AA$59+Metamagia!$AA$64+Metamagia!$AD$48+Metamagia!$AG$46&gt;4,"Hasta 10 km. Blanco aprox. Zeón 80","Hasta 10 km. Blanco aproximado")</f>
        <v>Hasta 10 km. Blanco aproximado</v>
      </c>
      <c r="N69" s="4073"/>
      <c r="O69" s="4073"/>
      <c r="P69" s="4073"/>
      <c r="Q69" s="4073"/>
      <c r="R69" s="68"/>
      <c r="S69" s="1807"/>
      <c r="T69" s="1584"/>
      <c r="U69" s="190"/>
      <c r="V69" s="1977"/>
      <c r="W69" s="4066" t="str">
        <f>IF(SUM(Tablas!$P$1111:$P$1152)=0,"",IF(Tablas!A17&gt;MAX(Tablas!$P$1111:$P$1152),"",VLOOKUP(Tablas!A17,Tablas!$P$1111:$T$1152,2,FALSE)))</f>
        <v/>
      </c>
      <c r="X69" s="4067"/>
      <c r="Y69" s="4067"/>
      <c r="Z69" s="4067"/>
      <c r="AA69" s="4068"/>
      <c r="AB69" s="4069" t="str">
        <f>IF(SUM(Tablas!$P$1111:$P$1152)=0,"",IF(Tablas!A17&gt;MAX(Tablas!$P$1111:$P$1152),"",VLOOKUP(Tablas!A17,Tablas!$P$1111:$T$1152,4,FALSE)))</f>
        <v/>
      </c>
      <c r="AC69" s="4070"/>
      <c r="AD69" s="4070"/>
      <c r="AE69" s="4070"/>
      <c r="AF69" s="4070"/>
      <c r="AG69" s="4070"/>
      <c r="AH69" s="4070"/>
      <c r="AI69" s="4070"/>
      <c r="AJ69" s="4070"/>
      <c r="AK69" s="4071"/>
      <c r="AL69" s="1807"/>
      <c r="AM69" s="190"/>
      <c r="AN69" s="2427" t="str">
        <f t="shared" si="8"/>
        <v>Conjuros</v>
      </c>
      <c r="AO69" s="3965"/>
      <c r="AP69" s="3966"/>
      <c r="AQ69" s="3967"/>
      <c r="AR69" s="3967"/>
      <c r="AS69" s="3967"/>
      <c r="AT69" s="3968"/>
      <c r="AU69" s="2083"/>
      <c r="AV69" s="2085">
        <f>IF(AQ69="",0,VLOOKUP(AQ69,'Tablas Magia'!$D$6:$Z$680,11,FALSE)/2)</f>
        <v>0</v>
      </c>
      <c r="AW69" s="2105"/>
      <c r="AX69" s="1802"/>
    </row>
    <row r="70" spans="1:50" ht="12" customHeight="1" x14ac:dyDescent="0.2">
      <c r="A70" s="190"/>
      <c r="B70" s="1799"/>
      <c r="C70" s="4048" t="s">
        <v>2077</v>
      </c>
      <c r="D70" s="4048"/>
      <c r="E70" s="287">
        <v>40</v>
      </c>
      <c r="F70" s="4080"/>
      <c r="G70" s="4080"/>
      <c r="H70" s="4081"/>
      <c r="I70" s="68"/>
      <c r="J70" s="286">
        <v>320</v>
      </c>
      <c r="K70" s="4057" t="s">
        <v>2078</v>
      </c>
      <c r="L70" s="4057"/>
      <c r="M70" s="4073" t="str">
        <f>IF(Metamagia!$R$54+Metamagia!$U$54+Metamagia!$AA$54+Metamagia!$AA$59+Metamagia!$AA$64+Metamagia!$AD$48+Metamagia!$AG$46&gt;5,"Zeón 100","-")</f>
        <v>-</v>
      </c>
      <c r="N70" s="4073"/>
      <c r="O70" s="4073"/>
      <c r="P70" s="4073"/>
      <c r="Q70" s="4073"/>
      <c r="R70" s="68"/>
      <c r="S70" s="1807"/>
      <c r="T70" s="1584"/>
      <c r="U70" s="190"/>
      <c r="V70" s="1977"/>
      <c r="W70" s="4066" t="str">
        <f>IF(SUM(Tablas!$P$1111:$P$1152)=0,"",IF(Tablas!A18&gt;MAX(Tablas!$P$1111:$P$1152),"",VLOOKUP(Tablas!A18,Tablas!$P$1111:$T$1152,2,FALSE)))</f>
        <v/>
      </c>
      <c r="X70" s="4067"/>
      <c r="Y70" s="4067"/>
      <c r="Z70" s="4067"/>
      <c r="AA70" s="4068"/>
      <c r="AB70" s="4069" t="str">
        <f>IF(SUM(Tablas!$P$1111:$P$1152)=0,"",IF(Tablas!A18&gt;MAX(Tablas!$P$1111:$P$1152),"",VLOOKUP(Tablas!A18,Tablas!$P$1111:$T$1152,4,FALSE)))</f>
        <v/>
      </c>
      <c r="AC70" s="4070"/>
      <c r="AD70" s="4070"/>
      <c r="AE70" s="4070"/>
      <c r="AF70" s="4070"/>
      <c r="AG70" s="4070"/>
      <c r="AH70" s="4070"/>
      <c r="AI70" s="4070"/>
      <c r="AJ70" s="4070"/>
      <c r="AK70" s="4071"/>
      <c r="AL70" s="1807"/>
      <c r="AM70" s="190"/>
      <c r="AN70" s="2427" t="str">
        <f t="shared" si="8"/>
        <v>Conjuros</v>
      </c>
      <c r="AO70" s="3969"/>
      <c r="AP70" s="3970"/>
      <c r="AQ70" s="3659"/>
      <c r="AR70" s="3659"/>
      <c r="AS70" s="3659"/>
      <c r="AT70" s="3971"/>
      <c r="AU70" s="2041"/>
      <c r="AV70" s="2036">
        <f>IF(AQ70="",0,VLOOKUP(AQ70,'Tablas Magia'!$D$6:$Z$680,11,FALSE)/2)</f>
        <v>0</v>
      </c>
      <c r="AW70" s="2105"/>
      <c r="AX70" s="1802"/>
    </row>
    <row r="71" spans="1:50" ht="12" customHeight="1" thickBot="1" x14ac:dyDescent="0.25">
      <c r="A71" s="190"/>
      <c r="B71" s="1799"/>
      <c r="C71" s="4048" t="s">
        <v>2079</v>
      </c>
      <c r="D71" s="4048"/>
      <c r="E71" s="287">
        <v>50</v>
      </c>
      <c r="F71" s="4063"/>
      <c r="G71" s="4063"/>
      <c r="H71" s="4063"/>
      <c r="I71" s="68"/>
      <c r="J71" s="289">
        <v>440</v>
      </c>
      <c r="K71" s="4064" t="s">
        <v>2012</v>
      </c>
      <c r="L71" s="4064"/>
      <c r="M71" s="4065" t="str">
        <f>IF(Metamagia!$R$54+Metamagia!$U$54+Metamagia!$AA$54+Metamagia!$AA$59+Metamagia!$AA$64+Metamagia!$AD$48+Metamagia!$AG$46&gt;6,"Zeón 200","-")</f>
        <v>-</v>
      </c>
      <c r="N71" s="4065"/>
      <c r="O71" s="4065"/>
      <c r="P71" s="4065"/>
      <c r="Q71" s="4065"/>
      <c r="R71" s="68"/>
      <c r="S71" s="1807"/>
      <c r="T71" s="1584"/>
      <c r="U71" s="190"/>
      <c r="V71" s="1977"/>
      <c r="W71" s="4066" t="str">
        <f>IF(SUM(Tablas!$P$1111:$P$1152)=0,"",IF(Tablas!A19&gt;MAX(Tablas!$P$1111:$P$1152),"",VLOOKUP(Tablas!A19,Tablas!$P$1111:$T$1152,2,FALSE)))</f>
        <v/>
      </c>
      <c r="X71" s="4067"/>
      <c r="Y71" s="4067"/>
      <c r="Z71" s="4067"/>
      <c r="AA71" s="4068"/>
      <c r="AB71" s="4069" t="str">
        <f>IF(SUM(Tablas!$P$1111:$P$1152)=0,"",IF(Tablas!A19&gt;MAX(Tablas!$P$1111:$P$1152),"",VLOOKUP(Tablas!A19,Tablas!$P$1111:$T$1152,4,FALSE)))</f>
        <v/>
      </c>
      <c r="AC71" s="4070"/>
      <c r="AD71" s="4070"/>
      <c r="AE71" s="4070"/>
      <c r="AF71" s="4070"/>
      <c r="AG71" s="4070"/>
      <c r="AH71" s="4070"/>
      <c r="AI71" s="4070"/>
      <c r="AJ71" s="4070"/>
      <c r="AK71" s="4071"/>
      <c r="AL71" s="1807"/>
      <c r="AM71" s="190"/>
      <c r="AN71" s="2427" t="str">
        <f t="shared" si="8"/>
        <v>Conjuros</v>
      </c>
      <c r="AO71" s="3965"/>
      <c r="AP71" s="3966"/>
      <c r="AQ71" s="3967"/>
      <c r="AR71" s="3967"/>
      <c r="AS71" s="3967"/>
      <c r="AT71" s="3968"/>
      <c r="AU71" s="2083"/>
      <c r="AV71" s="2085">
        <f>IF(AQ71="",0,VLOOKUP(AQ71,'Tablas Magia'!$D$6:$Z$680,11,FALSE)/2)</f>
        <v>0</v>
      </c>
      <c r="AW71" s="2105"/>
      <c r="AX71" s="1802"/>
    </row>
    <row r="72" spans="1:50" ht="12" customHeight="1" thickBot="1" x14ac:dyDescent="0.25">
      <c r="A72" s="190"/>
      <c r="B72" s="1799"/>
      <c r="C72" s="4048" t="s">
        <v>2080</v>
      </c>
      <c r="D72" s="4048"/>
      <c r="E72" s="287">
        <v>60</v>
      </c>
      <c r="F72" s="4063"/>
      <c r="G72" s="4063"/>
      <c r="H72" s="4063"/>
      <c r="I72" s="68"/>
      <c r="J72" s="4072"/>
      <c r="K72" s="4072"/>
      <c r="L72" s="4072"/>
      <c r="M72" s="4072"/>
      <c r="N72" s="4072"/>
      <c r="O72" s="4072"/>
      <c r="P72" s="4072"/>
      <c r="Q72" s="4072"/>
      <c r="R72" s="68"/>
      <c r="S72" s="1807"/>
      <c r="T72" s="1584"/>
      <c r="U72" s="190"/>
      <c r="V72" s="1977"/>
      <c r="W72" s="4066" t="str">
        <f>IF(SUM(Tablas!$P$1111:$P$1152)=0,"",IF(Tablas!A20&gt;MAX(Tablas!$P$1111:$P$1152),"",VLOOKUP(Tablas!A20,Tablas!$P$1111:$T$1152,2,FALSE)))</f>
        <v/>
      </c>
      <c r="X72" s="4067"/>
      <c r="Y72" s="4067"/>
      <c r="Z72" s="4067"/>
      <c r="AA72" s="4068"/>
      <c r="AB72" s="4069" t="str">
        <f>IF(SUM(Tablas!$P$1111:$P$1152)=0,"",IF(Tablas!A20&gt;MAX(Tablas!$P$1111:$P$1152),"",VLOOKUP(Tablas!A20,Tablas!$P$1111:$T$1152,4,FALSE)))</f>
        <v/>
      </c>
      <c r="AC72" s="4070"/>
      <c r="AD72" s="4070"/>
      <c r="AE72" s="4070"/>
      <c r="AF72" s="4070"/>
      <c r="AG72" s="4070"/>
      <c r="AH72" s="4070"/>
      <c r="AI72" s="4070"/>
      <c r="AJ72" s="4070"/>
      <c r="AK72" s="4071"/>
      <c r="AL72" s="1807"/>
      <c r="AM72" s="190"/>
      <c r="AN72" s="2427" t="str">
        <f t="shared" si="8"/>
        <v>Conjuros</v>
      </c>
      <c r="AO72" s="3959"/>
      <c r="AP72" s="3960"/>
      <c r="AQ72" s="3961"/>
      <c r="AR72" s="3961"/>
      <c r="AS72" s="3961"/>
      <c r="AT72" s="3962"/>
      <c r="AU72" s="2042"/>
      <c r="AV72" s="1996">
        <f>IF(AQ72="",0,VLOOKUP(AQ72,'Tablas Magia'!$D$6:$Z$680,11,FALSE)/2)</f>
        <v>0</v>
      </c>
      <c r="AW72" s="2105"/>
      <c r="AX72" s="1802"/>
    </row>
    <row r="73" spans="1:50" ht="12" customHeight="1" thickBot="1" x14ac:dyDescent="0.25">
      <c r="A73" s="190"/>
      <c r="B73" s="1799"/>
      <c r="C73" s="4062" t="s">
        <v>2081</v>
      </c>
      <c r="D73" s="4062"/>
      <c r="E73" s="290">
        <v>70</v>
      </c>
      <c r="F73" s="4063"/>
      <c r="G73" s="4063"/>
      <c r="H73" s="4063"/>
      <c r="I73" s="68"/>
      <c r="J73" s="4072"/>
      <c r="K73" s="4072"/>
      <c r="L73" s="4072"/>
      <c r="M73" s="4072"/>
      <c r="N73" s="4072"/>
      <c r="O73" s="4072"/>
      <c r="P73" s="4072"/>
      <c r="Q73" s="4072"/>
      <c r="R73" s="68"/>
      <c r="S73" s="1807"/>
      <c r="T73" s="1584"/>
      <c r="U73" s="190"/>
      <c r="V73" s="1977"/>
      <c r="W73" s="4074" t="str">
        <f>IF(SUM(Tablas!$P$1111:$P$1152)=0,"",IF(Tablas!A21&gt;MAX(Tablas!$P$1111:$P$1152),"",VLOOKUP(Tablas!A21,Tablas!$P$1111:$T$1152,2,FALSE)))</f>
        <v/>
      </c>
      <c r="X73" s="4075"/>
      <c r="Y73" s="4075"/>
      <c r="Z73" s="4075"/>
      <c r="AA73" s="4076"/>
      <c r="AB73" s="4077" t="str">
        <f>IF(SUM(Tablas!$P$1111:$P$1152)=0,"",IF(Tablas!A21&gt;MAX(Tablas!$P$1111:$P$1152),"",VLOOKUP(Tablas!A21,Tablas!$P$1111:$T$1152,4,FALSE)))</f>
        <v/>
      </c>
      <c r="AC73" s="4078"/>
      <c r="AD73" s="4078"/>
      <c r="AE73" s="4078"/>
      <c r="AF73" s="4078"/>
      <c r="AG73" s="4078"/>
      <c r="AH73" s="4078"/>
      <c r="AI73" s="4078"/>
      <c r="AJ73" s="4078"/>
      <c r="AK73" s="4079"/>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593" priority="62" stopIfTrue="1" operator="greaterThan">
      <formula>$C$12</formula>
    </cfRule>
  </conditionalFormatting>
  <conditionalFormatting sqref="AK10">
    <cfRule type="cellIs" dxfId="592" priority="63" stopIfTrue="1" operator="equal">
      <formula>0</formula>
    </cfRule>
  </conditionalFormatting>
  <conditionalFormatting sqref="J59:Q59">
    <cfRule type="expression" dxfId="591" priority="1767">
      <formula>$P$25="Invocador"</formula>
    </cfRule>
  </conditionalFormatting>
  <conditionalFormatting sqref="K18:L19">
    <cfRule type="cellIs" dxfId="590" priority="50" operator="lessThan">
      <formula>0</formula>
    </cfRule>
  </conditionalFormatting>
  <conditionalFormatting sqref="AO44:AV44">
    <cfRule type="expression" dxfId="589" priority="31">
      <formula>$AO$44=""</formula>
    </cfRule>
  </conditionalFormatting>
  <conditionalFormatting sqref="AO55:AV55">
    <cfRule type="expression" dxfId="588" priority="13">
      <formula>$BA$45</formula>
    </cfRule>
  </conditionalFormatting>
  <conditionalFormatting sqref="AO56:AP58">
    <cfRule type="expression" dxfId="587" priority="12">
      <formula>$BA$45</formula>
    </cfRule>
  </conditionalFormatting>
  <conditionalFormatting sqref="AO53:AV54">
    <cfRule type="expression" dxfId="586" priority="11">
      <formula>$BB$45</formula>
    </cfRule>
  </conditionalFormatting>
  <conditionalFormatting sqref="AO60:AV72">
    <cfRule type="expression" dxfId="585" priority="9" stopIfTrue="1">
      <formula>NOT($AZ$45)</formula>
    </cfRule>
  </conditionalFormatting>
  <conditionalFormatting sqref="AO52:AV52">
    <cfRule type="expression" dxfId="584" priority="8">
      <formula>$BB$45</formula>
    </cfRule>
  </conditionalFormatting>
  <conditionalFormatting sqref="AO56:AV58">
    <cfRule type="expression" dxfId="583" priority="6">
      <formula>$AZ$45</formula>
    </cfRule>
  </conditionalFormatting>
  <conditionalFormatting sqref="AO55:AT55">
    <cfRule type="expression" dxfId="582" priority="4">
      <formula>$AZ$45</formula>
    </cfRule>
  </conditionalFormatting>
  <conditionalFormatting sqref="AU55:AV55">
    <cfRule type="expression" dxfId="581" priority="3">
      <formula>$AZ$45</formula>
    </cfRule>
  </conditionalFormatting>
  <conditionalFormatting sqref="AO46:AV58">
    <cfRule type="expression" dxfId="580" priority="2">
      <formula>AND(NOT($AZ$45),NOT($BA$45),NOT($BB$45))</formula>
    </cfRule>
  </conditionalFormatting>
  <conditionalFormatting sqref="AK12:AK50">
    <cfRule type="expression" dxfId="579"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10"/>
      <c r="D3" s="3210"/>
      <c r="E3" s="3210"/>
      <c r="F3" s="3210"/>
      <c r="G3" s="3210"/>
      <c r="H3" s="3210"/>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10"/>
      <c r="D4" s="3210"/>
      <c r="E4" s="3210"/>
      <c r="F4" s="3210"/>
      <c r="G4" s="3210"/>
      <c r="H4" s="3210"/>
      <c r="I4" s="12"/>
      <c r="J4" s="297"/>
      <c r="K4" s="297"/>
      <c r="L4" s="297"/>
      <c r="M4" s="297"/>
      <c r="N4" s="297"/>
      <c r="O4" s="297"/>
      <c r="P4" s="297"/>
      <c r="Q4" s="297"/>
      <c r="R4" s="297"/>
      <c r="S4" s="297"/>
      <c r="T4" s="297"/>
      <c r="U4" s="297"/>
      <c r="V4" s="56"/>
      <c r="W4" s="56"/>
      <c r="X4" s="56"/>
      <c r="Y4" s="56"/>
      <c r="Z4" s="56"/>
      <c r="AA4" s="3162" t="s">
        <v>1628</v>
      </c>
      <c r="AB4" s="3162"/>
      <c r="AC4" s="3163" t="str">
        <f>IF(OR(General!$G$22="",General!$G$22=0),"",General!$G$22)</f>
        <v/>
      </c>
      <c r="AD4" s="3163"/>
      <c r="AE4" s="3163"/>
      <c r="AF4" s="3163"/>
      <c r="AG4" s="3163"/>
      <c r="AH4" s="13"/>
      <c r="AI4" s="69"/>
      <c r="AJ4" s="190"/>
    </row>
    <row r="5" spans="1:36" ht="12" customHeight="1" x14ac:dyDescent="0.2">
      <c r="A5" s="1584">
        <v>25</v>
      </c>
      <c r="B5" s="295"/>
      <c r="C5" s="3210"/>
      <c r="D5" s="3210"/>
      <c r="E5" s="3210"/>
      <c r="F5" s="3210"/>
      <c r="G5" s="3210"/>
      <c r="H5" s="3210"/>
      <c r="I5" s="12"/>
      <c r="J5" s="297"/>
      <c r="K5" s="297"/>
      <c r="L5" s="297"/>
      <c r="M5" s="297"/>
      <c r="N5" s="297"/>
      <c r="O5" s="297"/>
      <c r="P5" s="297"/>
      <c r="Q5" s="297"/>
      <c r="R5" s="297"/>
      <c r="S5" s="297"/>
      <c r="T5" s="297"/>
      <c r="U5" s="297"/>
      <c r="V5" s="56"/>
      <c r="W5" s="56"/>
      <c r="X5" s="56"/>
      <c r="Y5" s="56"/>
      <c r="Z5" s="56"/>
      <c r="AA5" s="3207" t="s">
        <v>1629</v>
      </c>
      <c r="AB5" s="3207"/>
      <c r="AC5" s="3208" t="str">
        <f>Principal!$L$5</f>
        <v>Hechicero</v>
      </c>
      <c r="AD5" s="3208"/>
      <c r="AE5" s="3208"/>
      <c r="AF5" s="14" t="s">
        <v>1630</v>
      </c>
      <c r="AG5" s="15" t="str">
        <f>Principal!$P$5</f>
        <v>1</v>
      </c>
      <c r="AH5" s="16"/>
      <c r="AI5" s="69"/>
      <c r="AJ5" s="190"/>
    </row>
    <row r="6" spans="1:36" ht="12" customHeight="1" x14ac:dyDescent="0.2">
      <c r="A6" s="1737"/>
      <c r="B6" s="298"/>
      <c r="C6" s="3210"/>
      <c r="D6" s="3210"/>
      <c r="E6" s="3210"/>
      <c r="F6" s="3210"/>
      <c r="G6" s="3210"/>
      <c r="H6" s="3210"/>
      <c r="I6" s="12"/>
      <c r="J6" s="297"/>
      <c r="K6" s="297"/>
      <c r="L6" s="297"/>
      <c r="M6" s="297"/>
      <c r="N6" s="297"/>
      <c r="O6" s="297"/>
      <c r="P6" s="297"/>
      <c r="Q6" s="297"/>
      <c r="R6" s="297"/>
      <c r="S6" s="297"/>
      <c r="T6" s="297"/>
      <c r="U6" s="297"/>
      <c r="V6" s="56"/>
      <c r="W6" s="56"/>
      <c r="X6" s="56"/>
      <c r="Y6" s="56"/>
      <c r="Z6" s="56"/>
      <c r="AA6" s="3209" t="s">
        <v>2082</v>
      </c>
      <c r="AB6" s="3209"/>
      <c r="AC6" s="3209"/>
      <c r="AD6" s="3209"/>
      <c r="AE6" s="3209"/>
      <c r="AF6" s="3209"/>
      <c r="AG6" s="3209"/>
      <c r="AH6" s="16"/>
      <c r="AI6" s="69"/>
      <c r="AJ6" s="190"/>
    </row>
    <row r="7" spans="1:36" ht="12" customHeight="1" x14ac:dyDescent="0.2">
      <c r="A7" s="1738"/>
      <c r="B7" s="299"/>
      <c r="C7" s="3210"/>
      <c r="D7" s="3210"/>
      <c r="E7" s="3210"/>
      <c r="F7" s="3210"/>
      <c r="G7" s="3210"/>
      <c r="H7" s="3210"/>
      <c r="I7" s="12"/>
      <c r="J7" s="297"/>
      <c r="K7" s="297"/>
      <c r="L7" s="297"/>
      <c r="M7" s="297"/>
      <c r="N7" s="297"/>
      <c r="O7" s="297"/>
      <c r="P7" s="297"/>
      <c r="Q7" s="297"/>
      <c r="R7" s="297"/>
      <c r="S7" s="297"/>
      <c r="T7" s="297"/>
      <c r="U7" s="297"/>
      <c r="V7" s="56"/>
      <c r="W7" s="56"/>
      <c r="X7" s="56"/>
      <c r="Y7" s="56"/>
      <c r="Z7" s="56"/>
      <c r="AA7" s="3209"/>
      <c r="AB7" s="3209"/>
      <c r="AC7" s="3209"/>
      <c r="AD7" s="3209"/>
      <c r="AE7" s="3209"/>
      <c r="AF7" s="3209"/>
      <c r="AG7" s="3209"/>
      <c r="AH7" s="16"/>
      <c r="AI7" s="69"/>
      <c r="AJ7" s="190"/>
    </row>
    <row r="8" spans="1:36" ht="12" customHeight="1" x14ac:dyDescent="0.2">
      <c r="A8" s="1738"/>
      <c r="B8" s="299"/>
      <c r="C8" s="3210"/>
      <c r="D8" s="3210"/>
      <c r="E8" s="3210"/>
      <c r="F8" s="3210"/>
      <c r="G8" s="3210"/>
      <c r="H8" s="3210"/>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85" t="s">
        <v>2083</v>
      </c>
      <c r="J10" s="4185"/>
      <c r="K10" s="305"/>
      <c r="L10" s="302"/>
      <c r="M10" s="302"/>
      <c r="N10" s="302"/>
      <c r="O10" s="303"/>
      <c r="P10" s="303"/>
      <c r="Q10" s="303"/>
      <c r="R10" s="303"/>
      <c r="S10" s="303"/>
      <c r="T10" s="303"/>
      <c r="U10" s="303"/>
      <c r="V10" s="303"/>
      <c r="W10" s="303"/>
      <c r="X10" s="302"/>
      <c r="Y10" s="302"/>
      <c r="Z10" s="304"/>
      <c r="AA10" s="4185" t="s">
        <v>2084</v>
      </c>
      <c r="AB10" s="4185"/>
      <c r="AC10" s="305"/>
      <c r="AD10" s="302"/>
      <c r="AE10" s="302"/>
      <c r="AF10" s="68"/>
      <c r="AG10" s="68"/>
      <c r="AH10" s="68"/>
      <c r="AI10" s="69"/>
      <c r="AJ10" s="190"/>
    </row>
    <row r="11" spans="1:36" ht="12" customHeight="1" x14ac:dyDescent="0.2">
      <c r="A11" s="1740"/>
      <c r="B11" s="295"/>
      <c r="C11" s="302"/>
      <c r="D11" s="302"/>
      <c r="E11" s="302"/>
      <c r="F11" s="4185" t="s">
        <v>2085</v>
      </c>
      <c r="G11" s="4185"/>
      <c r="H11" s="306"/>
      <c r="I11" s="4185"/>
      <c r="J11" s="4185"/>
      <c r="K11" s="307"/>
      <c r="L11" s="4185" t="s">
        <v>2086</v>
      </c>
      <c r="M11" s="4185"/>
      <c r="N11" s="304"/>
      <c r="O11" s="303"/>
      <c r="P11" s="303"/>
      <c r="Q11" s="303"/>
      <c r="R11" s="303"/>
      <c r="S11" s="303"/>
      <c r="T11" s="303"/>
      <c r="U11" s="303"/>
      <c r="V11" s="303"/>
      <c r="W11" s="303"/>
      <c r="X11" s="4185" t="s">
        <v>2087</v>
      </c>
      <c r="Y11" s="4185"/>
      <c r="Z11" s="306"/>
      <c r="AA11" s="4185"/>
      <c r="AB11" s="4185"/>
      <c r="AC11" s="308"/>
      <c r="AD11" s="4185" t="s">
        <v>2087</v>
      </c>
      <c r="AE11" s="4185"/>
      <c r="AF11" s="305"/>
      <c r="AG11" s="68"/>
      <c r="AH11" s="68"/>
      <c r="AI11" s="69"/>
      <c r="AJ11" s="190"/>
    </row>
    <row r="12" spans="1:36" ht="12" customHeight="1" x14ac:dyDescent="0.2">
      <c r="A12" s="1584"/>
      <c r="B12" s="295"/>
      <c r="C12" s="302"/>
      <c r="D12" s="302"/>
      <c r="E12" s="304"/>
      <c r="F12" s="4185"/>
      <c r="G12" s="4185"/>
      <c r="H12" s="309"/>
      <c r="I12" s="4185"/>
      <c r="J12" s="4185"/>
      <c r="K12" s="309"/>
      <c r="L12" s="4185"/>
      <c r="M12" s="4185"/>
      <c r="N12" s="304"/>
      <c r="O12" s="303"/>
      <c r="P12" s="303"/>
      <c r="Q12" s="303"/>
      <c r="R12" s="303"/>
      <c r="S12" s="303"/>
      <c r="T12" s="303"/>
      <c r="U12" s="303"/>
      <c r="V12" s="303"/>
      <c r="W12" s="303"/>
      <c r="X12" s="4185"/>
      <c r="Y12" s="4185"/>
      <c r="Z12" s="309"/>
      <c r="AA12" s="4185"/>
      <c r="AB12" s="4185"/>
      <c r="AC12" s="309"/>
      <c r="AD12" s="4185"/>
      <c r="AE12" s="4185"/>
      <c r="AF12" s="309"/>
      <c r="AG12" s="68"/>
      <c r="AH12" s="68"/>
      <c r="AI12" s="69"/>
      <c r="AJ12" s="190"/>
    </row>
    <row r="13" spans="1:36" ht="12" customHeight="1" x14ac:dyDescent="0.2">
      <c r="A13" s="1584"/>
      <c r="B13" s="295"/>
      <c r="C13" s="302"/>
      <c r="D13" s="302"/>
      <c r="E13" s="304"/>
      <c r="F13" s="4185"/>
      <c r="G13" s="4185"/>
      <c r="H13" s="309"/>
      <c r="I13" s="310" t="str">
        <f>IF(PDs!$X$15&lt;Metamagia!K10,"Nv "&amp;Metamagia!K10,"")</f>
        <v/>
      </c>
      <c r="J13" s="311"/>
      <c r="K13" s="309">
        <v>10</v>
      </c>
      <c r="L13" s="4185"/>
      <c r="M13" s="4185"/>
      <c r="N13" s="309"/>
      <c r="O13" s="303"/>
      <c r="P13" s="303"/>
      <c r="Q13" s="303"/>
      <c r="R13" s="303"/>
      <c r="S13" s="303"/>
      <c r="T13" s="303"/>
      <c r="U13" s="303"/>
      <c r="V13" s="303"/>
      <c r="W13" s="303"/>
      <c r="X13" s="4185"/>
      <c r="Y13" s="4185"/>
      <c r="Z13" s="309"/>
      <c r="AA13" s="310" t="str">
        <f>IF(PDs!$X$15&lt;Metamagia!AC10,"Nv "&amp;Metamagia!AC10,"")</f>
        <v/>
      </c>
      <c r="AB13" s="311"/>
      <c r="AC13" s="309">
        <v>5</v>
      </c>
      <c r="AD13" s="4185"/>
      <c r="AE13" s="4185"/>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85" t="s">
        <v>2088</v>
      </c>
      <c r="J15" s="4185"/>
      <c r="K15" s="309"/>
      <c r="L15" s="314">
        <f>IF(M14&gt;0,1,0)</f>
        <v>0</v>
      </c>
      <c r="M15" s="302"/>
      <c r="N15" s="309"/>
      <c r="O15" s="302"/>
      <c r="P15" s="302"/>
      <c r="Q15" s="304"/>
      <c r="R15" s="4185" t="s">
        <v>2086</v>
      </c>
      <c r="S15" s="4185"/>
      <c r="T15" s="302"/>
      <c r="U15" s="68"/>
      <c r="V15" s="68"/>
      <c r="W15" s="305"/>
      <c r="X15" s="269">
        <f>IF(Y14&gt;0,1,0)</f>
        <v>0</v>
      </c>
      <c r="Y15" s="293"/>
      <c r="Z15" s="309"/>
      <c r="AA15" s="4185" t="s">
        <v>2089</v>
      </c>
      <c r="AB15" s="4185"/>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85"/>
      <c r="J16" s="4185"/>
      <c r="K16" s="316"/>
      <c r="L16" s="317"/>
      <c r="M16" s="302"/>
      <c r="N16" s="309"/>
      <c r="O16" s="302"/>
      <c r="P16" s="318"/>
      <c r="Q16" s="319"/>
      <c r="R16" s="4185"/>
      <c r="S16" s="4185"/>
      <c r="T16" s="304"/>
      <c r="U16" s="68"/>
      <c r="V16" s="68"/>
      <c r="W16" s="305"/>
      <c r="X16" s="302"/>
      <c r="Y16" s="315"/>
      <c r="Z16" s="307"/>
      <c r="AA16" s="4185"/>
      <c r="AB16" s="4185"/>
      <c r="AC16" s="316"/>
      <c r="AD16" s="317"/>
      <c r="AE16" s="302"/>
      <c r="AF16" s="309"/>
      <c r="AG16" s="303"/>
      <c r="AH16" s="303"/>
      <c r="AI16" s="313"/>
      <c r="AJ16" s="190"/>
    </row>
    <row r="17" spans="1:36" ht="12" customHeight="1" x14ac:dyDescent="0.2">
      <c r="A17" s="1584"/>
      <c r="B17" s="295"/>
      <c r="C17" s="303"/>
      <c r="D17" s="303"/>
      <c r="E17" s="303"/>
      <c r="F17" s="302"/>
      <c r="G17" s="295"/>
      <c r="H17" s="309"/>
      <c r="I17" s="4185"/>
      <c r="J17" s="4185"/>
      <c r="K17" s="309"/>
      <c r="L17" s="320"/>
      <c r="M17" s="302"/>
      <c r="N17" s="309"/>
      <c r="O17" s="320"/>
      <c r="P17" s="302"/>
      <c r="Q17" s="304"/>
      <c r="R17" s="4185"/>
      <c r="S17" s="4185"/>
      <c r="T17" s="309"/>
      <c r="U17" s="68"/>
      <c r="V17" s="68"/>
      <c r="W17" s="305"/>
      <c r="X17" s="302"/>
      <c r="Y17" s="295"/>
      <c r="Z17" s="309"/>
      <c r="AA17" s="4185"/>
      <c r="AB17" s="4185"/>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85" t="s">
        <v>2086</v>
      </c>
      <c r="D20" s="4185"/>
      <c r="E20" s="309"/>
      <c r="F20" s="4185" t="s">
        <v>2090</v>
      </c>
      <c r="G20" s="4185"/>
      <c r="H20" s="309">
        <v>3</v>
      </c>
      <c r="I20" s="4185" t="s">
        <v>2091</v>
      </c>
      <c r="J20" s="4185"/>
      <c r="K20" s="309">
        <v>4</v>
      </c>
      <c r="L20" s="4185" t="s">
        <v>2092</v>
      </c>
      <c r="M20" s="4185"/>
      <c r="N20" s="309">
        <v>2</v>
      </c>
      <c r="O20" s="4185" t="s">
        <v>2083</v>
      </c>
      <c r="P20" s="4185"/>
      <c r="Q20" s="309">
        <v>4</v>
      </c>
      <c r="R20" s="4185" t="s">
        <v>2091</v>
      </c>
      <c r="S20" s="4185"/>
      <c r="T20" s="309">
        <v>5</v>
      </c>
      <c r="U20" s="4185" t="s">
        <v>2089</v>
      </c>
      <c r="V20" s="4185"/>
      <c r="W20" s="305"/>
      <c r="X20" s="4185" t="s">
        <v>2093</v>
      </c>
      <c r="Y20" s="4185"/>
      <c r="Z20" s="309">
        <v>3</v>
      </c>
      <c r="AA20" s="4185" t="s">
        <v>2094</v>
      </c>
      <c r="AB20" s="4185"/>
      <c r="AC20" s="309">
        <v>5</v>
      </c>
      <c r="AD20" s="4185" t="s">
        <v>2095</v>
      </c>
      <c r="AE20" s="4185"/>
      <c r="AF20" s="309">
        <v>2</v>
      </c>
      <c r="AG20" s="4185" t="s">
        <v>2093</v>
      </c>
      <c r="AH20" s="4185"/>
      <c r="AI20" s="322">
        <v>3</v>
      </c>
      <c r="AJ20" s="190"/>
    </row>
    <row r="21" spans="1:36" ht="12" customHeight="1" x14ac:dyDescent="0.2">
      <c r="A21" s="1584"/>
      <c r="B21" s="295"/>
      <c r="C21" s="4185"/>
      <c r="D21" s="4185"/>
      <c r="E21" s="306"/>
      <c r="F21" s="4185"/>
      <c r="G21" s="4185"/>
      <c r="H21" s="306"/>
      <c r="I21" s="4185"/>
      <c r="J21" s="4185"/>
      <c r="K21" s="306"/>
      <c r="L21" s="4185"/>
      <c r="M21" s="4185"/>
      <c r="N21" s="306"/>
      <c r="O21" s="4185"/>
      <c r="P21" s="4185"/>
      <c r="Q21" s="309"/>
      <c r="R21" s="4185"/>
      <c r="S21" s="4185"/>
      <c r="T21" s="309"/>
      <c r="U21" s="4185"/>
      <c r="V21" s="4185"/>
      <c r="W21" s="308"/>
      <c r="X21" s="4185"/>
      <c r="Y21" s="4185"/>
      <c r="Z21" s="306"/>
      <c r="AA21" s="4185"/>
      <c r="AB21" s="4185"/>
      <c r="AC21" s="306"/>
      <c r="AD21" s="4185"/>
      <c r="AE21" s="4185"/>
      <c r="AF21" s="306"/>
      <c r="AG21" s="4185"/>
      <c r="AH21" s="4185"/>
      <c r="AI21" s="322"/>
      <c r="AJ21" s="190"/>
    </row>
    <row r="22" spans="1:36" ht="12" customHeight="1" x14ac:dyDescent="0.2">
      <c r="A22" s="1584"/>
      <c r="B22" s="295"/>
      <c r="C22" s="4185"/>
      <c r="D22" s="4185"/>
      <c r="E22" s="309"/>
      <c r="F22" s="4185"/>
      <c r="G22" s="4185"/>
      <c r="H22" s="309"/>
      <c r="I22" s="4185"/>
      <c r="J22" s="4185"/>
      <c r="K22" s="309"/>
      <c r="L22" s="4185"/>
      <c r="M22" s="4185"/>
      <c r="N22" s="309"/>
      <c r="O22" s="4185"/>
      <c r="P22" s="4185"/>
      <c r="Q22" s="309"/>
      <c r="R22" s="4185"/>
      <c r="S22" s="4185"/>
      <c r="T22" s="309"/>
      <c r="U22" s="4185"/>
      <c r="V22" s="4185"/>
      <c r="W22" s="305"/>
      <c r="X22" s="4185"/>
      <c r="Y22" s="4185"/>
      <c r="Z22" s="309"/>
      <c r="AA22" s="4185"/>
      <c r="AB22" s="4185"/>
      <c r="AC22" s="309"/>
      <c r="AD22" s="4185"/>
      <c r="AE22" s="4185"/>
      <c r="AF22" s="309"/>
      <c r="AG22" s="4185"/>
      <c r="AH22" s="4185"/>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85" t="s">
        <v>2092</v>
      </c>
      <c r="J25" s="4185"/>
      <c r="K25" s="309">
        <v>6</v>
      </c>
      <c r="L25" s="317"/>
      <c r="M25" s="302"/>
      <c r="N25" s="309"/>
      <c r="O25" s="302"/>
      <c r="P25" s="302"/>
      <c r="Q25" s="309"/>
      <c r="R25" s="4185" t="s">
        <v>2096</v>
      </c>
      <c r="S25" s="4185"/>
      <c r="T25" s="309">
        <v>2</v>
      </c>
      <c r="U25" s="69"/>
      <c r="V25" s="68"/>
      <c r="W25" s="305"/>
      <c r="X25" s="317"/>
      <c r="Y25" s="302"/>
      <c r="Z25" s="309"/>
      <c r="AA25" s="4185" t="s">
        <v>2097</v>
      </c>
      <c r="AB25" s="4185"/>
      <c r="AC25" s="309">
        <v>8</v>
      </c>
      <c r="AD25" s="317"/>
      <c r="AE25" s="302"/>
      <c r="AF25" s="309"/>
      <c r="AG25" s="68"/>
      <c r="AH25" s="295"/>
      <c r="AI25" s="322"/>
      <c r="AJ25" s="190"/>
    </row>
    <row r="26" spans="1:36" ht="12" customHeight="1" x14ac:dyDescent="0.2">
      <c r="A26" s="1584"/>
      <c r="B26" s="295"/>
      <c r="C26" s="303"/>
      <c r="D26" s="324"/>
      <c r="E26" s="325"/>
      <c r="F26" s="4185" t="s">
        <v>2088</v>
      </c>
      <c r="G26" s="4185"/>
      <c r="H26" s="309">
        <v>6</v>
      </c>
      <c r="I26" s="4185"/>
      <c r="J26" s="4185"/>
      <c r="K26" s="309"/>
      <c r="L26" s="4185" t="s">
        <v>2090</v>
      </c>
      <c r="M26" s="4185"/>
      <c r="N26" s="309">
        <v>6</v>
      </c>
      <c r="O26" s="302"/>
      <c r="P26" s="302"/>
      <c r="Q26" s="309"/>
      <c r="R26" s="4185"/>
      <c r="S26" s="4185"/>
      <c r="T26" s="316"/>
      <c r="U26" s="200"/>
      <c r="V26" s="68"/>
      <c r="W26" s="305"/>
      <c r="X26" s="4185" t="s">
        <v>2098</v>
      </c>
      <c r="Y26" s="4185"/>
      <c r="Z26" s="309">
        <v>7</v>
      </c>
      <c r="AA26" s="4185"/>
      <c r="AB26" s="4185"/>
      <c r="AC26" s="309"/>
      <c r="AD26" s="4185" t="s">
        <v>2099</v>
      </c>
      <c r="AE26" s="4185"/>
      <c r="AF26" s="309">
        <v>8</v>
      </c>
      <c r="AG26" s="303"/>
      <c r="AH26" s="324"/>
      <c r="AI26" s="326"/>
      <c r="AJ26" s="190"/>
    </row>
    <row r="27" spans="1:36" ht="12" customHeight="1" x14ac:dyDescent="0.2">
      <c r="A27" s="1584"/>
      <c r="B27" s="295"/>
      <c r="C27" s="303"/>
      <c r="D27" s="327"/>
      <c r="E27" s="325"/>
      <c r="F27" s="4185"/>
      <c r="G27" s="4185"/>
      <c r="H27" s="309"/>
      <c r="I27" s="4185"/>
      <c r="J27" s="4185"/>
      <c r="K27" s="309"/>
      <c r="L27" s="4185"/>
      <c r="M27" s="4185"/>
      <c r="N27" s="309"/>
      <c r="O27" s="302"/>
      <c r="P27" s="302"/>
      <c r="Q27" s="304"/>
      <c r="R27" s="4185"/>
      <c r="S27" s="4185"/>
      <c r="T27" s="309"/>
      <c r="U27" s="68"/>
      <c r="V27" s="68"/>
      <c r="W27" s="305"/>
      <c r="X27" s="4185"/>
      <c r="Y27" s="4185"/>
      <c r="Z27" s="309"/>
      <c r="AA27" s="4185"/>
      <c r="AB27" s="4185"/>
      <c r="AC27" s="309"/>
      <c r="AD27" s="4185"/>
      <c r="AE27" s="4185"/>
      <c r="AF27" s="309"/>
      <c r="AG27" s="303"/>
      <c r="AH27" s="327"/>
      <c r="AI27" s="326"/>
      <c r="AJ27" s="190"/>
    </row>
    <row r="28" spans="1:36" ht="12" customHeight="1" x14ac:dyDescent="0.2">
      <c r="A28" s="1584"/>
      <c r="B28" s="295"/>
      <c r="C28" s="4185" t="s">
        <v>2085</v>
      </c>
      <c r="D28" s="4185"/>
      <c r="E28" s="309">
        <v>4</v>
      </c>
      <c r="F28" s="4185"/>
      <c r="G28" s="4185"/>
      <c r="H28" s="309"/>
      <c r="I28" s="310" t="str">
        <f>IF(PDs!$X$15&lt;Metamagia!K25,"Nv "&amp;Metamagia!K25,"")</f>
        <v>Nv 6</v>
      </c>
      <c r="J28" s="311"/>
      <c r="K28" s="309">
        <v>10</v>
      </c>
      <c r="L28" s="4185"/>
      <c r="M28" s="4185"/>
      <c r="N28" s="309"/>
      <c r="O28" s="302"/>
      <c r="P28" s="302"/>
      <c r="Q28" s="304"/>
      <c r="R28" s="310" t="str">
        <f>IF(PDs!$X$15&lt;Metamagia!T25,"Nv "&amp;Metamagia!T25,"")</f>
        <v>Nv 2</v>
      </c>
      <c r="S28" s="311"/>
      <c r="T28" s="309">
        <v>5</v>
      </c>
      <c r="U28" s="68"/>
      <c r="V28" s="68"/>
      <c r="W28" s="305"/>
      <c r="X28" s="4185"/>
      <c r="Y28" s="4185"/>
      <c r="Z28" s="309"/>
      <c r="AA28" s="310" t="str">
        <f>IF(PDs!$X$15&lt;Metamagia!AC25,"Nv "&amp;Metamagia!AC25,"")</f>
        <v>Nv 8</v>
      </c>
      <c r="AB28" s="311"/>
      <c r="AC28" s="309">
        <v>5</v>
      </c>
      <c r="AD28" s="4185"/>
      <c r="AE28" s="4185"/>
      <c r="AF28" s="309"/>
      <c r="AG28" s="4185" t="s">
        <v>2095</v>
      </c>
      <c r="AH28" s="4185"/>
      <c r="AI28" s="322">
        <v>4</v>
      </c>
      <c r="AJ28" s="190"/>
    </row>
    <row r="29" spans="1:36" ht="12" customHeight="1" x14ac:dyDescent="0.2">
      <c r="A29" s="1584"/>
      <c r="B29" s="295"/>
      <c r="C29" s="4185"/>
      <c r="D29" s="4185"/>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85"/>
      <c r="AH29" s="4185"/>
      <c r="AI29" s="322"/>
      <c r="AJ29" s="190"/>
    </row>
    <row r="30" spans="1:36" ht="12" customHeight="1" x14ac:dyDescent="0.2">
      <c r="A30" s="1584"/>
      <c r="B30" s="295"/>
      <c r="C30" s="4185"/>
      <c r="D30" s="4185"/>
      <c r="E30" s="309"/>
      <c r="F30" s="314">
        <f>IF(G29&gt;0,1,0)</f>
        <v>0</v>
      </c>
      <c r="G30" s="318"/>
      <c r="H30" s="307"/>
      <c r="I30" s="4185" t="s">
        <v>2091</v>
      </c>
      <c r="J30" s="4185"/>
      <c r="K30" s="329">
        <v>7</v>
      </c>
      <c r="L30" s="321">
        <f>IF(M29&gt;0,1,0)</f>
        <v>0</v>
      </c>
      <c r="M30" s="302"/>
      <c r="N30" s="309"/>
      <c r="O30" s="303"/>
      <c r="P30" s="303"/>
      <c r="Q30" s="303"/>
      <c r="R30" s="303"/>
      <c r="S30" s="303"/>
      <c r="T30" s="303"/>
      <c r="U30" s="303"/>
      <c r="V30" s="303"/>
      <c r="W30" s="305"/>
      <c r="X30" s="314">
        <f>IF(Y29&gt;0,1,0)</f>
        <v>0</v>
      </c>
      <c r="Y30" s="318"/>
      <c r="Z30" s="307"/>
      <c r="AA30" s="4185" t="s">
        <v>2100</v>
      </c>
      <c r="AB30" s="4185"/>
      <c r="AC30" s="329">
        <v>9</v>
      </c>
      <c r="AD30" s="321">
        <f>IF(AE29&gt;0,1,0)</f>
        <v>0</v>
      </c>
      <c r="AE30" s="302"/>
      <c r="AF30" s="309"/>
      <c r="AG30" s="4185"/>
      <c r="AH30" s="4185"/>
      <c r="AI30" s="322"/>
      <c r="AJ30" s="190"/>
    </row>
    <row r="31" spans="1:36" ht="12" customHeight="1" x14ac:dyDescent="0.2">
      <c r="A31" s="1584"/>
      <c r="B31" s="295"/>
      <c r="C31" s="310" t="str">
        <f>IF(PDs!$X$15&lt;Metamagia!E28,"Nv "&amp;Metamagia!E28,"")</f>
        <v>Nv 4</v>
      </c>
      <c r="D31" s="311"/>
      <c r="E31" s="309">
        <v>5</v>
      </c>
      <c r="F31" s="330"/>
      <c r="G31" s="50"/>
      <c r="H31" s="309"/>
      <c r="I31" s="4185"/>
      <c r="J31" s="4185"/>
      <c r="K31" s="331"/>
      <c r="L31" s="302"/>
      <c r="M31" s="302"/>
      <c r="N31" s="309"/>
      <c r="O31" s="303"/>
      <c r="P31" s="303"/>
      <c r="Q31" s="303"/>
      <c r="R31" s="303"/>
      <c r="S31" s="303"/>
      <c r="T31" s="303"/>
      <c r="U31" s="303"/>
      <c r="V31" s="303"/>
      <c r="W31" s="305"/>
      <c r="X31" s="330"/>
      <c r="Y31" s="50"/>
      <c r="Z31" s="309"/>
      <c r="AA31" s="4185"/>
      <c r="AB31" s="4185"/>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85"/>
      <c r="J32" s="4185"/>
      <c r="K32" s="331"/>
      <c r="L32" s="302"/>
      <c r="M32" s="302"/>
      <c r="N32" s="309"/>
      <c r="O32" s="303"/>
      <c r="P32" s="303"/>
      <c r="Q32" s="303"/>
      <c r="R32" s="303"/>
      <c r="S32" s="303"/>
      <c r="T32" s="303"/>
      <c r="U32" s="303"/>
      <c r="V32" s="303"/>
      <c r="W32" s="305"/>
      <c r="X32" s="334"/>
      <c r="Y32" s="50"/>
      <c r="Z32" s="309"/>
      <c r="AA32" s="4185"/>
      <c r="AB32" s="4185"/>
      <c r="AC32" s="331"/>
      <c r="AD32" s="302"/>
      <c r="AE32" s="302"/>
      <c r="AF32" s="309"/>
      <c r="AG32" s="323">
        <f>IF(AH31&gt;0,1,0)</f>
        <v>0</v>
      </c>
      <c r="AH32" s="332"/>
      <c r="AI32" s="322"/>
      <c r="AJ32" s="190"/>
    </row>
    <row r="33" spans="1:36" ht="12" customHeight="1" x14ac:dyDescent="0.2">
      <c r="A33" s="1584"/>
      <c r="B33" s="295"/>
      <c r="C33" s="303"/>
      <c r="D33" s="324"/>
      <c r="E33" s="325"/>
      <c r="F33" s="4185" t="s">
        <v>2101</v>
      </c>
      <c r="G33" s="4185"/>
      <c r="H33" s="309">
        <v>10</v>
      </c>
      <c r="I33" s="310" t="str">
        <f>IF(PDs!$X$15&lt;Metamagia!K30,"Nv "&amp;Metamagia!K30,"")</f>
        <v>Nv 7</v>
      </c>
      <c r="J33" s="311"/>
      <c r="K33" s="331">
        <v>10</v>
      </c>
      <c r="L33" s="302"/>
      <c r="M33" s="302"/>
      <c r="N33" s="309"/>
      <c r="O33" s="303"/>
      <c r="V33" s="303"/>
      <c r="W33" s="305"/>
      <c r="X33" s="4185" t="s">
        <v>2102</v>
      </c>
      <c r="Y33" s="4185"/>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85"/>
      <c r="G34" s="4185"/>
      <c r="H34" s="316"/>
      <c r="I34" s="314">
        <f>IF(J33&gt;0,1,0)</f>
        <v>0</v>
      </c>
      <c r="J34" s="302"/>
      <c r="K34" s="309"/>
      <c r="L34" s="303"/>
      <c r="M34" s="303"/>
      <c r="N34" s="325"/>
      <c r="O34" s="303"/>
      <c r="V34" s="303"/>
      <c r="W34" s="303"/>
      <c r="X34" s="4185"/>
      <c r="Y34" s="4185"/>
      <c r="Z34" s="316"/>
      <c r="AA34" s="321">
        <f>IF(AB33&gt;0,1,0)</f>
        <v>0</v>
      </c>
      <c r="AB34" s="293"/>
      <c r="AC34" s="309"/>
      <c r="AD34" s="303"/>
      <c r="AE34" s="303"/>
      <c r="AF34" s="325"/>
      <c r="AG34" s="303"/>
      <c r="AH34" s="327"/>
      <c r="AI34" s="326"/>
      <c r="AJ34" s="190"/>
    </row>
    <row r="35" spans="1:36" ht="12" customHeight="1" x14ac:dyDescent="0.2">
      <c r="A35" s="1584"/>
      <c r="B35" s="295"/>
      <c r="C35" s="4185" t="s">
        <v>2088</v>
      </c>
      <c r="D35" s="4185"/>
      <c r="E35" s="309">
        <v>5</v>
      </c>
      <c r="F35" s="4185"/>
      <c r="G35" s="4185"/>
      <c r="H35" s="309"/>
      <c r="I35" s="294"/>
      <c r="J35" s="302"/>
      <c r="K35" s="309"/>
      <c r="L35" s="303"/>
      <c r="M35" s="303"/>
      <c r="N35" s="325"/>
      <c r="O35" s="303"/>
      <c r="P35" s="3169" t="s">
        <v>1828</v>
      </c>
      <c r="Q35" s="3169"/>
      <c r="R35" s="3169"/>
      <c r="S35" s="3169"/>
      <c r="T35" s="3169"/>
      <c r="U35" s="3169"/>
      <c r="V35" s="303"/>
      <c r="W35" s="303"/>
      <c r="X35" s="4185"/>
      <c r="Y35" s="4185"/>
      <c r="Z35" s="309"/>
      <c r="AA35" s="302"/>
      <c r="AB35" s="302"/>
      <c r="AC35" s="309"/>
      <c r="AD35" s="303"/>
      <c r="AE35" s="303"/>
      <c r="AF35" s="325"/>
      <c r="AG35" s="4185" t="s">
        <v>2103</v>
      </c>
      <c r="AH35" s="4185"/>
      <c r="AI35" s="322">
        <v>5</v>
      </c>
      <c r="AJ35" s="190"/>
    </row>
    <row r="36" spans="1:36" ht="12" customHeight="1" x14ac:dyDescent="0.2">
      <c r="A36" s="1584"/>
      <c r="B36" s="295"/>
      <c r="C36" s="4185"/>
      <c r="D36" s="4185"/>
      <c r="E36" s="309"/>
      <c r="F36" s="310" t="str">
        <f>IF(PDs!$X$15&lt;Metamagia!H33,"Nv "&amp;Metamagia!H33,"")</f>
        <v>Nv 10</v>
      </c>
      <c r="G36" s="311"/>
      <c r="H36" s="309">
        <v>20</v>
      </c>
      <c r="I36" s="302"/>
      <c r="J36" s="302"/>
      <c r="K36" s="309"/>
      <c r="L36" s="303"/>
      <c r="M36" s="303"/>
      <c r="N36" s="325"/>
      <c r="O36" s="303"/>
      <c r="P36" s="4186" t="s">
        <v>2018</v>
      </c>
      <c r="Q36" s="4186"/>
      <c r="R36" s="3950" t="s">
        <v>2019</v>
      </c>
      <c r="S36" s="3950"/>
      <c r="T36" s="4187" t="s">
        <v>2020</v>
      </c>
      <c r="U36" s="4187"/>
      <c r="V36" s="303"/>
      <c r="W36" s="303"/>
      <c r="X36" s="310" t="str">
        <f>IF(PDs!$X$15&lt;Metamagia!Z33,"Nv "&amp;Metamagia!Z33,"")</f>
        <v>Nv 10</v>
      </c>
      <c r="Y36" s="311"/>
      <c r="Z36" s="309">
        <v>20</v>
      </c>
      <c r="AA36" s="302"/>
      <c r="AB36" s="302"/>
      <c r="AC36" s="309"/>
      <c r="AD36" s="303"/>
      <c r="AE36" s="303"/>
      <c r="AF36" s="325"/>
      <c r="AG36" s="4185"/>
      <c r="AH36" s="4185"/>
      <c r="AI36" s="322"/>
      <c r="AJ36" s="190"/>
    </row>
    <row r="37" spans="1:36" ht="12" customHeight="1" x14ac:dyDescent="0.2">
      <c r="A37" s="1584"/>
      <c r="B37" s="295"/>
      <c r="C37" s="4185"/>
      <c r="D37" s="4185"/>
      <c r="E37" s="309"/>
      <c r="F37" s="328">
        <f>IF(G36&gt;0,1,0)</f>
        <v>0</v>
      </c>
      <c r="G37" s="303"/>
      <c r="H37" s="325"/>
      <c r="I37" s="302"/>
      <c r="J37" s="302"/>
      <c r="K37" s="309"/>
      <c r="L37" s="4185" t="s">
        <v>2104</v>
      </c>
      <c r="M37" s="4185"/>
      <c r="N37" s="309">
        <v>10</v>
      </c>
      <c r="O37" s="303"/>
      <c r="P37" s="4188">
        <f>Místicos!$C$12</f>
        <v>0</v>
      </c>
      <c r="Q37" s="4188"/>
      <c r="R37" s="4189">
        <f>Místicos!$E$12</f>
        <v>0</v>
      </c>
      <c r="S37" s="4189"/>
      <c r="T37" s="4190">
        <f>D23+D31+D38+D45+D53+G14+G23+G29+G36+G47+G53+G62+J13+J18+J23+J28+J33+J43+J48+J53+J58+J63+M14+M23+M29+M40+M47+M53+M62+P23+P53+S18+S23+S28+S48+S53+S58+V23+V53+Y14+Y23+Y29+Y36+Y47+Y53+Y62+AB13+AB18+AB23+AB28+AB33+AB43+AB48+AB53+AB58+AB63+AE14+AE23+AE29+AE40+AE47+AE53+AE62+AH23+AH31+AH38+AH45+AH53</f>
        <v>0</v>
      </c>
      <c r="U37" s="4190"/>
      <c r="V37" s="303"/>
      <c r="W37" s="303"/>
      <c r="X37" s="328">
        <f>IF(Y36&gt;0,1,0)</f>
        <v>0</v>
      </c>
      <c r="Y37" s="303"/>
      <c r="Z37" s="325"/>
      <c r="AA37" s="302"/>
      <c r="AB37" s="302"/>
      <c r="AC37" s="322"/>
      <c r="AD37" s="4185" t="s">
        <v>2105</v>
      </c>
      <c r="AE37" s="4185"/>
      <c r="AF37" s="309">
        <v>10</v>
      </c>
      <c r="AG37" s="4185"/>
      <c r="AH37" s="4185"/>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85"/>
      <c r="M38" s="4185"/>
      <c r="N38" s="337"/>
      <c r="O38" s="303"/>
      <c r="P38" s="4188"/>
      <c r="Q38" s="4188"/>
      <c r="R38" s="4189"/>
      <c r="S38" s="4189"/>
      <c r="T38" s="4190"/>
      <c r="U38" s="4190"/>
      <c r="V38" s="303"/>
      <c r="W38" s="305"/>
      <c r="X38" s="303"/>
      <c r="Y38" s="303"/>
      <c r="Z38" s="325"/>
      <c r="AA38" s="302"/>
      <c r="AB38" s="318"/>
      <c r="AC38" s="307"/>
      <c r="AD38" s="4185"/>
      <c r="AE38" s="4185"/>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85"/>
      <c r="M39" s="4185"/>
      <c r="N39" s="309"/>
      <c r="O39" s="303"/>
      <c r="P39" s="303"/>
      <c r="Q39" s="303"/>
      <c r="R39" s="303"/>
      <c r="S39" s="303"/>
      <c r="T39" s="303"/>
      <c r="U39" s="303"/>
      <c r="V39" s="303"/>
      <c r="W39" s="305"/>
      <c r="X39" s="303"/>
      <c r="Y39" s="303"/>
      <c r="Z39" s="325"/>
      <c r="AA39" s="302"/>
      <c r="AB39" s="315"/>
      <c r="AC39" s="322"/>
      <c r="AD39" s="4185"/>
      <c r="AE39" s="4185"/>
      <c r="AF39" s="309"/>
      <c r="AG39" s="269">
        <f>IF(AH38&gt;0,1,0)</f>
        <v>0</v>
      </c>
      <c r="AH39" s="295"/>
      <c r="AI39" s="322"/>
      <c r="AJ39" s="190"/>
    </row>
    <row r="40" spans="1:36" ht="12" customHeight="1" x14ac:dyDescent="0.2">
      <c r="A40" s="1584"/>
      <c r="B40" s="295"/>
      <c r="C40" s="302"/>
      <c r="D40" s="295"/>
      <c r="E40" s="309"/>
      <c r="F40" s="338"/>
      <c r="G40" s="50"/>
      <c r="H40" s="309"/>
      <c r="I40" s="4185" t="s">
        <v>2106</v>
      </c>
      <c r="J40" s="4185"/>
      <c r="K40" s="309">
        <v>7</v>
      </c>
      <c r="L40" s="310" t="str">
        <f>IF(PDs!$X$15&lt;Metamagia!N37,"Nv "&amp;Metamagia!N37,"")</f>
        <v>Nv 10</v>
      </c>
      <c r="M40" s="311"/>
      <c r="N40" s="309">
        <v>20</v>
      </c>
      <c r="O40" s="303"/>
      <c r="P40" s="303"/>
      <c r="Q40" s="303"/>
      <c r="R40" s="303"/>
      <c r="S40" s="303"/>
      <c r="T40" s="303"/>
      <c r="U40" s="303"/>
      <c r="V40" s="303"/>
      <c r="W40" s="305"/>
      <c r="X40" s="303"/>
      <c r="Y40" s="303"/>
      <c r="Z40" s="325"/>
      <c r="AA40" s="4185" t="s">
        <v>2107</v>
      </c>
      <c r="AB40" s="4185"/>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85"/>
      <c r="J41" s="4185"/>
      <c r="K41" s="309"/>
      <c r="L41" s="269">
        <f>IF(M40&gt;0,1,0)</f>
        <v>0</v>
      </c>
      <c r="M41" s="302"/>
      <c r="N41" s="309"/>
      <c r="O41" s="303"/>
      <c r="V41" s="303"/>
      <c r="W41" s="305"/>
      <c r="X41" s="338"/>
      <c r="Y41" s="50"/>
      <c r="Z41" s="309"/>
      <c r="AA41" s="4185"/>
      <c r="AB41" s="4185"/>
      <c r="AC41" s="309"/>
      <c r="AD41" s="269">
        <f>IF(AE40&gt;0,1,0)</f>
        <v>0</v>
      </c>
      <c r="AE41" s="302"/>
      <c r="AF41" s="309"/>
      <c r="AG41" s="303"/>
      <c r="AH41" s="327"/>
      <c r="AI41" s="326"/>
      <c r="AJ41" s="190"/>
    </row>
    <row r="42" spans="1:36" ht="12" customHeight="1" x14ac:dyDescent="0.2">
      <c r="A42" s="1584"/>
      <c r="B42" s="295"/>
      <c r="C42" s="4185" t="s">
        <v>2108</v>
      </c>
      <c r="D42" s="4185"/>
      <c r="E42" s="339">
        <v>2</v>
      </c>
      <c r="F42" s="50"/>
      <c r="G42" s="293"/>
      <c r="H42" s="340"/>
      <c r="I42" s="4185"/>
      <c r="J42" s="4185"/>
      <c r="K42" s="341"/>
      <c r="L42" s="342"/>
      <c r="M42" s="302"/>
      <c r="N42" s="309"/>
      <c r="O42" s="303"/>
      <c r="V42" s="303"/>
      <c r="W42" s="305"/>
      <c r="X42" s="50"/>
      <c r="Y42" s="293"/>
      <c r="Z42" s="340"/>
      <c r="AA42" s="4185"/>
      <c r="AB42" s="4185"/>
      <c r="AC42" s="343"/>
      <c r="AD42" s="342"/>
      <c r="AE42" s="302"/>
      <c r="AF42" s="309"/>
      <c r="AG42" s="4185" t="s">
        <v>2109</v>
      </c>
      <c r="AH42" s="4185"/>
      <c r="AI42" s="322">
        <v>3</v>
      </c>
      <c r="AJ42" s="190"/>
    </row>
    <row r="43" spans="1:36" ht="12" customHeight="1" x14ac:dyDescent="0.2">
      <c r="A43" s="1584"/>
      <c r="B43" s="295"/>
      <c r="C43" s="4185"/>
      <c r="D43" s="4185"/>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85"/>
      <c r="AH43" s="4185"/>
      <c r="AI43" s="322"/>
      <c r="AJ43" s="190"/>
    </row>
    <row r="44" spans="1:36" ht="12" customHeight="1" x14ac:dyDescent="0.2">
      <c r="A44" s="1584"/>
      <c r="B44" s="295"/>
      <c r="C44" s="4185"/>
      <c r="D44" s="4185"/>
      <c r="E44" s="309"/>
      <c r="F44" s="4185" t="s">
        <v>2110</v>
      </c>
      <c r="G44" s="4185"/>
      <c r="H44" s="309">
        <v>6</v>
      </c>
      <c r="I44" s="269">
        <f>IF(J43&gt;0,1,0)</f>
        <v>0</v>
      </c>
      <c r="J44" s="302"/>
      <c r="K44" s="309"/>
      <c r="L44" s="4185" t="s">
        <v>2111</v>
      </c>
      <c r="M44" s="4185"/>
      <c r="N44" s="309">
        <v>9</v>
      </c>
      <c r="O44" s="302"/>
      <c r="V44" s="68"/>
      <c r="W44" s="305"/>
      <c r="X44" s="4185" t="s">
        <v>2112</v>
      </c>
      <c r="Y44" s="4185"/>
      <c r="Z44" s="309">
        <v>8</v>
      </c>
      <c r="AA44" s="269">
        <f>IF(AB43&gt;0,1,0)</f>
        <v>0</v>
      </c>
      <c r="AB44" s="302"/>
      <c r="AC44" s="309"/>
      <c r="AD44" s="4185" t="s">
        <v>2109</v>
      </c>
      <c r="AE44" s="4185"/>
      <c r="AF44" s="309">
        <v>10</v>
      </c>
      <c r="AG44" s="4185"/>
      <c r="AH44" s="4185"/>
      <c r="AI44" s="322"/>
      <c r="AJ44" s="190"/>
    </row>
    <row r="45" spans="1:36" ht="12" customHeight="1" x14ac:dyDescent="0.2">
      <c r="A45" s="1584"/>
      <c r="B45" s="295"/>
      <c r="C45" s="310" t="str">
        <f>IF(PDs!$X$15&lt;Metamagia!E42,"Nv "&amp;Metamagia!E42,"")</f>
        <v>Nv 2</v>
      </c>
      <c r="D45" s="311"/>
      <c r="E45" s="309">
        <v>5</v>
      </c>
      <c r="F45" s="4185"/>
      <c r="G45" s="4185"/>
      <c r="H45" s="309"/>
      <c r="I45" s="4185" t="s">
        <v>2111</v>
      </c>
      <c r="J45" s="4185"/>
      <c r="K45" s="309">
        <v>6</v>
      </c>
      <c r="L45" s="4185"/>
      <c r="M45" s="4185"/>
      <c r="N45" s="309"/>
      <c r="O45" s="302"/>
      <c r="P45" s="302"/>
      <c r="Q45" s="304"/>
      <c r="R45" s="4185" t="s">
        <v>2108</v>
      </c>
      <c r="S45" s="4185"/>
      <c r="T45" s="309">
        <v>2</v>
      </c>
      <c r="U45" s="68"/>
      <c r="V45" s="68"/>
      <c r="W45" s="305"/>
      <c r="X45" s="4185"/>
      <c r="Y45" s="4185"/>
      <c r="Z45" s="309"/>
      <c r="AA45" s="4185" t="s">
        <v>2113</v>
      </c>
      <c r="AB45" s="4185"/>
      <c r="AC45" s="309">
        <v>6</v>
      </c>
      <c r="AD45" s="4185"/>
      <c r="AE45" s="4185"/>
      <c r="AF45" s="309"/>
      <c r="AG45" s="310" t="str">
        <f>IF(PDs!$X$15&lt;Metamagia!AI42,"Nv "&amp;Metamagia!AI42,"")</f>
        <v>Nv 3</v>
      </c>
      <c r="AH45" s="311"/>
      <c r="AI45" s="322">
        <v>5</v>
      </c>
      <c r="AJ45" s="190"/>
    </row>
    <row r="46" spans="1:36" ht="12" customHeight="1" x14ac:dyDescent="0.2">
      <c r="A46" s="1584"/>
      <c r="B46" s="295"/>
      <c r="C46" s="314">
        <f>IF(D45&gt;0,1,0)</f>
        <v>0</v>
      </c>
      <c r="D46" s="302"/>
      <c r="E46" s="309"/>
      <c r="F46" s="4185"/>
      <c r="G46" s="4185"/>
      <c r="H46" s="309"/>
      <c r="I46" s="4185"/>
      <c r="J46" s="4185"/>
      <c r="K46" s="309"/>
      <c r="L46" s="4185"/>
      <c r="M46" s="4185"/>
      <c r="N46" s="309"/>
      <c r="O46" s="302"/>
      <c r="P46" s="318"/>
      <c r="Q46" s="319"/>
      <c r="R46" s="4185"/>
      <c r="S46" s="4185"/>
      <c r="T46" s="309"/>
      <c r="U46" s="68"/>
      <c r="V46" s="68"/>
      <c r="W46" s="305"/>
      <c r="X46" s="4185"/>
      <c r="Y46" s="4185"/>
      <c r="Z46" s="309"/>
      <c r="AA46" s="4185"/>
      <c r="AB46" s="4185"/>
      <c r="AC46" s="309"/>
      <c r="AD46" s="4185"/>
      <c r="AE46" s="4185"/>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85"/>
      <c r="J47" s="4185"/>
      <c r="K47" s="309"/>
      <c r="L47" s="310" t="str">
        <f>IF(PDs!$X$15&lt;Metamagia!N44,"Nv "&amp;Metamagia!N44,"")</f>
        <v>Nv 9</v>
      </c>
      <c r="M47" s="311"/>
      <c r="N47" s="309">
        <v>25</v>
      </c>
      <c r="O47" s="320"/>
      <c r="P47" s="302"/>
      <c r="Q47" s="304"/>
      <c r="R47" s="4185"/>
      <c r="S47" s="4185"/>
      <c r="T47" s="309"/>
      <c r="U47" s="68"/>
      <c r="V47" s="68"/>
      <c r="W47" s="344"/>
      <c r="X47" s="310" t="str">
        <f>IF(PDs!$X$15&lt;Metamagia!Z44,"Nv "&amp;Metamagia!Z44,"")</f>
        <v>Nv 8</v>
      </c>
      <c r="Y47" s="311"/>
      <c r="Z47" s="309">
        <v>5</v>
      </c>
      <c r="AA47" s="4185"/>
      <c r="AB47" s="4185"/>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85" t="s">
        <v>2114</v>
      </c>
      <c r="D50" s="4185"/>
      <c r="E50" s="309"/>
      <c r="F50" s="4185" t="s">
        <v>2115</v>
      </c>
      <c r="G50" s="4185"/>
      <c r="H50" s="309">
        <v>3</v>
      </c>
      <c r="I50" s="4185" t="s">
        <v>2116</v>
      </c>
      <c r="J50" s="4185"/>
      <c r="K50" s="309">
        <v>3</v>
      </c>
      <c r="L50" s="4185" t="s">
        <v>2117</v>
      </c>
      <c r="M50" s="4185"/>
      <c r="N50" s="309">
        <v>3</v>
      </c>
      <c r="O50" s="4185" t="s">
        <v>2118</v>
      </c>
      <c r="P50" s="4185"/>
      <c r="Q50" s="304"/>
      <c r="R50" s="4185" t="s">
        <v>2109</v>
      </c>
      <c r="S50" s="4185"/>
      <c r="T50" s="309">
        <v>5</v>
      </c>
      <c r="U50" s="4185" t="s">
        <v>2109</v>
      </c>
      <c r="V50" s="4185"/>
      <c r="W50" s="309">
        <v>4</v>
      </c>
      <c r="X50" s="4185" t="s">
        <v>2119</v>
      </c>
      <c r="Y50" s="4185"/>
      <c r="Z50" s="309">
        <v>3</v>
      </c>
      <c r="AA50" s="4185" t="s">
        <v>2109</v>
      </c>
      <c r="AB50" s="4185"/>
      <c r="AC50" s="309">
        <v>6</v>
      </c>
      <c r="AD50" s="4185" t="s">
        <v>2120</v>
      </c>
      <c r="AE50" s="4185"/>
      <c r="AF50" s="309">
        <v>3</v>
      </c>
      <c r="AG50" s="4185" t="s">
        <v>2121</v>
      </c>
      <c r="AH50" s="4185"/>
      <c r="AI50" s="322">
        <v>3</v>
      </c>
      <c r="AJ50" s="190"/>
    </row>
    <row r="51" spans="1:36" ht="12" customHeight="1" x14ac:dyDescent="0.2">
      <c r="A51" s="1584"/>
      <c r="B51" s="295"/>
      <c r="C51" s="4185"/>
      <c r="D51" s="4185"/>
      <c r="E51" s="306"/>
      <c r="F51" s="4185"/>
      <c r="G51" s="4185"/>
      <c r="H51" s="306"/>
      <c r="I51" s="4185"/>
      <c r="J51" s="4185"/>
      <c r="K51" s="306"/>
      <c r="L51" s="4185"/>
      <c r="M51" s="4185"/>
      <c r="N51" s="306"/>
      <c r="O51" s="4185"/>
      <c r="P51" s="4185"/>
      <c r="Q51" s="304"/>
      <c r="R51" s="4185"/>
      <c r="S51" s="4185"/>
      <c r="T51" s="309"/>
      <c r="U51" s="4185"/>
      <c r="V51" s="4185"/>
      <c r="W51" s="306"/>
      <c r="X51" s="4185"/>
      <c r="Y51" s="4185"/>
      <c r="Z51" s="306"/>
      <c r="AA51" s="4185"/>
      <c r="AB51" s="4185"/>
      <c r="AC51" s="306"/>
      <c r="AD51" s="4185"/>
      <c r="AE51" s="4185"/>
      <c r="AF51" s="306"/>
      <c r="AG51" s="4185"/>
      <c r="AH51" s="4185"/>
      <c r="AI51" s="322"/>
      <c r="AJ51" s="190"/>
    </row>
    <row r="52" spans="1:36" ht="12" customHeight="1" x14ac:dyDescent="0.2">
      <c r="A52" s="1584"/>
      <c r="B52" s="295"/>
      <c r="C52" s="4185"/>
      <c r="D52" s="4185"/>
      <c r="E52" s="309"/>
      <c r="F52" s="4185"/>
      <c r="G52" s="4185"/>
      <c r="H52" s="309"/>
      <c r="I52" s="4185"/>
      <c r="J52" s="4185"/>
      <c r="K52" s="309"/>
      <c r="L52" s="4185"/>
      <c r="M52" s="4185"/>
      <c r="N52" s="309"/>
      <c r="O52" s="4185"/>
      <c r="P52" s="4185"/>
      <c r="Q52" s="304"/>
      <c r="R52" s="4185"/>
      <c r="S52" s="4185"/>
      <c r="T52" s="309"/>
      <c r="U52" s="4185"/>
      <c r="V52" s="4185"/>
      <c r="W52" s="309"/>
      <c r="X52" s="4185"/>
      <c r="Y52" s="4185"/>
      <c r="Z52" s="309"/>
      <c r="AA52" s="4185"/>
      <c r="AB52" s="4185"/>
      <c r="AC52" s="309"/>
      <c r="AD52" s="4185"/>
      <c r="AE52" s="4185"/>
      <c r="AF52" s="309"/>
      <c r="AG52" s="4185"/>
      <c r="AH52" s="4185"/>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85" t="s">
        <v>2122</v>
      </c>
      <c r="J55" s="4185"/>
      <c r="K55" s="309"/>
      <c r="L55" s="302"/>
      <c r="M55" s="295"/>
      <c r="N55" s="309"/>
      <c r="O55" s="302"/>
      <c r="P55" s="302"/>
      <c r="Q55" s="304"/>
      <c r="R55" s="4185" t="s">
        <v>2112</v>
      </c>
      <c r="S55" s="4185"/>
      <c r="T55" s="309">
        <v>5</v>
      </c>
      <c r="U55" s="69"/>
      <c r="V55" s="68"/>
      <c r="W55" s="305"/>
      <c r="X55" s="347"/>
      <c r="Y55" s="348"/>
      <c r="Z55" s="349"/>
      <c r="AA55" s="4185" t="s">
        <v>2109</v>
      </c>
      <c r="AB55" s="4185"/>
      <c r="AC55" s="309"/>
      <c r="AD55" s="302"/>
      <c r="AE55" s="295"/>
      <c r="AF55" s="309"/>
      <c r="AG55" s="68"/>
      <c r="AH55" s="68"/>
      <c r="AI55" s="345"/>
      <c r="AJ55" s="190"/>
    </row>
    <row r="56" spans="1:36" ht="12" customHeight="1" x14ac:dyDescent="0.2">
      <c r="A56" s="1584"/>
      <c r="B56" s="65"/>
      <c r="C56" s="108"/>
      <c r="D56" s="108"/>
      <c r="E56" s="129"/>
      <c r="F56" s="350"/>
      <c r="G56" s="351"/>
      <c r="H56" s="352"/>
      <c r="I56" s="4185"/>
      <c r="J56" s="4185"/>
      <c r="K56" s="316"/>
      <c r="L56" s="200"/>
      <c r="M56" s="65"/>
      <c r="N56" s="309"/>
      <c r="O56" s="302"/>
      <c r="P56" s="302"/>
      <c r="Q56" s="304"/>
      <c r="R56" s="4185"/>
      <c r="S56" s="4185"/>
      <c r="T56" s="316"/>
      <c r="U56" s="200"/>
      <c r="V56" s="68"/>
      <c r="W56" s="305"/>
      <c r="X56" s="350"/>
      <c r="Y56" s="351"/>
      <c r="Z56" s="352"/>
      <c r="AA56" s="4185"/>
      <c r="AB56" s="4185"/>
      <c r="AC56" s="316"/>
      <c r="AD56" s="200"/>
      <c r="AE56" s="65"/>
      <c r="AF56" s="309"/>
      <c r="AG56" s="68"/>
      <c r="AH56" s="68"/>
      <c r="AI56" s="69"/>
      <c r="AJ56" s="190"/>
    </row>
    <row r="57" spans="1:36" ht="12" customHeight="1" x14ac:dyDescent="0.2">
      <c r="A57" s="1584"/>
      <c r="B57" s="65"/>
      <c r="C57" s="108"/>
      <c r="D57" s="108"/>
      <c r="E57" s="129"/>
      <c r="F57" s="353"/>
      <c r="G57" s="354"/>
      <c r="H57" s="309"/>
      <c r="I57" s="4185"/>
      <c r="J57" s="4185"/>
      <c r="K57" s="309"/>
      <c r="L57" s="68"/>
      <c r="M57" s="65"/>
      <c r="N57" s="309"/>
      <c r="O57" s="302"/>
      <c r="P57" s="302"/>
      <c r="Q57" s="304"/>
      <c r="R57" s="4185"/>
      <c r="S57" s="4185"/>
      <c r="T57" s="309"/>
      <c r="U57" s="68"/>
      <c r="V57" s="68"/>
      <c r="W57" s="305"/>
      <c r="X57" s="353"/>
      <c r="Y57" s="354"/>
      <c r="Z57" s="309"/>
      <c r="AA57" s="4185"/>
      <c r="AB57" s="4185"/>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85" t="s">
        <v>2123</v>
      </c>
      <c r="G59" s="4185"/>
      <c r="H59" s="309"/>
      <c r="I59" s="321">
        <f>IF(J58&gt;0,1,0)</f>
        <v>0</v>
      </c>
      <c r="J59" s="68"/>
      <c r="K59" s="309"/>
      <c r="L59" s="4185" t="s">
        <v>2108</v>
      </c>
      <c r="M59" s="4185"/>
      <c r="N59" s="309"/>
      <c r="O59" s="68"/>
      <c r="P59" s="68"/>
      <c r="Q59" s="305"/>
      <c r="R59" s="269">
        <f>IF(S58&gt;0,1,0)</f>
        <v>0</v>
      </c>
      <c r="S59" s="68"/>
      <c r="T59" s="305"/>
      <c r="U59" s="68"/>
      <c r="V59" s="68"/>
      <c r="W59" s="305"/>
      <c r="X59" s="4185" t="s">
        <v>2112</v>
      </c>
      <c r="Y59" s="4185"/>
      <c r="Z59" s="309"/>
      <c r="AA59" s="321">
        <f>IF(AB58&gt;0,1,0)</f>
        <v>0</v>
      </c>
      <c r="AB59" s="68"/>
      <c r="AC59" s="309"/>
      <c r="AD59" s="4185" t="s">
        <v>2121</v>
      </c>
      <c r="AE59" s="4185"/>
      <c r="AF59" s="309"/>
      <c r="AG59" s="68"/>
      <c r="AH59" s="68"/>
      <c r="AI59" s="69"/>
      <c r="AJ59" s="190"/>
    </row>
    <row r="60" spans="1:36" ht="12" customHeight="1" x14ac:dyDescent="0.2">
      <c r="A60" s="1741"/>
      <c r="B60" s="357"/>
      <c r="C60" s="108"/>
      <c r="D60" s="108"/>
      <c r="E60" s="355"/>
      <c r="F60" s="4185"/>
      <c r="G60" s="4185"/>
      <c r="H60" s="306"/>
      <c r="I60" s="4185" t="s">
        <v>2116</v>
      </c>
      <c r="J60" s="4185"/>
      <c r="K60" s="308"/>
      <c r="L60" s="4185"/>
      <c r="M60" s="4185"/>
      <c r="N60" s="309"/>
      <c r="O60" s="68"/>
      <c r="P60" s="68"/>
      <c r="Q60" s="68"/>
      <c r="R60" s="68"/>
      <c r="S60" s="68"/>
      <c r="T60" s="305"/>
      <c r="U60" s="68"/>
      <c r="V60" s="68"/>
      <c r="W60" s="305"/>
      <c r="X60" s="4185"/>
      <c r="Y60" s="4185"/>
      <c r="Z60" s="306"/>
      <c r="AA60" s="4185" t="s">
        <v>2109</v>
      </c>
      <c r="AB60" s="4185"/>
      <c r="AC60" s="306"/>
      <c r="AD60" s="4185"/>
      <c r="AE60" s="4185"/>
      <c r="AF60" s="309"/>
      <c r="AG60" s="68"/>
      <c r="AH60" s="68"/>
      <c r="AI60" s="69"/>
      <c r="AJ60" s="190"/>
    </row>
    <row r="61" spans="1:36" ht="12" customHeight="1" x14ac:dyDescent="0.2">
      <c r="A61" s="1741"/>
      <c r="B61" s="357"/>
      <c r="C61" s="108"/>
      <c r="D61" s="108"/>
      <c r="E61" s="355"/>
      <c r="F61" s="4185"/>
      <c r="G61" s="4185"/>
      <c r="H61" s="309"/>
      <c r="I61" s="4185"/>
      <c r="J61" s="4185"/>
      <c r="K61" s="305"/>
      <c r="L61" s="4185"/>
      <c r="M61" s="4185"/>
      <c r="N61" s="309"/>
      <c r="O61" s="68"/>
      <c r="P61" s="68"/>
      <c r="Q61" s="68"/>
      <c r="R61" s="68"/>
      <c r="S61" s="68"/>
      <c r="T61" s="305"/>
      <c r="U61" s="68"/>
      <c r="V61" s="68"/>
      <c r="W61" s="305"/>
      <c r="X61" s="4185"/>
      <c r="Y61" s="4185"/>
      <c r="Z61" s="309"/>
      <c r="AA61" s="4185"/>
      <c r="AB61" s="4185"/>
      <c r="AC61" s="309"/>
      <c r="AD61" s="4185"/>
      <c r="AE61" s="4185"/>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85"/>
      <c r="J62" s="4185"/>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85"/>
      <c r="AB62" s="4185"/>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76"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5" priority="71" stopIfTrue="1" operator="greaterThan">
      <formula>0</formula>
    </cfRule>
  </conditionalFormatting>
  <conditionalFormatting sqref="F11:G13">
    <cfRule type="expression" dxfId="574" priority="69" stopIfTrue="1">
      <formula>$G$14&gt;0</formula>
    </cfRule>
  </conditionalFormatting>
  <conditionalFormatting sqref="AA60:AB62">
    <cfRule type="expression" dxfId="573" priority="68" stopIfTrue="1">
      <formula>$AB$63&gt;0</formula>
    </cfRule>
  </conditionalFormatting>
  <conditionalFormatting sqref="AD59:AE61">
    <cfRule type="expression" dxfId="572" priority="67" stopIfTrue="1">
      <formula>$AE$62&gt;0</formula>
    </cfRule>
  </conditionalFormatting>
  <conditionalFormatting sqref="X59:Y61">
    <cfRule type="expression" dxfId="571" priority="66" stopIfTrue="1">
      <formula>$Y$62&gt;0</formula>
    </cfRule>
  </conditionalFormatting>
  <conditionalFormatting sqref="AA55:AB57">
    <cfRule type="expression" dxfId="570" priority="65" stopIfTrue="1">
      <formula>$AB$58&gt;0</formula>
    </cfRule>
  </conditionalFormatting>
  <conditionalFormatting sqref="AD50:AE52">
    <cfRule type="expression" dxfId="569" priority="64" stopIfTrue="1">
      <formula>$AE$53&gt;0</formula>
    </cfRule>
  </conditionalFormatting>
  <conditionalFormatting sqref="AG50:AH52">
    <cfRule type="expression" dxfId="568" priority="63" stopIfTrue="1">
      <formula>$AH$53&gt;0</formula>
    </cfRule>
  </conditionalFormatting>
  <conditionalFormatting sqref="AG42:AH44">
    <cfRule type="expression" dxfId="567" priority="62" stopIfTrue="1">
      <formula>$AH$45&gt;0</formula>
    </cfRule>
  </conditionalFormatting>
  <conditionalFormatting sqref="AD44:AE46">
    <cfRule type="expression" dxfId="566" priority="61" stopIfTrue="1">
      <formula>$AE$47&gt;0</formula>
    </cfRule>
  </conditionalFormatting>
  <conditionalFormatting sqref="AA50:AB52">
    <cfRule type="expression" dxfId="565" priority="60" stopIfTrue="1">
      <formula>$AB$53&gt;0</formula>
    </cfRule>
  </conditionalFormatting>
  <conditionalFormatting sqref="X50:Y52">
    <cfRule type="expression" dxfId="564" priority="59" stopIfTrue="1">
      <formula>$Y$53&gt;0</formula>
    </cfRule>
  </conditionalFormatting>
  <conditionalFormatting sqref="AA45:AB47">
    <cfRule type="expression" dxfId="563" priority="58" stopIfTrue="1">
      <formula>$AB$48&gt;0</formula>
    </cfRule>
  </conditionalFormatting>
  <conditionalFormatting sqref="U50:V52">
    <cfRule type="expression" dxfId="562" priority="57" stopIfTrue="1">
      <formula>$V$53&gt;0</formula>
    </cfRule>
  </conditionalFormatting>
  <conditionalFormatting sqref="X44:Y46">
    <cfRule type="expression" dxfId="561" priority="56" stopIfTrue="1">
      <formula>$Y$47&gt;0</formula>
    </cfRule>
  </conditionalFormatting>
  <conditionalFormatting sqref="AA40:AB42">
    <cfRule type="expression" dxfId="560" priority="55" stopIfTrue="1">
      <formula>$AB$43&gt;0</formula>
    </cfRule>
  </conditionalFormatting>
  <conditionalFormatting sqref="AD37:AE39">
    <cfRule type="expression" dxfId="559" priority="54" stopIfTrue="1">
      <formula>$AE$40&gt;0</formula>
    </cfRule>
  </conditionalFormatting>
  <conditionalFormatting sqref="AG35:AH37">
    <cfRule type="expression" dxfId="558" priority="53" stopIfTrue="1">
      <formula>$AH$38&gt;0</formula>
    </cfRule>
  </conditionalFormatting>
  <conditionalFormatting sqref="R45:S47">
    <cfRule type="expression" dxfId="557" priority="52" stopIfTrue="1">
      <formula>$S$48&gt;0</formula>
    </cfRule>
  </conditionalFormatting>
  <conditionalFormatting sqref="R50:S52">
    <cfRule type="expression" dxfId="556" priority="51" stopIfTrue="1">
      <formula>$S$53&gt;0</formula>
    </cfRule>
  </conditionalFormatting>
  <conditionalFormatting sqref="R55:S57">
    <cfRule type="expression" dxfId="555" priority="50" stopIfTrue="1">
      <formula>$S$58&gt;0</formula>
    </cfRule>
  </conditionalFormatting>
  <conditionalFormatting sqref="O50:P52">
    <cfRule type="expression" dxfId="554" priority="49" stopIfTrue="1">
      <formula>$P$53&gt;0</formula>
    </cfRule>
  </conditionalFormatting>
  <conditionalFormatting sqref="L59:M61">
    <cfRule type="expression" dxfId="553" priority="48" stopIfTrue="1">
      <formula>$M$62&gt;0</formula>
    </cfRule>
  </conditionalFormatting>
  <conditionalFormatting sqref="I60:J62">
    <cfRule type="expression" dxfId="552" priority="47" stopIfTrue="1">
      <formula>$J$63&gt;0</formula>
    </cfRule>
  </conditionalFormatting>
  <conditionalFormatting sqref="F59:G61">
    <cfRule type="expression" dxfId="551" priority="46" stopIfTrue="1">
      <formula>$G$62&gt;0</formula>
    </cfRule>
  </conditionalFormatting>
  <conditionalFormatting sqref="I55:J57">
    <cfRule type="expression" dxfId="550" priority="45" stopIfTrue="1">
      <formula>$J$58&gt;0</formula>
    </cfRule>
  </conditionalFormatting>
  <conditionalFormatting sqref="L50:M52">
    <cfRule type="expression" dxfId="549" priority="44" stopIfTrue="1">
      <formula>$M$53&gt;0</formula>
    </cfRule>
  </conditionalFormatting>
  <conditionalFormatting sqref="I50:J52">
    <cfRule type="expression" dxfId="548" priority="43" stopIfTrue="1">
      <formula>$J$53&gt;0</formula>
    </cfRule>
  </conditionalFormatting>
  <conditionalFormatting sqref="F50:G52">
    <cfRule type="expression" dxfId="547" priority="42" stopIfTrue="1">
      <formula>$G$53&gt;0</formula>
    </cfRule>
  </conditionalFormatting>
  <conditionalFormatting sqref="C50:D52">
    <cfRule type="expression" dxfId="546" priority="41" stopIfTrue="1">
      <formula>$D$53&gt;0</formula>
    </cfRule>
  </conditionalFormatting>
  <conditionalFormatting sqref="L44:M46">
    <cfRule type="expression" dxfId="545" priority="40" stopIfTrue="1">
      <formula>$M$47&gt;0</formula>
    </cfRule>
  </conditionalFormatting>
  <conditionalFormatting sqref="I45:J47">
    <cfRule type="expression" dxfId="544" priority="39" stopIfTrue="1">
      <formula>$J$48&gt;0</formula>
    </cfRule>
  </conditionalFormatting>
  <conditionalFormatting sqref="F44:G46">
    <cfRule type="expression" dxfId="543" priority="38" stopIfTrue="1">
      <formula>$G$47&gt;0</formula>
    </cfRule>
  </conditionalFormatting>
  <conditionalFormatting sqref="C42:D44">
    <cfRule type="expression" dxfId="542" priority="34" stopIfTrue="1">
      <formula>$D$45&gt;0</formula>
    </cfRule>
    <cfRule type="expression" dxfId="541" priority="37" stopIfTrue="1">
      <formula>$D$45&gt;0</formula>
    </cfRule>
  </conditionalFormatting>
  <conditionalFormatting sqref="I40:J42">
    <cfRule type="expression" dxfId="540" priority="36" stopIfTrue="1">
      <formula>$J$43&gt;0</formula>
    </cfRule>
  </conditionalFormatting>
  <conditionalFormatting sqref="L37:M39">
    <cfRule type="expression" dxfId="539" priority="35" stopIfTrue="1">
      <formula>$M$40&gt;0</formula>
    </cfRule>
  </conditionalFormatting>
  <conditionalFormatting sqref="C35:D37">
    <cfRule type="expression" dxfId="538" priority="33" stopIfTrue="1">
      <formula>$D$38&gt;0</formula>
    </cfRule>
  </conditionalFormatting>
  <conditionalFormatting sqref="F33:G35">
    <cfRule type="expression" dxfId="537" priority="32" stopIfTrue="1">
      <formula>$G$36&gt;0</formula>
    </cfRule>
  </conditionalFormatting>
  <conditionalFormatting sqref="I30:J32">
    <cfRule type="expression" dxfId="536" priority="31" stopIfTrue="1">
      <formula>$J$33&gt;0</formula>
    </cfRule>
  </conditionalFormatting>
  <conditionalFormatting sqref="C28:D30">
    <cfRule type="expression" dxfId="535" priority="30" stopIfTrue="1">
      <formula>$D$31&gt;0</formula>
    </cfRule>
  </conditionalFormatting>
  <conditionalFormatting sqref="F26:G28">
    <cfRule type="expression" dxfId="534" priority="29" stopIfTrue="1">
      <formula>$G$29&gt;0</formula>
    </cfRule>
  </conditionalFormatting>
  <conditionalFormatting sqref="I25:J27">
    <cfRule type="expression" dxfId="533" priority="28" stopIfTrue="1">
      <formula>$J$28&gt;0</formula>
    </cfRule>
  </conditionalFormatting>
  <conditionalFormatting sqref="L26:M28">
    <cfRule type="expression" dxfId="532" priority="27" stopIfTrue="1">
      <formula>$M$29&gt;0</formula>
    </cfRule>
  </conditionalFormatting>
  <conditionalFormatting sqref="C20:D22">
    <cfRule type="expression" dxfId="531" priority="26" stopIfTrue="1">
      <formula>$D$23&gt;0</formula>
    </cfRule>
  </conditionalFormatting>
  <conditionalFormatting sqref="F20:G22">
    <cfRule type="expression" dxfId="530" priority="25" stopIfTrue="1">
      <formula>$G$23&gt;0</formula>
    </cfRule>
  </conditionalFormatting>
  <conditionalFormatting sqref="I20:J22">
    <cfRule type="expression" dxfId="529" priority="24" stopIfTrue="1">
      <formula>$J$23&gt;0</formula>
    </cfRule>
  </conditionalFormatting>
  <conditionalFormatting sqref="I10:J12">
    <cfRule type="expression" dxfId="528" priority="23" stopIfTrue="1">
      <formula>$J$13&gt;0</formula>
    </cfRule>
  </conditionalFormatting>
  <conditionalFormatting sqref="I15:J17">
    <cfRule type="expression" dxfId="527" priority="22" stopIfTrue="1">
      <formula>$J$18&gt;0</formula>
    </cfRule>
  </conditionalFormatting>
  <conditionalFormatting sqref="L11:M13">
    <cfRule type="expression" dxfId="526" priority="21" stopIfTrue="1">
      <formula>$M$14&gt;0</formula>
    </cfRule>
  </conditionalFormatting>
  <conditionalFormatting sqref="L20:M22">
    <cfRule type="expression" dxfId="525" priority="20" stopIfTrue="1">
      <formula>$M$23&gt;0</formula>
    </cfRule>
  </conditionalFormatting>
  <conditionalFormatting sqref="O20:P22">
    <cfRule type="expression" dxfId="524" priority="19" stopIfTrue="1">
      <formula>$P$23&gt;0</formula>
    </cfRule>
  </conditionalFormatting>
  <conditionalFormatting sqref="R15:S17">
    <cfRule type="expression" dxfId="523" priority="18" stopIfTrue="1">
      <formula>$S$18&gt;0</formula>
    </cfRule>
  </conditionalFormatting>
  <conditionalFormatting sqref="R20:S22">
    <cfRule type="expression" dxfId="522" priority="17" stopIfTrue="1">
      <formula>$S$23&gt;0</formula>
    </cfRule>
  </conditionalFormatting>
  <conditionalFormatting sqref="R25:S27">
    <cfRule type="expression" dxfId="521" priority="16" stopIfTrue="1">
      <formula>$S$28&gt;0</formula>
    </cfRule>
  </conditionalFormatting>
  <conditionalFormatting sqref="U20:V22">
    <cfRule type="expression" dxfId="520" priority="15" stopIfTrue="1">
      <formula>$V$23&gt;0</formula>
    </cfRule>
  </conditionalFormatting>
  <conditionalFormatting sqref="X11:Y13">
    <cfRule type="expression" dxfId="519" priority="14" stopIfTrue="1">
      <formula>$Y$14&gt;0</formula>
    </cfRule>
  </conditionalFormatting>
  <conditionalFormatting sqref="X20:Y22">
    <cfRule type="expression" dxfId="518" priority="13" stopIfTrue="1">
      <formula>$Y$23&gt;0</formula>
    </cfRule>
  </conditionalFormatting>
  <conditionalFormatting sqref="X26:Y28">
    <cfRule type="expression" dxfId="517" priority="12" stopIfTrue="1">
      <formula>$Y$29&gt;0</formula>
    </cfRule>
  </conditionalFormatting>
  <conditionalFormatting sqref="X33:Y35">
    <cfRule type="expression" dxfId="516" priority="11" stopIfTrue="1">
      <formula>$Y$36&gt;0</formula>
    </cfRule>
  </conditionalFormatting>
  <conditionalFormatting sqref="AA10:AB12">
    <cfRule type="expression" dxfId="515" priority="10" stopIfTrue="1">
      <formula>$AB$13&gt;0</formula>
    </cfRule>
  </conditionalFormatting>
  <conditionalFormatting sqref="AA15:AB17">
    <cfRule type="expression" dxfId="514" priority="9" stopIfTrue="1">
      <formula>$AB$18&gt;0</formula>
    </cfRule>
  </conditionalFormatting>
  <conditionalFormatting sqref="AA20:AB22">
    <cfRule type="expression" dxfId="513" priority="8" stopIfTrue="1">
      <formula>$AB$23&gt;0</formula>
    </cfRule>
  </conditionalFormatting>
  <conditionalFormatting sqref="AA25:AB27">
    <cfRule type="expression" dxfId="512" priority="7" stopIfTrue="1">
      <formula>$AB$28&gt;0</formula>
    </cfRule>
  </conditionalFormatting>
  <conditionalFormatting sqref="AA30:AB32">
    <cfRule type="expression" dxfId="511" priority="6" stopIfTrue="1">
      <formula>$AB$33&gt;0</formula>
    </cfRule>
  </conditionalFormatting>
  <conditionalFormatting sqref="AD11:AE13">
    <cfRule type="expression" dxfId="510" priority="5" stopIfTrue="1">
      <formula>$AE$14&gt;0</formula>
    </cfRule>
  </conditionalFormatting>
  <conditionalFormatting sqref="AD20:AE22">
    <cfRule type="expression" dxfId="509" priority="4" stopIfTrue="1">
      <formula>$AE$23&gt;0</formula>
    </cfRule>
  </conditionalFormatting>
  <conditionalFormatting sqref="AD26:AE28">
    <cfRule type="expression" dxfId="508" priority="3" stopIfTrue="1">
      <formula>$AE$29&gt;0</formula>
    </cfRule>
  </conditionalFormatting>
  <conditionalFormatting sqref="AG20:AH22">
    <cfRule type="expression" dxfId="507" priority="2" stopIfTrue="1">
      <formula>$AH$23&gt;0</formula>
    </cfRule>
  </conditionalFormatting>
  <conditionalFormatting sqref="AG28:AH30">
    <cfRule type="expression" dxfId="50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D5" sqref="D5:E5"/>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379" t="str">
        <f>"Sheele ("&amp;VLOOKUP(Sheele!D5,'Tablas Sheele'!C5:G12,5,FALSE)&amp;")"</f>
        <v>Sheele (Haley)</v>
      </c>
      <c r="M3" s="4379"/>
      <c r="N3" s="4379"/>
      <c r="O3" s="4379"/>
      <c r="P3" s="4379"/>
      <c r="Q3" s="692"/>
      <c r="R3" s="692"/>
      <c r="S3" s="692"/>
      <c r="T3" s="692"/>
      <c r="U3" s="692"/>
      <c r="V3" s="692"/>
      <c r="W3" s="692"/>
      <c r="X3" s="692"/>
      <c r="Y3" s="692"/>
      <c r="Z3" s="693"/>
      <c r="AA3" s="694"/>
      <c r="AB3" s="684"/>
    </row>
    <row r="4" spans="1:53" ht="13.5" customHeight="1" x14ac:dyDescent="0.2">
      <c r="A4" s="681"/>
      <c r="B4" s="690"/>
      <c r="C4" s="695"/>
      <c r="D4" s="4368" t="s">
        <v>3391</v>
      </c>
      <c r="E4" s="4369"/>
      <c r="F4" s="4369" t="s">
        <v>3392</v>
      </c>
      <c r="G4" s="4370"/>
      <c r="H4" s="696"/>
      <c r="I4" s="696"/>
      <c r="J4" s="696"/>
      <c r="K4" s="696"/>
      <c r="L4" s="4380"/>
      <c r="M4" s="4380"/>
      <c r="N4" s="4380"/>
      <c r="O4" s="4380"/>
      <c r="P4" s="4380"/>
      <c r="Q4" s="696"/>
      <c r="R4" s="4191" t="s">
        <v>8175</v>
      </c>
      <c r="S4" s="4191"/>
      <c r="T4" s="4191"/>
      <c r="U4" s="1570">
        <f>VALUE(PDs!X15)</f>
        <v>1</v>
      </c>
      <c r="V4" s="696"/>
      <c r="W4" s="696"/>
      <c r="X4" s="696"/>
      <c r="Y4" s="696"/>
      <c r="Z4" s="697"/>
      <c r="AA4" s="694"/>
      <c r="AB4" s="684"/>
    </row>
    <row r="5" spans="1:53" ht="12" customHeight="1" thickBot="1" x14ac:dyDescent="0.25">
      <c r="A5" s="681"/>
      <c r="B5" s="690"/>
      <c r="C5" s="695"/>
      <c r="D5" s="4382" t="s">
        <v>1931</v>
      </c>
      <c r="E5" s="4383"/>
      <c r="F5" s="4383" t="s">
        <v>1693</v>
      </c>
      <c r="G5" s="4384"/>
      <c r="H5" s="696"/>
      <c r="I5" s="696"/>
      <c r="J5" s="696"/>
      <c r="K5" s="696"/>
      <c r="L5" s="4380"/>
      <c r="M5" s="4380"/>
      <c r="N5" s="4380"/>
      <c r="O5" s="4380"/>
      <c r="P5" s="4380"/>
      <c r="Q5" s="696"/>
      <c r="R5" s="4191" t="s">
        <v>3393</v>
      </c>
      <c r="S5" s="4191"/>
      <c r="T5" s="4191"/>
      <c r="U5" s="1660">
        <f>ROUNDUP(IF(U4=0,5,10*U4)/2,0)</f>
        <v>5</v>
      </c>
      <c r="V5" s="4192"/>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381"/>
      <c r="M6" s="4381"/>
      <c r="N6" s="4381"/>
      <c r="O6" s="4381"/>
      <c r="P6" s="4381"/>
      <c r="Q6" s="700"/>
      <c r="R6" s="700"/>
      <c r="S6" s="700"/>
      <c r="T6" s="2431"/>
      <c r="U6" s="700"/>
      <c r="V6" s="4193"/>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365" t="s">
        <v>1676</v>
      </c>
      <c r="D8" s="703"/>
      <c r="E8" s="1665" t="s">
        <v>1677</v>
      </c>
      <c r="F8" s="704" t="s">
        <v>1678</v>
      </c>
      <c r="G8" s="705" t="s">
        <v>1661</v>
      </c>
      <c r="H8" s="706" t="s">
        <v>1679</v>
      </c>
      <c r="I8" s="741"/>
      <c r="J8" s="741"/>
      <c r="K8" s="741"/>
      <c r="L8" s="4368" t="s">
        <v>3394</v>
      </c>
      <c r="M8" s="4369"/>
      <c r="N8" s="4369"/>
      <c r="O8" s="4369"/>
      <c r="P8" s="4369"/>
      <c r="Q8" s="4369"/>
      <c r="R8" s="4369"/>
      <c r="S8" s="4370"/>
      <c r="T8" s="741"/>
      <c r="U8" s="4324" t="s">
        <v>3395</v>
      </c>
      <c r="V8" s="4325"/>
      <c r="W8" s="4325"/>
      <c r="X8" s="4325"/>
      <c r="Y8" s="4325"/>
      <c r="Z8" s="4326"/>
      <c r="AA8" s="694"/>
      <c r="AB8" s="684"/>
      <c r="AT8" s="702"/>
      <c r="AU8" s="698"/>
      <c r="AV8" s="698"/>
    </row>
    <row r="9" spans="1:53" ht="12" customHeight="1" x14ac:dyDescent="0.2">
      <c r="A9" s="681"/>
      <c r="B9" s="690"/>
      <c r="C9" s="4366"/>
      <c r="D9" s="707" t="s">
        <v>1685</v>
      </c>
      <c r="E9" s="1660">
        <f>HLOOKUP($D$5,'Tablas Sheele'!$G$17:$N$25,'Tablas Sheele'!E18,)</f>
        <v>8</v>
      </c>
      <c r="F9" s="1495"/>
      <c r="G9" s="708">
        <f>E9+'Tablas Sheele'!D18+IF('Tablas Sheele'!F143&gt;0,2,0)</f>
        <v>8</v>
      </c>
      <c r="H9" s="1661">
        <f>IF(G9&lt;1,0,VLOOKUP(G9,Tablas!$C$14:$D$33,2))</f>
        <v>10</v>
      </c>
      <c r="I9" s="657"/>
      <c r="J9" s="741"/>
      <c r="K9" s="657"/>
      <c r="L9" s="4374" t="s">
        <v>1823</v>
      </c>
      <c r="M9" s="4375"/>
      <c r="N9" s="4375"/>
      <c r="O9" s="4376"/>
      <c r="P9" s="4377" t="s">
        <v>3396</v>
      </c>
      <c r="Q9" s="4377"/>
      <c r="R9" s="4377"/>
      <c r="S9" s="4378"/>
      <c r="T9" s="741"/>
      <c r="U9" s="4371"/>
      <c r="V9" s="4372"/>
      <c r="W9" s="4372"/>
      <c r="X9" s="4372"/>
      <c r="Y9" s="4372"/>
      <c r="Z9" s="4373"/>
      <c r="AA9" s="694"/>
      <c r="AB9" s="684"/>
      <c r="AT9" s="702"/>
      <c r="AU9" s="698"/>
      <c r="AV9" s="698"/>
    </row>
    <row r="10" spans="1:53" ht="12" customHeight="1" x14ac:dyDescent="0.2">
      <c r="A10" s="681"/>
      <c r="B10" s="690"/>
      <c r="C10" s="4366"/>
      <c r="D10" s="707" t="s">
        <v>1813</v>
      </c>
      <c r="E10" s="1660">
        <f>HLOOKUP($D$5,'Tablas Sheele'!$G$17:$N$25,'Tablas Sheele'!E19,)</f>
        <v>2</v>
      </c>
      <c r="F10" s="1496"/>
      <c r="G10" s="708">
        <f>E10+'Tablas Sheele'!D19</f>
        <v>2</v>
      </c>
      <c r="H10" s="1661">
        <f>IF(G10&lt;1,0,VLOOKUP(G10,Tablas!$C$14:$D$33,2))</f>
        <v>-20</v>
      </c>
      <c r="I10" s="657"/>
      <c r="J10" s="741"/>
      <c r="K10" s="741"/>
      <c r="L10" s="4330" t="s">
        <v>3397</v>
      </c>
      <c r="M10" s="4330"/>
      <c r="N10" s="4364">
        <f>IF(N21*2+20*'Tablas Sheele'!F103&gt;200, IF(N21*2&gt;=200,N21*2+10*'Tablas Sheele'!F103,200+1/2*(20*'Tablas Sheele'!F103-(200-N21*2))),N21*2+20*'Tablas Sheele'!F103 )</f>
        <v>60</v>
      </c>
      <c r="O10" s="4364"/>
      <c r="P10" s="4330" t="s">
        <v>3398</v>
      </c>
      <c r="Q10" s="4330"/>
      <c r="R10" s="4349">
        <f>IF('Tablas Sheele'!F176&gt;0,MAX(Sheele!N10,H11),H11)</f>
        <v>10</v>
      </c>
      <c r="S10" s="4349"/>
      <c r="T10" s="741"/>
      <c r="U10" s="4395" t="s">
        <v>1715</v>
      </c>
      <c r="V10" s="4396"/>
      <c r="W10" s="4385" t="s">
        <v>3399</v>
      </c>
      <c r="X10" s="4385"/>
      <c r="Y10" s="4385"/>
      <c r="Z10" s="4386"/>
      <c r="AA10" s="694"/>
      <c r="AB10" s="684"/>
      <c r="AT10" s="702"/>
      <c r="AU10" s="698"/>
      <c r="AV10" s="698"/>
    </row>
    <row r="11" spans="1:53" ht="12" customHeight="1" x14ac:dyDescent="0.2">
      <c r="A11" s="681"/>
      <c r="B11" s="690"/>
      <c r="C11" s="4366"/>
      <c r="D11" s="707" t="s">
        <v>1690</v>
      </c>
      <c r="E11" s="1660">
        <f>HLOOKUP($D$5,'Tablas Sheele'!$G$17:$N$25,'Tablas Sheele'!E20,)</f>
        <v>8</v>
      </c>
      <c r="F11" s="1496"/>
      <c r="G11" s="708">
        <f>E11+'Tablas Sheele'!D20+IF('Tablas Sheele'!F143&gt;0,2,0)</f>
        <v>8</v>
      </c>
      <c r="H11" s="1661">
        <f>IF(G11&lt;1,0,VLOOKUP(G11,Tablas!$C$14:$D$33,2))</f>
        <v>10</v>
      </c>
      <c r="I11" s="741"/>
      <c r="J11" s="741"/>
      <c r="K11" s="741"/>
      <c r="L11" s="4330"/>
      <c r="M11" s="4330"/>
      <c r="N11" s="4364"/>
      <c r="O11" s="4364"/>
      <c r="P11" s="4330"/>
      <c r="Q11" s="4330"/>
      <c r="R11" s="4349"/>
      <c r="S11" s="4349"/>
      <c r="T11" s="741"/>
      <c r="U11" s="4397"/>
      <c r="V11" s="4398"/>
      <c r="W11" s="4387" t="s">
        <v>3400</v>
      </c>
      <c r="X11" s="4388"/>
      <c r="Y11" s="4388" t="s">
        <v>3401</v>
      </c>
      <c r="Z11" s="4389"/>
      <c r="AA11" s="694"/>
      <c r="AB11" s="684"/>
    </row>
    <row r="12" spans="1:53" ht="12" customHeight="1" thickBot="1" x14ac:dyDescent="0.25">
      <c r="A12" s="681"/>
      <c r="B12" s="615"/>
      <c r="C12" s="4366"/>
      <c r="D12" s="707" t="s">
        <v>1695</v>
      </c>
      <c r="E12" s="1660">
        <f>HLOOKUP($D$5,'Tablas Sheele'!$G$17:$N$25,'Tablas Sheele'!E21,)</f>
        <v>2</v>
      </c>
      <c r="F12" s="1496"/>
      <c r="G12" s="708">
        <f>E12+'Tablas Sheele'!D21+IF('Tablas Sheele'!F143&gt;0,2,0)</f>
        <v>2</v>
      </c>
      <c r="H12" s="1661">
        <f>IF(G12&lt;1,0,VLOOKUP(G12,Tablas!$C$14:$D$33,2))</f>
        <v>-20</v>
      </c>
      <c r="I12" s="657"/>
      <c r="J12" s="741"/>
      <c r="K12" s="741"/>
      <c r="L12" s="4330" t="s">
        <v>3402</v>
      </c>
      <c r="M12" s="4330"/>
      <c r="N12" s="4364">
        <f>IF(N21*2+20*'Tablas Sheele'!F103&gt;200, IF(N21*2&gt;=200,N21*2+10*'Tablas Sheele'!F103,200+1/2*(20*'Tablas Sheele'!F103-(200-N21*2))),N21*2+20*'Tablas Sheele'!F103 )+IF('Tablas Sheele'!F187&gt;0,40,0)</f>
        <v>60</v>
      </c>
      <c r="O12" s="4364"/>
      <c r="P12" s="4330" t="s">
        <v>3403</v>
      </c>
      <c r="Q12" s="4330"/>
      <c r="R12" s="4349">
        <f>IF('Tablas Sheele'!F176&gt;0,MAX(Sheele!N12,H9),IF(D5="Aire",MAX(N12,H9),H9))</f>
        <v>60</v>
      </c>
      <c r="S12" s="4349"/>
      <c r="T12" s="741"/>
      <c r="U12" s="4390" t="str">
        <f>IF('Tablas Sheele'!F98&gt;0,U4+'Tablas Sheele'!F101,"-")</f>
        <v>-</v>
      </c>
      <c r="V12" s="4391"/>
      <c r="W12" s="4392" t="str">
        <f>IF('Tablas Sheele'!F98&gt;0,150,"-")</f>
        <v>-</v>
      </c>
      <c r="X12" s="4393"/>
      <c r="Y12" s="4392" t="str">
        <f>IF('Tablas Sheele'!F98&gt;0,IF('Tablas Sheele'!F99,N21-10,N21)&amp;" / asalto","-")</f>
        <v>-</v>
      </c>
      <c r="Z12" s="4394"/>
      <c r="AA12" s="694"/>
      <c r="AB12" s="684"/>
      <c r="AY12" s="698"/>
      <c r="AZ12" s="698"/>
      <c r="BA12" s="698"/>
    </row>
    <row r="13" spans="1:53" ht="12" customHeight="1" x14ac:dyDescent="0.2">
      <c r="A13" s="681"/>
      <c r="B13" s="709"/>
      <c r="C13" s="4366"/>
      <c r="D13" s="707" t="s">
        <v>1698</v>
      </c>
      <c r="E13" s="1660">
        <f>HLOOKUP($D$5,'Tablas Sheele'!$G$17:$N$25,'Tablas Sheele'!E22,)</f>
        <v>8</v>
      </c>
      <c r="F13" s="1496"/>
      <c r="G13" s="708">
        <f>E13+'Tablas Sheele'!D22</f>
        <v>8</v>
      </c>
      <c r="H13" s="1661">
        <f>IF(G13&lt;1,0,VLOOKUP(G13,Tablas!$C$14:$D$33,2))</f>
        <v>10</v>
      </c>
      <c r="I13" s="741"/>
      <c r="J13" s="741"/>
      <c r="K13" s="741"/>
      <c r="L13" s="4330"/>
      <c r="M13" s="4330"/>
      <c r="N13" s="4364"/>
      <c r="O13" s="4364"/>
      <c r="P13" s="4330"/>
      <c r="Q13" s="4330"/>
      <c r="R13" s="4349"/>
      <c r="S13" s="4349"/>
      <c r="T13" s="741"/>
      <c r="U13" s="4343" t="s">
        <v>3404</v>
      </c>
      <c r="V13" s="4344"/>
      <c r="W13" s="4344"/>
      <c r="X13" s="4344"/>
      <c r="Y13" s="4344"/>
      <c r="Z13" s="4345"/>
      <c r="AA13" s="694"/>
      <c r="AB13" s="684"/>
      <c r="AY13" s="698"/>
      <c r="AZ13" s="698"/>
      <c r="BA13" s="698"/>
    </row>
    <row r="14" spans="1:53" ht="12" customHeight="1" x14ac:dyDescent="0.2">
      <c r="A14" s="681"/>
      <c r="B14" s="709"/>
      <c r="C14" s="4366"/>
      <c r="D14" s="707" t="s">
        <v>1701</v>
      </c>
      <c r="E14" s="1660">
        <f>HLOOKUP($D$5,'Tablas Sheele'!$G$17:$N$25,'Tablas Sheele'!E23,)</f>
        <v>6</v>
      </c>
      <c r="F14" s="1496"/>
      <c r="G14" s="708">
        <f>E14+'Tablas Sheele'!D23</f>
        <v>6</v>
      </c>
      <c r="H14" s="1661">
        <f>IF(G14&lt;1,0,VLOOKUP(G14,Tablas!$C$14:$D$33,2))</f>
        <v>5</v>
      </c>
      <c r="I14" s="741"/>
      <c r="J14" s="741"/>
      <c r="K14" s="741"/>
      <c r="L14" s="4330" t="s">
        <v>3405</v>
      </c>
      <c r="M14" s="4346"/>
      <c r="N14" s="4347" t="str">
        <f>IF(D5="Naturaleza","Esencia",D5)</f>
        <v>Aire</v>
      </c>
      <c r="O14" s="4347"/>
      <c r="P14" s="4348" t="s">
        <v>3406</v>
      </c>
      <c r="Q14" s="4330"/>
      <c r="R14" s="4349">
        <f>IF('Tablas Sheele'!F176&gt;0,MAX(Sheele!N12,H11),H11)</f>
        <v>10</v>
      </c>
      <c r="S14" s="4349"/>
      <c r="T14" s="741"/>
      <c r="U14" s="4350" t="str">
        <f>"Gnosis "&amp;IF('Tablas Sheele'!F100&gt;0,30,20)</f>
        <v>Gnosis 20</v>
      </c>
      <c r="V14" s="4351"/>
      <c r="W14" s="4351"/>
      <c r="X14" s="4351"/>
      <c r="Y14" s="4351"/>
      <c r="Z14" s="4352"/>
      <c r="AA14" s="694"/>
      <c r="AB14" s="684"/>
      <c r="AY14" s="698"/>
      <c r="AZ14" s="698"/>
      <c r="BA14" s="698"/>
    </row>
    <row r="15" spans="1:53" ht="12" customHeight="1" x14ac:dyDescent="0.2">
      <c r="A15" s="681"/>
      <c r="B15" s="709"/>
      <c r="C15" s="4366"/>
      <c r="D15" s="707" t="s">
        <v>1703</v>
      </c>
      <c r="E15" s="1660">
        <f>HLOOKUP($D$5,'Tablas Sheele'!$G$17:$N$25,'Tablas Sheele'!E24,)</f>
        <v>8</v>
      </c>
      <c r="F15" s="1496"/>
      <c r="G15" s="708">
        <f>E15+'Tablas Sheele'!D24</f>
        <v>8</v>
      </c>
      <c r="H15" s="1661">
        <f>IF(G15&lt;1,0,VLOOKUP(G15,Tablas!$C$14:$D$33,2))</f>
        <v>10</v>
      </c>
      <c r="I15" s="741"/>
      <c r="J15" s="741"/>
      <c r="K15" s="741"/>
      <c r="L15" s="4330"/>
      <c r="M15" s="4346"/>
      <c r="N15" s="4353">
        <f>IF(20+10*'Tablas Sheele'!F104&lt;=50,20+10*'Tablas Sheele'!F104,50+1/2*(10*'Tablas Sheele'!F104-(50-20)))</f>
        <v>20</v>
      </c>
      <c r="O15" s="4354"/>
      <c r="P15" s="4348"/>
      <c r="Q15" s="4330"/>
      <c r="R15" s="4349"/>
      <c r="S15" s="4349"/>
      <c r="T15" s="741"/>
      <c r="U15" s="4355" t="s">
        <v>3407</v>
      </c>
      <c r="V15" s="4356"/>
      <c r="W15" s="4356"/>
      <c r="X15" s="4356"/>
      <c r="Y15" s="4356"/>
      <c r="Z15" s="4357"/>
      <c r="AA15" s="694"/>
      <c r="AB15" s="684"/>
      <c r="AY15" s="698"/>
      <c r="AZ15" s="698"/>
      <c r="BA15" s="698"/>
    </row>
    <row r="16" spans="1:53" ht="12" customHeight="1" thickBot="1" x14ac:dyDescent="0.25">
      <c r="A16" s="681"/>
      <c r="B16" s="709"/>
      <c r="C16" s="4367"/>
      <c r="D16" s="710" t="s">
        <v>1704</v>
      </c>
      <c r="E16" s="1662">
        <f>HLOOKUP($D$5,'Tablas Sheele'!$G$17:$N$25,'Tablas Sheele'!E25,)</f>
        <v>6</v>
      </c>
      <c r="F16" s="1497"/>
      <c r="G16" s="711">
        <f>E16+'Tablas Sheele'!D25</f>
        <v>6</v>
      </c>
      <c r="H16" s="1663">
        <f>IF(G16&lt;1,0,VLOOKUP(G16,Tablas!$C$14:$D$33,2))</f>
        <v>5</v>
      </c>
      <c r="I16" s="741"/>
      <c r="J16" s="741"/>
      <c r="K16" s="741"/>
      <c r="L16" s="4330" t="s">
        <v>3408</v>
      </c>
      <c r="M16" s="4330"/>
      <c r="N16" s="4362">
        <f>Místicos!L13</f>
        <v>0</v>
      </c>
      <c r="O16" s="4362"/>
      <c r="P16" s="4330" t="s">
        <v>1705</v>
      </c>
      <c r="Q16" s="4330"/>
      <c r="R16" s="4331">
        <f>Turno_SinArmas_final+IF('Tablas Sheele'!F121,50,0)</f>
        <v>45</v>
      </c>
      <c r="S16" s="4331"/>
      <c r="T16" s="741"/>
      <c r="U16" s="4358"/>
      <c r="V16" s="4359"/>
      <c r="W16" s="4359"/>
      <c r="X16" s="4359"/>
      <c r="Y16" s="4359"/>
      <c r="Z16" s="4360"/>
      <c r="AA16" s="694"/>
      <c r="AB16" s="684"/>
      <c r="AY16" s="698"/>
      <c r="AZ16" s="698"/>
      <c r="BA16" s="698"/>
    </row>
    <row r="17" spans="1:53" ht="12" customHeight="1" thickBot="1" x14ac:dyDescent="0.25">
      <c r="A17" s="681"/>
      <c r="B17" s="709"/>
      <c r="C17" s="741"/>
      <c r="D17" s="741"/>
      <c r="E17" s="741"/>
      <c r="F17" s="741"/>
      <c r="G17" s="741"/>
      <c r="H17" s="741"/>
      <c r="I17" s="741"/>
      <c r="J17" s="741"/>
      <c r="K17" s="741"/>
      <c r="L17" s="4361"/>
      <c r="M17" s="4361"/>
      <c r="N17" s="4363"/>
      <c r="O17" s="4364"/>
      <c r="P17" s="4330"/>
      <c r="Q17" s="4330"/>
      <c r="R17" s="4331"/>
      <c r="S17" s="4331"/>
      <c r="T17" s="741"/>
      <c r="U17" s="4332" t="s">
        <v>3409</v>
      </c>
      <c r="V17" s="4333"/>
      <c r="W17" s="4333"/>
      <c r="X17" s="4333"/>
      <c r="Y17" s="4333"/>
      <c r="Z17" s="4334"/>
      <c r="AA17" s="694"/>
      <c r="AB17" s="684"/>
      <c r="AY17" s="698"/>
      <c r="AZ17" s="698"/>
      <c r="BA17" s="698"/>
    </row>
    <row r="18" spans="1:53" ht="12" customHeight="1" x14ac:dyDescent="0.2">
      <c r="A18" s="681"/>
      <c r="B18" s="709"/>
      <c r="C18" s="4335" t="s">
        <v>3410</v>
      </c>
      <c r="D18" s="4336"/>
      <c r="E18" s="4336"/>
      <c r="F18" s="4336"/>
      <c r="G18" s="4336"/>
      <c r="H18" s="4336"/>
      <c r="I18" s="4337"/>
      <c r="J18" s="712">
        <f>IF(F5='Tablas Sheele'!L4,0,$U$4+IF($F$5='Tablas Sheele'!L6,2,0)+COUNTBLANK(C20:C31)+COUNTBLANK(G20:G31)-24+IF(Tablas!G385&gt;0,2,0))</f>
        <v>0</v>
      </c>
      <c r="K18" s="741"/>
      <c r="L18" s="713"/>
      <c r="M18" s="714"/>
      <c r="N18" s="715" t="s">
        <v>3411</v>
      </c>
      <c r="O18" s="716">
        <f>5*'Tablas Sheele'!F105</f>
        <v>0</v>
      </c>
      <c r="P18" s="717"/>
      <c r="Q18" s="717"/>
      <c r="R18" s="718" t="s">
        <v>1737</v>
      </c>
      <c r="S18" s="716">
        <f>VLOOKUP(G11+G9,Tabla_NumAcciones,2)</f>
        <v>3</v>
      </c>
      <c r="T18" s="741"/>
      <c r="U18" s="4295"/>
      <c r="V18" s="4296"/>
      <c r="W18" s="4296"/>
      <c r="X18" s="4296"/>
      <c r="Y18" s="4296"/>
      <c r="Z18" s="4297"/>
      <c r="AA18" s="694"/>
      <c r="AB18" s="684"/>
      <c r="AY18" s="698"/>
      <c r="AZ18" s="698"/>
      <c r="BA18" s="698"/>
    </row>
    <row r="19" spans="1:53" ht="12" customHeight="1" x14ac:dyDescent="0.2">
      <c r="A19" s="681"/>
      <c r="B19" s="709"/>
      <c r="C19" s="4338" t="s">
        <v>3412</v>
      </c>
      <c r="D19" s="4339"/>
      <c r="E19" s="4339"/>
      <c r="F19" s="4339"/>
      <c r="G19" s="4340" t="str">
        <f>"Mejoras de "&amp;D5</f>
        <v>Mejoras de Aire</v>
      </c>
      <c r="H19" s="4341"/>
      <c r="I19" s="4341"/>
      <c r="J19" s="4342"/>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92"/>
      <c r="D20" s="4293"/>
      <c r="E20" s="4293"/>
      <c r="F20" s="4294"/>
      <c r="G20" s="4263"/>
      <c r="H20" s="4263"/>
      <c r="I20" s="4263"/>
      <c r="J20" s="4264"/>
      <c r="K20" s="1458" t="s">
        <v>3413</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92"/>
      <c r="D21" s="4293"/>
      <c r="E21" s="4293"/>
      <c r="F21" s="4294"/>
      <c r="G21" s="4263"/>
      <c r="H21" s="4263"/>
      <c r="I21" s="4263"/>
      <c r="J21" s="4264"/>
      <c r="K21" s="719"/>
      <c r="L21" s="4315" t="s">
        <v>3414</v>
      </c>
      <c r="M21" s="720" t="s">
        <v>1875</v>
      </c>
      <c r="N21" s="721">
        <f>25+5*U4</f>
        <v>30</v>
      </c>
      <c r="O21" s="741"/>
      <c r="P21" s="4318" t="s">
        <v>3415</v>
      </c>
      <c r="Q21" s="4319"/>
      <c r="R21" s="4319"/>
      <c r="S21" s="4320"/>
      <c r="T21" s="741"/>
      <c r="U21" s="4221" t="s">
        <v>1707</v>
      </c>
      <c r="V21" s="4222"/>
      <c r="W21" s="4222"/>
      <c r="X21" s="4222"/>
      <c r="Y21" s="4222"/>
      <c r="Z21" s="4223"/>
      <c r="AA21" s="694"/>
      <c r="AB21" s="684"/>
    </row>
    <row r="22" spans="1:53" ht="12" customHeight="1" x14ac:dyDescent="0.2">
      <c r="A22" s="681"/>
      <c r="B22" s="690"/>
      <c r="C22" s="4292"/>
      <c r="D22" s="4293"/>
      <c r="E22" s="4293"/>
      <c r="F22" s="4294"/>
      <c r="G22" s="4263"/>
      <c r="H22" s="4263"/>
      <c r="I22" s="4263"/>
      <c r="J22" s="4264"/>
      <c r="K22" s="719"/>
      <c r="L22" s="4316"/>
      <c r="M22" s="722" t="s">
        <v>1772</v>
      </c>
      <c r="N22" s="723">
        <f>Principal!J56-Principal!I56+IF('Tablas Sheele'!F$165&gt;0,50,0)</f>
        <v>30</v>
      </c>
      <c r="O22" s="741"/>
      <c r="P22" s="4304" t="s">
        <v>3416</v>
      </c>
      <c r="Q22" s="4305"/>
      <c r="R22" s="4308">
        <f>20+10*ROUNDDOWN(Controlar_final/50,0)+MIN(100,25*'Tablas Sheele'!F108)</f>
        <v>20</v>
      </c>
      <c r="S22" s="4309"/>
      <c r="T22" s="741"/>
      <c r="U22" s="4301"/>
      <c r="V22" s="4302"/>
      <c r="W22" s="4302"/>
      <c r="X22" s="4302"/>
      <c r="Y22" s="4302"/>
      <c r="Z22" s="4303"/>
      <c r="AA22" s="694"/>
      <c r="AB22" s="684"/>
    </row>
    <row r="23" spans="1:53" ht="12" customHeight="1" thickBot="1" x14ac:dyDescent="0.25">
      <c r="A23" s="681"/>
      <c r="B23" s="690"/>
      <c r="C23" s="4292"/>
      <c r="D23" s="4293"/>
      <c r="E23" s="4293"/>
      <c r="F23" s="4294"/>
      <c r="G23" s="4263"/>
      <c r="H23" s="4263"/>
      <c r="I23" s="4263"/>
      <c r="J23" s="4264"/>
      <c r="K23" s="741"/>
      <c r="L23" s="4316"/>
      <c r="M23" s="722" t="s">
        <v>1774</v>
      </c>
      <c r="N23" s="723">
        <f>Principal!J57-Principal!I57+IF('Tablas Sheele'!F$165&gt;0,50,0)</f>
        <v>30</v>
      </c>
      <c r="O23" s="741"/>
      <c r="P23" s="4306"/>
      <c r="Q23" s="4307"/>
      <c r="R23" s="4310"/>
      <c r="S23" s="4311"/>
      <c r="T23" s="741"/>
      <c r="U23" s="4312" t="s">
        <v>8535</v>
      </c>
      <c r="V23" s="4313"/>
      <c r="W23" s="4313"/>
      <c r="X23" s="4314"/>
      <c r="Y23" s="4313"/>
      <c r="Z23" s="724">
        <f>IF(VALUE($U$4)&lt;2,0,5*($U$4-1)-SUM(Y25:Y80))</f>
        <v>0</v>
      </c>
      <c r="AA23" s="694"/>
      <c r="AB23" s="684"/>
    </row>
    <row r="24" spans="1:53" ht="12" customHeight="1" x14ac:dyDescent="0.2">
      <c r="A24" s="681"/>
      <c r="B24" s="690"/>
      <c r="C24" s="4292"/>
      <c r="D24" s="4293"/>
      <c r="E24" s="4293"/>
      <c r="F24" s="4294"/>
      <c r="G24" s="4263"/>
      <c r="H24" s="4263"/>
      <c r="I24" s="4263"/>
      <c r="J24" s="4264"/>
      <c r="K24" s="741"/>
      <c r="L24" s="4316"/>
      <c r="M24" s="722" t="s">
        <v>1776</v>
      </c>
      <c r="N24" s="723">
        <f>Principal!J58-Principal!I58+IF('Tablas Sheele'!F$165&gt;0,50,0)</f>
        <v>30</v>
      </c>
      <c r="O24" s="741"/>
      <c r="P24" s="4321" t="s">
        <v>3417</v>
      </c>
      <c r="Q24" s="4322"/>
      <c r="R24" s="4322"/>
      <c r="S24" s="4323"/>
      <c r="T24" s="741"/>
      <c r="U24" s="725" t="s">
        <v>1711</v>
      </c>
      <c r="V24" s="4228" t="s">
        <v>1687</v>
      </c>
      <c r="W24" s="4291"/>
      <c r="X24" s="1677" t="s">
        <v>1677</v>
      </c>
      <c r="Y24" s="732" t="s">
        <v>3418</v>
      </c>
      <c r="Z24" s="1678" t="s">
        <v>1661</v>
      </c>
      <c r="AA24" s="694" t="s">
        <v>1731</v>
      </c>
      <c r="AB24" s="684"/>
    </row>
    <row r="25" spans="1:53" ht="12" customHeight="1" x14ac:dyDescent="0.2">
      <c r="A25" s="681"/>
      <c r="B25" s="690"/>
      <c r="C25" s="4292"/>
      <c r="D25" s="4293"/>
      <c r="E25" s="4293"/>
      <c r="F25" s="4294"/>
      <c r="G25" s="4263"/>
      <c r="H25" s="4263"/>
      <c r="I25" s="4263"/>
      <c r="J25" s="4264"/>
      <c r="K25" s="741"/>
      <c r="L25" s="4316"/>
      <c r="M25" s="722" t="s">
        <v>1778</v>
      </c>
      <c r="N25" s="723">
        <f>Principal!J59-Principal!I59+IF('Tablas Sheele'!F$165&gt;0,50,0)</f>
        <v>30</v>
      </c>
      <c r="O25" s="741"/>
      <c r="P25" s="4295" t="s">
        <v>3419</v>
      </c>
      <c r="Q25" s="4296"/>
      <c r="R25" s="4296"/>
      <c r="S25" s="4297"/>
      <c r="T25" s="741"/>
      <c r="U25" s="3835" t="s">
        <v>1716</v>
      </c>
      <c r="V25" s="4298" t="s">
        <v>1717</v>
      </c>
      <c r="W25" s="4298"/>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92"/>
      <c r="D26" s="4293"/>
      <c r="E26" s="4293"/>
      <c r="F26" s="4294"/>
      <c r="G26" s="4263"/>
      <c r="H26" s="4263"/>
      <c r="I26" s="4263"/>
      <c r="J26" s="4264"/>
      <c r="K26" s="741"/>
      <c r="L26" s="4317"/>
      <c r="M26" s="726" t="s">
        <v>1780</v>
      </c>
      <c r="N26" s="727">
        <f>Principal!J60-Principal!I60+IF('Tablas Sheele'!F$165&gt;0,50,0)</f>
        <v>30</v>
      </c>
      <c r="O26" s="741"/>
      <c r="P26" s="741"/>
      <c r="Q26" s="741"/>
      <c r="R26" s="741"/>
      <c r="S26" s="657"/>
      <c r="T26" s="741"/>
      <c r="U26" s="3293"/>
      <c r="V26" s="3283" t="s">
        <v>1719</v>
      </c>
      <c r="W26" s="3283"/>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239"/>
      <c r="D27" s="4299"/>
      <c r="E27" s="4299"/>
      <c r="F27" s="4300"/>
      <c r="G27" s="4263"/>
      <c r="H27" s="4263"/>
      <c r="I27" s="4263"/>
      <c r="J27" s="4264"/>
      <c r="K27" s="741"/>
      <c r="L27" s="741"/>
      <c r="M27" s="741"/>
      <c r="N27" s="741"/>
      <c r="O27" s="741"/>
      <c r="P27" s="4324" t="s">
        <v>1681</v>
      </c>
      <c r="Q27" s="4325"/>
      <c r="R27" s="4325"/>
      <c r="S27" s="4326"/>
      <c r="T27" s="741"/>
      <c r="U27" s="3293"/>
      <c r="V27" s="3283" t="s">
        <v>1722</v>
      </c>
      <c r="W27" s="3283"/>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239"/>
      <c r="D28" s="4299"/>
      <c r="E28" s="4299"/>
      <c r="F28" s="4300"/>
      <c r="G28" s="4263"/>
      <c r="H28" s="4263"/>
      <c r="I28" s="4263"/>
      <c r="J28" s="4264"/>
      <c r="K28" s="741"/>
      <c r="L28" s="741"/>
      <c r="M28" s="741"/>
      <c r="N28" s="741"/>
      <c r="O28" s="741"/>
      <c r="P28" s="4327"/>
      <c r="Q28" s="4328"/>
      <c r="R28" s="4328"/>
      <c r="S28" s="4329"/>
      <c r="T28" s="741"/>
      <c r="U28" s="3293"/>
      <c r="V28" s="3283" t="s">
        <v>1726</v>
      </c>
      <c r="W28" s="3283"/>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239"/>
      <c r="D29" s="4240"/>
      <c r="E29" s="4240"/>
      <c r="F29" s="4241"/>
      <c r="G29" s="4262"/>
      <c r="H29" s="4263"/>
      <c r="I29" s="4263"/>
      <c r="J29" s="4264"/>
      <c r="K29" s="741"/>
      <c r="L29" s="741"/>
      <c r="M29" s="741"/>
      <c r="N29" s="741"/>
      <c r="O29" s="741"/>
      <c r="P29" s="4265">
        <f>IF('Tablas Sheele'!F107&gt;0, N21*4, N21*2)+IF('Tablas Sheele'!F149&gt;0,250,0)</f>
        <v>60</v>
      </c>
      <c r="Q29" s="4266"/>
      <c r="R29" s="4271"/>
      <c r="S29" s="4272"/>
      <c r="T29" s="741"/>
      <c r="U29" s="3293"/>
      <c r="V29" s="3283" t="s">
        <v>1729</v>
      </c>
      <c r="W29" s="3283"/>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239"/>
      <c r="D30" s="4240"/>
      <c r="E30" s="4240"/>
      <c r="F30" s="4241"/>
      <c r="G30" s="4262"/>
      <c r="H30" s="4263"/>
      <c r="I30" s="4263"/>
      <c r="J30" s="4264"/>
      <c r="K30" s="741"/>
      <c r="L30" s="4277" t="s">
        <v>1699</v>
      </c>
      <c r="M30" s="4278"/>
      <c r="N30" s="4279"/>
      <c r="O30" s="741"/>
      <c r="P30" s="4267"/>
      <c r="Q30" s="4268"/>
      <c r="R30" s="4273"/>
      <c r="S30" s="4274"/>
      <c r="T30" s="741"/>
      <c r="U30" s="3293"/>
      <c r="V30" s="3283" t="s">
        <v>1732</v>
      </c>
      <c r="W30" s="3283"/>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239"/>
      <c r="D31" s="4240"/>
      <c r="E31" s="4240"/>
      <c r="F31" s="4241"/>
      <c r="G31" s="1657"/>
      <c r="H31" s="1657"/>
      <c r="I31" s="1657"/>
      <c r="J31" s="1658"/>
      <c r="K31" s="741"/>
      <c r="L31" s="4258">
        <f>G9</f>
        <v>8</v>
      </c>
      <c r="M31" s="4260" t="s">
        <v>1902</v>
      </c>
      <c r="N31" s="4261"/>
      <c r="O31" s="741"/>
      <c r="P31" s="4267"/>
      <c r="Q31" s="4268"/>
      <c r="R31" s="4273"/>
      <c r="S31" s="4274"/>
      <c r="T31" s="741"/>
      <c r="U31" s="3368"/>
      <c r="V31" s="4198" t="s">
        <v>8229</v>
      </c>
      <c r="W31" s="4199"/>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289" t="s">
        <v>3420</v>
      </c>
      <c r="D32" s="4290"/>
      <c r="E32" s="4290"/>
      <c r="F32" s="4290"/>
      <c r="G32" s="4290"/>
      <c r="H32" s="4290"/>
      <c r="I32" s="4290"/>
      <c r="J32" s="728">
        <f>COUNTBLANK(E33:E36)+COUNTBLANK(G33:G36)+COUNTBLANK(I33:I36)+COUNTBLANK(C33:C36)-16+'Tablas Sheele'!F109</f>
        <v>0</v>
      </c>
      <c r="K32" s="741"/>
      <c r="L32" s="4258"/>
      <c r="M32" s="4260" t="str">
        <f>IF(L31&lt;1,"",VLOOKUP(L31,Tablas!$I$37:$J$57,2,FALSE))</f>
        <v>28 m / asalto</v>
      </c>
      <c r="N32" s="4261"/>
      <c r="O32" s="741"/>
      <c r="P32" s="4269"/>
      <c r="Q32" s="4270"/>
      <c r="R32" s="4275"/>
      <c r="S32" s="4276"/>
      <c r="T32" s="741"/>
      <c r="U32" s="3293" t="s">
        <v>1735</v>
      </c>
      <c r="V32" s="3283" t="s">
        <v>1736</v>
      </c>
      <c r="W32" s="3283"/>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235"/>
      <c r="D33" s="4236"/>
      <c r="E33" s="4237"/>
      <c r="F33" s="4236"/>
      <c r="G33" s="4237"/>
      <c r="H33" s="4236"/>
      <c r="I33" s="4237"/>
      <c r="J33" s="4238"/>
      <c r="K33" s="741"/>
      <c r="L33" s="4280">
        <f>IF('Tablas Sheele'!F117&gt;0,14,VLOOKUP(D40,'Tablas Sheele'!C204:M243,10,FALSE))</f>
        <v>10</v>
      </c>
      <c r="M33" s="4282" t="s">
        <v>1955</v>
      </c>
      <c r="N33" s="4283"/>
      <c r="O33" s="741"/>
      <c r="P33" s="741"/>
      <c r="Q33" s="741"/>
      <c r="R33" s="741"/>
      <c r="S33" s="657"/>
      <c r="T33" s="741"/>
      <c r="U33" s="3293"/>
      <c r="V33" s="3283" t="s">
        <v>1738</v>
      </c>
      <c r="W33" s="3283"/>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239"/>
      <c r="D34" s="4241"/>
      <c r="E34" s="4256"/>
      <c r="F34" s="4241"/>
      <c r="G34" s="4256"/>
      <c r="H34" s="4241"/>
      <c r="I34" s="4256"/>
      <c r="J34" s="4257"/>
      <c r="K34" s="741"/>
      <c r="L34" s="4281"/>
      <c r="M34" s="4284" t="str">
        <f>IF(L33&lt;1,"",VLOOKUP(L33,Tablas!$I$37:$J$57,2,FALSE))</f>
        <v>35 m / asalto</v>
      </c>
      <c r="N34" s="4285"/>
      <c r="O34" s="741"/>
      <c r="P34" s="4286" t="s">
        <v>1680</v>
      </c>
      <c r="Q34" s="4287"/>
      <c r="R34" s="4287"/>
      <c r="S34" s="4288"/>
      <c r="T34" s="741"/>
      <c r="U34" s="3293"/>
      <c r="V34" s="3283" t="s">
        <v>1741</v>
      </c>
      <c r="W34" s="3283"/>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239"/>
      <c r="D35" s="4241"/>
      <c r="E35" s="4256"/>
      <c r="F35" s="4241"/>
      <c r="G35" s="4256"/>
      <c r="H35" s="4241"/>
      <c r="I35" s="4256"/>
      <c r="J35" s="4257"/>
      <c r="K35" s="741"/>
      <c r="L35" s="4258" t="str">
        <f>IF('Tablas Sheele'!F128&gt;0,15,IF(D5='Tablas Sheele'!C6,10,IF('Tablas Sheele'!F153&gt;0,L31,"-")))</f>
        <v>-</v>
      </c>
      <c r="M35" s="4260" t="str">
        <f>IF(D5='Tablas Sheele'!C6,"Acuático",IF('Tablas Sheele'!F153&gt;0,"Subterráneo","Otros"))</f>
        <v>Otros</v>
      </c>
      <c r="N35" s="4261"/>
      <c r="O35" s="741"/>
      <c r="P35" s="4242">
        <f>VLOOKUP(G10,Tablas!C37:G65,2)</f>
        <v>0</v>
      </c>
      <c r="Q35" s="4244" t="str">
        <f>IF(D5='Tablas Sheele'!C11,"5 PV / asalto",IF('Tablas Sheele'!F132&gt;0,"10 PV / asalto",VLOOKUP(P35,Tablas!D38:G65,2)))</f>
        <v>Ninguna</v>
      </c>
      <c r="R35" s="4245"/>
      <c r="S35" s="4246"/>
      <c r="T35" s="741"/>
      <c r="U35" s="3293"/>
      <c r="V35" s="3283" t="s">
        <v>1743</v>
      </c>
      <c r="W35" s="3283"/>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247"/>
      <c r="D36" s="4248"/>
      <c r="E36" s="4249"/>
      <c r="F36" s="4248"/>
      <c r="G36" s="4249"/>
      <c r="H36" s="4248"/>
      <c r="I36" s="4249"/>
      <c r="J36" s="4250"/>
      <c r="K36" s="741"/>
      <c r="L36" s="4259"/>
      <c r="M36" s="4251" t="str">
        <f>IF(L35="-","-",VLOOKUP(L35,Tablas!$I$37:$J$57,2,FALSE))</f>
        <v>-</v>
      </c>
      <c r="N36" s="4252"/>
      <c r="O36" s="741"/>
      <c r="P36" s="4243"/>
      <c r="Q36" s="4253" t="str">
        <f>VLOOKUP(P35,Tablas!D38:G65,4)</f>
        <v>Ninguna</v>
      </c>
      <c r="R36" s="4254"/>
      <c r="S36" s="4255"/>
      <c r="T36" s="741"/>
      <c r="U36" s="3293"/>
      <c r="V36" s="3283" t="s">
        <v>1088</v>
      </c>
      <c r="W36" s="3283"/>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293"/>
      <c r="V37" s="3283" t="s">
        <v>1089</v>
      </c>
      <c r="W37" s="3283"/>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21" t="s">
        <v>3422</v>
      </c>
      <c r="D38" s="4222"/>
      <c r="E38" s="4222"/>
      <c r="F38" s="4222"/>
      <c r="G38" s="4222"/>
      <c r="H38" s="4222"/>
      <c r="I38" s="4222"/>
      <c r="J38" s="4222"/>
      <c r="K38" s="4222"/>
      <c r="L38" s="4222"/>
      <c r="M38" s="4222"/>
      <c r="N38" s="4222"/>
      <c r="O38" s="4222"/>
      <c r="P38" s="4222"/>
      <c r="Q38" s="4222"/>
      <c r="R38" s="4222"/>
      <c r="S38" s="4223"/>
      <c r="T38" s="741"/>
      <c r="U38" s="3293"/>
      <c r="V38" s="4198" t="s">
        <v>1090</v>
      </c>
      <c r="W38" s="4199"/>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216" t="s">
        <v>3423</v>
      </c>
      <c r="D39" s="4227"/>
      <c r="E39" s="732" t="s">
        <v>3234</v>
      </c>
      <c r="F39" s="1659" t="s">
        <v>3424</v>
      </c>
      <c r="G39" s="732" t="s">
        <v>1891</v>
      </c>
      <c r="H39" s="4228" t="s">
        <v>1866</v>
      </c>
      <c r="I39" s="4229"/>
      <c r="J39" s="4229"/>
      <c r="K39" s="4229"/>
      <c r="L39" s="4229"/>
      <c r="M39" s="4229"/>
      <c r="N39" s="4229"/>
      <c r="O39" s="4229"/>
      <c r="P39" s="4229"/>
      <c r="Q39" s="4229"/>
      <c r="R39" s="4229"/>
      <c r="S39" s="4230"/>
      <c r="T39" s="741"/>
      <c r="U39" s="3835" t="s">
        <v>1744</v>
      </c>
      <c r="V39" s="3283" t="s">
        <v>1745</v>
      </c>
      <c r="W39" s="3283"/>
      <c r="X39" s="1643">
        <f>IF(HLOOKUP(Sheele!$D$5,'Tablas Sheele'!$C$29:$K$86,'Tablas Sheele'!B44,FALSE)=0,"",HLOOKUP(Sheele!$D$5,'Tablas Sheele'!$C$29:$K$86,'Tablas Sheele'!B44,FALSE))</f>
        <v>30</v>
      </c>
      <c r="Y39" s="1498"/>
      <c r="Z39" s="1455">
        <f>IF(X39="",-30,X39+IF('Tablas Sheele'!F$119&gt;0,40+20*('Tablas Sheele'!F$119-1),0))+10*Y39</f>
        <v>30</v>
      </c>
      <c r="AA39" s="694" t="s">
        <v>3421</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231" t="str">
        <f>IF(D40=" ","",VLOOKUP(D40,'Tablas Sheele'!$C$204:$J$243,3,FALSE))</f>
        <v>Puede volar con Tipo de Movimiento 10</v>
      </c>
      <c r="I40" s="4232"/>
      <c r="J40" s="4232"/>
      <c r="K40" s="4232"/>
      <c r="L40" s="4232"/>
      <c r="M40" s="4232"/>
      <c r="N40" s="4232"/>
      <c r="O40" s="4232"/>
      <c r="P40" s="4232"/>
      <c r="Q40" s="4232"/>
      <c r="R40" s="4232"/>
      <c r="S40" s="4233"/>
      <c r="T40" s="741"/>
      <c r="U40" s="3293"/>
      <c r="V40" s="3283" t="s">
        <v>1746</v>
      </c>
      <c r="W40" s="3283"/>
      <c r="X40" s="1643">
        <f>IF(HLOOKUP(Sheele!$D$5,'Tablas Sheele'!$C$29:$K$86,'Tablas Sheele'!B45,FALSE)=0,"",HLOOKUP(Sheele!$D$5,'Tablas Sheele'!$C$29:$K$86,'Tablas Sheele'!B45,FALSE))</f>
        <v>10</v>
      </c>
      <c r="Y40" s="1498"/>
      <c r="Z40" s="1455">
        <f>IF(X40="",-30,X40+IF('Tablas Sheele'!F$119&gt;0,40+20*('Tablas Sheele'!F$119-1),0))+10*Y40+IF('Tablas Sheele'!F161&gt;0,100,0)</f>
        <v>10</v>
      </c>
      <c r="AA40" s="694" t="s">
        <v>3421</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204" t="str">
        <f>IF(D41=" ","",VLOOKUP(D41,'Tablas Sheele'!$C$204:$J$243,3,FALSE))</f>
        <v>Usa su Proyección Mágica como Esquiva.</v>
      </c>
      <c r="I41" s="4205"/>
      <c r="J41" s="4205"/>
      <c r="K41" s="4205"/>
      <c r="L41" s="4205"/>
      <c r="M41" s="4205"/>
      <c r="N41" s="4205"/>
      <c r="O41" s="4205"/>
      <c r="P41" s="4205"/>
      <c r="Q41" s="4205"/>
      <c r="R41" s="4205"/>
      <c r="S41" s="4206"/>
      <c r="T41" s="741"/>
      <c r="U41" s="3368"/>
      <c r="V41" s="4198" t="s">
        <v>1747</v>
      </c>
      <c r="W41" s="4199"/>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204" t="str">
        <f>IF(D42=" ","",VLOOKUP(D42,'Tablas Sheele'!$C$204:$J$243,3,FALSE))</f>
        <v/>
      </c>
      <c r="I42" s="4205"/>
      <c r="J42" s="4205"/>
      <c r="K42" s="4205"/>
      <c r="L42" s="4205"/>
      <c r="M42" s="4205"/>
      <c r="N42" s="4205"/>
      <c r="O42" s="4205"/>
      <c r="P42" s="4205"/>
      <c r="Q42" s="4205"/>
      <c r="R42" s="4205"/>
      <c r="S42" s="4206"/>
      <c r="T42" s="741"/>
      <c r="U42" s="3293" t="s">
        <v>1748</v>
      </c>
      <c r="V42" s="3283" t="s">
        <v>1749</v>
      </c>
      <c r="W42" s="3283"/>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224" t="str">
        <f>IF(D43=" ","",VLOOKUP(D43,'Tablas Sheele'!$C$204:$J$243,3,FALSE))</f>
        <v/>
      </c>
      <c r="I43" s="4225"/>
      <c r="J43" s="4225"/>
      <c r="K43" s="4225"/>
      <c r="L43" s="4225"/>
      <c r="M43" s="4225"/>
      <c r="N43" s="4225"/>
      <c r="O43" s="4225"/>
      <c r="P43" s="4225"/>
      <c r="Q43" s="4225"/>
      <c r="R43" s="4225"/>
      <c r="S43" s="4226"/>
      <c r="T43" s="741"/>
      <c r="U43" s="3293"/>
      <c r="V43" s="3283" t="str">
        <f>IF($D$5='Tablas Sheele'!$C$8,"Ciencia (geología)","Ciencia")</f>
        <v>Ciencia</v>
      </c>
      <c r="W43" s="3283"/>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8180</v>
      </c>
      <c r="AB43" s="684"/>
    </row>
    <row r="44" spans="1:28" ht="12" customHeight="1" x14ac:dyDescent="0.2">
      <c r="A44" s="681"/>
      <c r="B44" s="690"/>
      <c r="C44" s="4213" t="str">
        <f>IF(COUNTA($C$43:C43)&lt;'Tablas Sheele'!$H$199,VLOOKUP('Tablas Sheele'!A1,'Tablas Sheele'!$B$111:$R$198,2,FALSE),"")</f>
        <v/>
      </c>
      <c r="D44" s="4214"/>
      <c r="E44" s="1664" t="str">
        <f>IF($C44="","",VLOOKUP('Tablas Sheele'!$A1,'Tablas Sheele'!$B$111:$R198,8,FALSE))</f>
        <v/>
      </c>
      <c r="F44" s="1664" t="str">
        <f>IF($C44="","",VLOOKUP('Tablas Sheele'!$A1,'Tablas Sheele'!$B$111:$R198,9,FALSE))</f>
        <v/>
      </c>
      <c r="G44" s="734" t="str">
        <f>IF($C44="","",VLOOKUP('Tablas Sheele'!$A1,'Tablas Sheele'!$B$111:$R198,10,FALSE))</f>
        <v/>
      </c>
      <c r="H44" s="4234" t="str">
        <f>IF($C44="","",VLOOKUP('Tablas Sheele'!$A1,'Tablas Sheele'!$B$111:$R198,11,FALSE))</f>
        <v/>
      </c>
      <c r="I44" s="4209"/>
      <c r="J44" s="4209"/>
      <c r="K44" s="4209"/>
      <c r="L44" s="4209"/>
      <c r="M44" s="4209"/>
      <c r="N44" s="4209"/>
      <c r="O44" s="4209"/>
      <c r="P44" s="4209"/>
      <c r="Q44" s="4209"/>
      <c r="R44" s="4209"/>
      <c r="S44" s="4210"/>
      <c r="T44" s="741"/>
      <c r="U44" s="3293"/>
      <c r="V44" s="3283" t="s">
        <v>3126</v>
      </c>
      <c r="W44" s="3283"/>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213" t="str">
        <f>IF(COUNTA($C$43:C44)&lt;'Tablas Sheele'!$H$199,VLOOKUP('Tablas Sheele'!A2,'Tablas Sheele'!$B$111:$R$198,2,FALSE),"")</f>
        <v/>
      </c>
      <c r="D45" s="4214"/>
      <c r="E45" s="1440" t="str">
        <f>IF($C45="","",VLOOKUP('Tablas Sheele'!$A2,'Tablas Sheele'!$B$111:$R199,8,FALSE))</f>
        <v/>
      </c>
      <c r="F45" s="1440" t="str">
        <f>IF($C45="","",VLOOKUP('Tablas Sheele'!$A2,'Tablas Sheele'!$B$111:$R199,9,FALSE))</f>
        <v/>
      </c>
      <c r="G45" s="736" t="str">
        <f>IF($C45="","",VLOOKUP('Tablas Sheele'!$A2,'Tablas Sheele'!$B$111:$R199,10,FALSE))</f>
        <v/>
      </c>
      <c r="H45" s="4215" t="str">
        <f>IF($C45="","",VLOOKUP('Tablas Sheele'!$A2,'Tablas Sheele'!$B$111:$R199,11,FALSE))</f>
        <v/>
      </c>
      <c r="I45" s="4196"/>
      <c r="J45" s="4196"/>
      <c r="K45" s="4196"/>
      <c r="L45" s="4196"/>
      <c r="M45" s="4196"/>
      <c r="N45" s="4196"/>
      <c r="O45" s="4196"/>
      <c r="P45" s="4196"/>
      <c r="Q45" s="4196"/>
      <c r="R45" s="4196"/>
      <c r="S45" s="4197"/>
      <c r="T45" s="741"/>
      <c r="U45" s="3293"/>
      <c r="V45" s="3283" t="s">
        <v>1751</v>
      </c>
      <c r="W45" s="3283"/>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213" t="str">
        <f>IF(COUNTA($C$43:C45)&lt;'Tablas Sheele'!$H$199,VLOOKUP('Tablas Sheele'!A3,'Tablas Sheele'!$B$111:$R$198,2,FALSE),"")</f>
        <v/>
      </c>
      <c r="D46" s="4214"/>
      <c r="E46" s="1440" t="str">
        <f>IF($C46="","",VLOOKUP('Tablas Sheele'!$A3,'Tablas Sheele'!$B$111:$R200,8,FALSE))</f>
        <v/>
      </c>
      <c r="F46" s="1440" t="str">
        <f>IF($C46="","",VLOOKUP('Tablas Sheele'!$A3,'Tablas Sheele'!$B$111:$R200,9,FALSE))</f>
        <v/>
      </c>
      <c r="G46" s="736" t="str">
        <f>IF($C46="","",VLOOKUP('Tablas Sheele'!$A3,'Tablas Sheele'!$B$111:$R200,10,FALSE))</f>
        <v/>
      </c>
      <c r="H46" s="4215" t="str">
        <f>IF($C46="","",VLOOKUP('Tablas Sheele'!$A3,'Tablas Sheele'!$B$111:$R200,11,FALSE))</f>
        <v/>
      </c>
      <c r="I46" s="4196"/>
      <c r="J46" s="4196"/>
      <c r="K46" s="4196"/>
      <c r="L46" s="4196"/>
      <c r="M46" s="4196"/>
      <c r="N46" s="4196"/>
      <c r="O46" s="4196"/>
      <c r="P46" s="4196"/>
      <c r="Q46" s="4196"/>
      <c r="R46" s="4196"/>
      <c r="S46" s="4197"/>
      <c r="T46" s="741"/>
      <c r="U46" s="3293"/>
      <c r="V46" s="3283" t="s">
        <v>1753</v>
      </c>
      <c r="W46" s="3283"/>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8180</v>
      </c>
      <c r="AB46" s="684"/>
    </row>
    <row r="47" spans="1:28" ht="12" customHeight="1" x14ac:dyDescent="0.2">
      <c r="A47" s="681"/>
      <c r="B47" s="690"/>
      <c r="C47" s="4213" t="str">
        <f>IF(COUNTA($C$43:C46)&lt;'Tablas Sheele'!$H$199,VLOOKUP('Tablas Sheele'!A4,'Tablas Sheele'!$B$111:$R$198,2,FALSE),"")</f>
        <v/>
      </c>
      <c r="D47" s="4214"/>
      <c r="E47" s="1440" t="str">
        <f>IF($C47="","",VLOOKUP('Tablas Sheele'!$A4,'Tablas Sheele'!$B$111:$R201,8,FALSE))</f>
        <v/>
      </c>
      <c r="F47" s="1440" t="str">
        <f>IF($C47="","",VLOOKUP('Tablas Sheele'!$A4,'Tablas Sheele'!$B$111:$R201,9,FALSE))</f>
        <v/>
      </c>
      <c r="G47" s="736" t="str">
        <f>IF($C47="","",VLOOKUP('Tablas Sheele'!$A4,'Tablas Sheele'!$B$111:$R201,10,FALSE))</f>
        <v/>
      </c>
      <c r="H47" s="4215" t="str">
        <f>IF($C47="","",VLOOKUP('Tablas Sheele'!$A4,'Tablas Sheele'!$B$111:$R201,11,FALSE))</f>
        <v/>
      </c>
      <c r="I47" s="4196"/>
      <c r="J47" s="4196"/>
      <c r="K47" s="4196"/>
      <c r="L47" s="4196"/>
      <c r="M47" s="4196"/>
      <c r="N47" s="4196"/>
      <c r="O47" s="4196"/>
      <c r="P47" s="4196"/>
      <c r="Q47" s="4196"/>
      <c r="R47" s="4196"/>
      <c r="S47" s="4197"/>
      <c r="T47" s="741"/>
      <c r="U47" s="3293"/>
      <c r="V47" s="3283" t="s">
        <v>1091</v>
      </c>
      <c r="W47" s="3283"/>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213" t="str">
        <f>IF(COUNTA($C$43:C47)&lt;'Tablas Sheele'!$H$199,VLOOKUP('Tablas Sheele'!A5,'Tablas Sheele'!$B$111:$R$198,2,FALSE),"")</f>
        <v/>
      </c>
      <c r="D48" s="4214"/>
      <c r="E48" s="1440" t="str">
        <f>IF($C48="","",VLOOKUP('Tablas Sheele'!$A5,'Tablas Sheele'!$B$111:$R202,8,FALSE))</f>
        <v/>
      </c>
      <c r="F48" s="1440" t="str">
        <f>IF($C48="","",VLOOKUP('Tablas Sheele'!$A5,'Tablas Sheele'!$B$111:$R202,9,FALSE))</f>
        <v/>
      </c>
      <c r="G48" s="736" t="str">
        <f>IF($C48="","",VLOOKUP('Tablas Sheele'!$A5,'Tablas Sheele'!$B$111:$R202,10,FALSE))</f>
        <v/>
      </c>
      <c r="H48" s="4215" t="str">
        <f>IF($C48="","",VLOOKUP('Tablas Sheele'!$A5,'Tablas Sheele'!$B$111:$R202,11,FALSE))</f>
        <v/>
      </c>
      <c r="I48" s="4196"/>
      <c r="J48" s="4196"/>
      <c r="K48" s="4196"/>
      <c r="L48" s="4196"/>
      <c r="M48" s="4196"/>
      <c r="N48" s="4196"/>
      <c r="O48" s="4196"/>
      <c r="P48" s="4196"/>
      <c r="Q48" s="4196"/>
      <c r="R48" s="4196"/>
      <c r="S48" s="4197"/>
      <c r="T48" s="741"/>
      <c r="U48" s="3293"/>
      <c r="V48" s="3283" t="s">
        <v>1756</v>
      </c>
      <c r="W48" s="3283"/>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8180</v>
      </c>
      <c r="AB48" s="684"/>
    </row>
    <row r="49" spans="1:28" ht="12" customHeight="1" x14ac:dyDescent="0.2">
      <c r="A49" s="681"/>
      <c r="B49" s="690"/>
      <c r="C49" s="4213" t="str">
        <f>IF(COUNTA($C$43:C48)&lt;'Tablas Sheele'!$H$199,VLOOKUP('Tablas Sheele'!A6,'Tablas Sheele'!$B$111:$R$198,2,FALSE),"")</f>
        <v/>
      </c>
      <c r="D49" s="4214"/>
      <c r="E49" s="1440" t="str">
        <f>IF($C49="","",VLOOKUP('Tablas Sheele'!$A6,'Tablas Sheele'!$B$111:$R203,8,FALSE))</f>
        <v/>
      </c>
      <c r="F49" s="1440" t="str">
        <f>IF($C49="","",VLOOKUP('Tablas Sheele'!$A6,'Tablas Sheele'!$B$111:$R203,9,FALSE))</f>
        <v/>
      </c>
      <c r="G49" s="736" t="str">
        <f>IF($C49="","",VLOOKUP('Tablas Sheele'!$A6,'Tablas Sheele'!$B$111:$R203,10,FALSE))</f>
        <v/>
      </c>
      <c r="H49" s="4215" t="str">
        <f>IF($C49="","",VLOOKUP('Tablas Sheele'!$A6,'Tablas Sheele'!$B$111:$R203,11,FALSE))</f>
        <v/>
      </c>
      <c r="I49" s="4196"/>
      <c r="J49" s="4196"/>
      <c r="K49" s="4196"/>
      <c r="L49" s="4196"/>
      <c r="M49" s="4196"/>
      <c r="N49" s="4196"/>
      <c r="O49" s="4196"/>
      <c r="P49" s="4196"/>
      <c r="Q49" s="4196"/>
      <c r="R49" s="4196"/>
      <c r="S49" s="4197"/>
      <c r="T49" s="741"/>
      <c r="U49" s="3293"/>
      <c r="V49" s="3283" t="s">
        <v>1757</v>
      </c>
      <c r="W49" s="3283"/>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213" t="str">
        <f>IF(COUNTA($C$43:C49)&lt;'Tablas Sheele'!$H$199,VLOOKUP('Tablas Sheele'!A7,'Tablas Sheele'!$B$111:$R$198,2,FALSE),"")</f>
        <v/>
      </c>
      <c r="D50" s="4214"/>
      <c r="E50" s="1440" t="str">
        <f>IF($C50="","",VLOOKUP('Tablas Sheele'!$A7,'Tablas Sheele'!$B$111:$R204,8,FALSE))</f>
        <v/>
      </c>
      <c r="F50" s="1440" t="str">
        <f>IF($C50="","",VLOOKUP('Tablas Sheele'!$A7,'Tablas Sheele'!$B$111:$R204,9,FALSE))</f>
        <v/>
      </c>
      <c r="G50" s="736" t="str">
        <f>IF($C50="","",VLOOKUP('Tablas Sheele'!$A7,'Tablas Sheele'!$B$111:$R204,10,FALSE))</f>
        <v/>
      </c>
      <c r="H50" s="4215" t="str">
        <f>IF($C50="","",VLOOKUP('Tablas Sheele'!$A7,'Tablas Sheele'!$B$111:$R204,11,FALSE))</f>
        <v/>
      </c>
      <c r="I50" s="4196"/>
      <c r="J50" s="4196"/>
      <c r="K50" s="4196"/>
      <c r="L50" s="4196"/>
      <c r="M50" s="4196"/>
      <c r="N50" s="4196"/>
      <c r="O50" s="4196"/>
      <c r="P50" s="4196"/>
      <c r="Q50" s="4196"/>
      <c r="R50" s="4196"/>
      <c r="S50" s="4197"/>
      <c r="T50" s="741"/>
      <c r="U50" s="3293"/>
      <c r="V50" s="3283" t="s">
        <v>1758</v>
      </c>
      <c r="W50" s="3283"/>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213" t="str">
        <f>IF(COUNTA($C$43:C50)&lt;'Tablas Sheele'!$H$199,VLOOKUP('Tablas Sheele'!A8,'Tablas Sheele'!$B$111:$R$198,2,FALSE),"")</f>
        <v/>
      </c>
      <c r="D51" s="4214"/>
      <c r="E51" s="1440" t="str">
        <f>IF($C51="","",VLOOKUP('Tablas Sheele'!$A8,'Tablas Sheele'!$B$111:$R205,8,FALSE))</f>
        <v/>
      </c>
      <c r="F51" s="1440" t="str">
        <f>IF($C51="","",VLOOKUP('Tablas Sheele'!$A8,'Tablas Sheele'!$B$111:$R205,9,FALSE))</f>
        <v/>
      </c>
      <c r="G51" s="736" t="str">
        <f>IF($C51="","",VLOOKUP('Tablas Sheele'!$A8,'Tablas Sheele'!$B$111:$R205,10,FALSE))</f>
        <v/>
      </c>
      <c r="H51" s="4215" t="str">
        <f>IF($C51="","",VLOOKUP('Tablas Sheele'!$A8,'Tablas Sheele'!$B$111:$R205,11,FALSE))</f>
        <v/>
      </c>
      <c r="I51" s="4196"/>
      <c r="J51" s="4196"/>
      <c r="K51" s="4196"/>
      <c r="L51" s="4196"/>
      <c r="M51" s="4196"/>
      <c r="N51" s="4196"/>
      <c r="O51" s="4196"/>
      <c r="P51" s="4196"/>
      <c r="Q51" s="4196"/>
      <c r="R51" s="4196"/>
      <c r="S51" s="4197"/>
      <c r="T51" s="741"/>
      <c r="U51" s="3293"/>
      <c r="V51" s="3283" t="s">
        <v>1759</v>
      </c>
      <c r="W51" s="3283"/>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216" t="s">
        <v>3195</v>
      </c>
      <c r="D52" s="4217"/>
      <c r="E52" s="4218" t="s">
        <v>1866</v>
      </c>
      <c r="F52" s="4219"/>
      <c r="G52" s="4219"/>
      <c r="H52" s="4219"/>
      <c r="I52" s="4219"/>
      <c r="J52" s="4219"/>
      <c r="K52" s="4219"/>
      <c r="L52" s="4219"/>
      <c r="M52" s="4219"/>
      <c r="N52" s="4219"/>
      <c r="O52" s="4219"/>
      <c r="P52" s="4219"/>
      <c r="Q52" s="4219"/>
      <c r="R52" s="4219"/>
      <c r="S52" s="4220"/>
      <c r="T52" s="741"/>
      <c r="U52" s="3293"/>
      <c r="V52" s="3283" t="s">
        <v>1760</v>
      </c>
      <c r="W52" s="3283"/>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8180</v>
      </c>
      <c r="AB52" s="684"/>
    </row>
    <row r="53" spans="1:28" ht="12" customHeight="1" x14ac:dyDescent="0.2">
      <c r="A53" s="681"/>
      <c r="B53" s="690"/>
      <c r="C53" s="4207" t="str">
        <f>IF(COUNTA($C$52:C52)&lt;'Tablas Sheele'!$H$110+1,VLOOKUP('Tablas Sheele'!A1,'Tablas Sheele'!$B$91:$C$109,2,FALSE),"")</f>
        <v/>
      </c>
      <c r="D53" s="4208"/>
      <c r="E53" s="4209" t="str">
        <f>IF($C53="","",VLOOKUP(C53,'Tablas Sheele'!C92:Q109,10,FALSE))</f>
        <v/>
      </c>
      <c r="F53" s="4209"/>
      <c r="G53" s="4209"/>
      <c r="H53" s="4209"/>
      <c r="I53" s="4209"/>
      <c r="J53" s="4209"/>
      <c r="K53" s="4209"/>
      <c r="L53" s="4209"/>
      <c r="M53" s="4209"/>
      <c r="N53" s="4209"/>
      <c r="O53" s="4209"/>
      <c r="P53" s="4209"/>
      <c r="Q53" s="4209"/>
      <c r="R53" s="4209"/>
      <c r="S53" s="4210"/>
      <c r="T53" s="741"/>
      <c r="U53" s="3293"/>
      <c r="V53" s="4198" t="s">
        <v>1761</v>
      </c>
      <c r="W53" s="4199"/>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8180</v>
      </c>
      <c r="AB53" s="684"/>
    </row>
    <row r="54" spans="1:28" ht="12" customHeight="1" x14ac:dyDescent="0.2">
      <c r="A54" s="681"/>
      <c r="B54" s="690"/>
      <c r="C54" s="4194" t="str">
        <f>IF(COUNTA($C$52:C53)&lt;'Tablas Sheele'!$H$110+1,VLOOKUP('Tablas Sheele'!A2,'Tablas Sheele'!$B$91:$C$109,2,FALSE),"")</f>
        <v/>
      </c>
      <c r="D54" s="4195"/>
      <c r="E54" s="4196" t="str">
        <f>IF($C54="","",VLOOKUP(C54,'Tablas Sheele'!C93:Q110,10,FALSE))</f>
        <v/>
      </c>
      <c r="F54" s="4196"/>
      <c r="G54" s="4196"/>
      <c r="H54" s="4196"/>
      <c r="I54" s="4196"/>
      <c r="J54" s="4196"/>
      <c r="K54" s="4196"/>
      <c r="L54" s="4196"/>
      <c r="M54" s="4196"/>
      <c r="N54" s="4196"/>
      <c r="O54" s="4196"/>
      <c r="P54" s="4196"/>
      <c r="Q54" s="4196"/>
      <c r="R54" s="4196"/>
      <c r="S54" s="4197"/>
      <c r="T54" s="741"/>
      <c r="U54" s="3835" t="s">
        <v>1762</v>
      </c>
      <c r="V54" s="3283" t="s">
        <v>1763</v>
      </c>
      <c r="W54" s="3283"/>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194" t="str">
        <f>IF(COUNTA($C$52:C54)&lt;'Tablas Sheele'!$H$110+1,VLOOKUP('Tablas Sheele'!A3,'Tablas Sheele'!$B$91:$C$109,2,FALSE),"")</f>
        <v/>
      </c>
      <c r="D55" s="4195"/>
      <c r="E55" s="4196" t="str">
        <f>IF($C55="","",VLOOKUP(C55,'Tablas Sheele'!C94:Q111,10,FALSE))</f>
        <v/>
      </c>
      <c r="F55" s="4196"/>
      <c r="G55" s="4196"/>
      <c r="H55" s="4196"/>
      <c r="I55" s="4196"/>
      <c r="J55" s="4196"/>
      <c r="K55" s="4196"/>
      <c r="L55" s="4196"/>
      <c r="M55" s="4196"/>
      <c r="N55" s="4196"/>
      <c r="O55" s="4196"/>
      <c r="P55" s="4196"/>
      <c r="Q55" s="4196"/>
      <c r="R55" s="4196"/>
      <c r="S55" s="4197"/>
      <c r="T55" s="741"/>
      <c r="U55" s="3293"/>
      <c r="V55" s="3283" t="s">
        <v>1764</v>
      </c>
      <c r="W55" s="3283"/>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194" t="str">
        <f>IF(COUNTA($C$52:C55)&lt;'Tablas Sheele'!$H$110+1,VLOOKUP('Tablas Sheele'!A4,'Tablas Sheele'!$B$91:$C$109,2,FALSE),"")</f>
        <v/>
      </c>
      <c r="D56" s="4195"/>
      <c r="E56" s="4196" t="str">
        <f>IF($C56="","",VLOOKUP(C56,'Tablas Sheele'!C95:Q112,10,FALSE))</f>
        <v/>
      </c>
      <c r="F56" s="4196"/>
      <c r="G56" s="4196"/>
      <c r="H56" s="4196"/>
      <c r="I56" s="4196"/>
      <c r="J56" s="4196"/>
      <c r="K56" s="4196"/>
      <c r="L56" s="4196"/>
      <c r="M56" s="4196"/>
      <c r="N56" s="4196"/>
      <c r="O56" s="4196"/>
      <c r="P56" s="4196"/>
      <c r="Q56" s="4196"/>
      <c r="R56" s="4196"/>
      <c r="S56" s="4197"/>
      <c r="T56" s="741"/>
      <c r="U56" s="3368"/>
      <c r="V56" s="4198" t="s">
        <v>1767</v>
      </c>
      <c r="W56" s="4199"/>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194" t="str">
        <f>IF(COUNTA($C$52:C56)&lt;'Tablas Sheele'!$H$110+1,VLOOKUP('Tablas Sheele'!A5,'Tablas Sheele'!$B$91:$C$109,2,FALSE),"")</f>
        <v/>
      </c>
      <c r="D57" s="4195"/>
      <c r="E57" s="4196" t="str">
        <f>IF($C57="","",VLOOKUP(C57,'Tablas Sheele'!C96:Q113,10,FALSE))</f>
        <v/>
      </c>
      <c r="F57" s="4196"/>
      <c r="G57" s="4196"/>
      <c r="H57" s="4196"/>
      <c r="I57" s="4196"/>
      <c r="J57" s="4196"/>
      <c r="K57" s="4196"/>
      <c r="L57" s="4196"/>
      <c r="M57" s="4196"/>
      <c r="N57" s="4196"/>
      <c r="O57" s="4196"/>
      <c r="P57" s="4196"/>
      <c r="Q57" s="4196"/>
      <c r="R57" s="4196"/>
      <c r="S57" s="4197"/>
      <c r="T57" s="741"/>
      <c r="U57" s="3293" t="s">
        <v>1770</v>
      </c>
      <c r="V57" s="3283" t="s">
        <v>1771</v>
      </c>
      <c r="W57" s="3283"/>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194" t="str">
        <f>IF(COUNTA($C$52:C57)&lt;'Tablas Sheele'!$H$110+1,VLOOKUP('Tablas Sheele'!A6,'Tablas Sheele'!$B$91:$C$109,2,FALSE),"")</f>
        <v/>
      </c>
      <c r="D58" s="4195"/>
      <c r="E58" s="4196" t="str">
        <f>IF($C58="","",VLOOKUP(C58,'Tablas Sheele'!C97:Q114,10,FALSE))</f>
        <v/>
      </c>
      <c r="F58" s="4196"/>
      <c r="G58" s="4196"/>
      <c r="H58" s="4196"/>
      <c r="I58" s="4196"/>
      <c r="J58" s="4196"/>
      <c r="K58" s="4196"/>
      <c r="L58" s="4196"/>
      <c r="M58" s="4196"/>
      <c r="N58" s="4196"/>
      <c r="O58" s="4196"/>
      <c r="P58" s="4196"/>
      <c r="Q58" s="4196"/>
      <c r="R58" s="4196"/>
      <c r="S58" s="4197"/>
      <c r="T58" s="741"/>
      <c r="U58" s="3293"/>
      <c r="V58" s="3283" t="s">
        <v>1773</v>
      </c>
      <c r="W58" s="3283"/>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194" t="str">
        <f>IF(COUNTA($C$52:C58)&lt;'Tablas Sheele'!$H$110+1,VLOOKUP('Tablas Sheele'!A7,'Tablas Sheele'!$B$91:$C$109,2,FALSE),"")</f>
        <v/>
      </c>
      <c r="D59" s="4195"/>
      <c r="E59" s="4196" t="str">
        <f>IF($C59="","",VLOOKUP(C59,'Tablas Sheele'!C98:Q115,10,FALSE))</f>
        <v/>
      </c>
      <c r="F59" s="4196"/>
      <c r="G59" s="4196"/>
      <c r="H59" s="4196"/>
      <c r="I59" s="4196"/>
      <c r="J59" s="4196"/>
      <c r="K59" s="4196"/>
      <c r="L59" s="4196"/>
      <c r="M59" s="4196"/>
      <c r="N59" s="4196"/>
      <c r="O59" s="4196"/>
      <c r="P59" s="4196"/>
      <c r="Q59" s="4196"/>
      <c r="R59" s="4196"/>
      <c r="S59" s="4197"/>
      <c r="T59" s="741"/>
      <c r="U59" s="3293"/>
      <c r="V59" s="3283" t="s">
        <v>1775</v>
      </c>
      <c r="W59" s="3283"/>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3421</v>
      </c>
      <c r="AB59" s="684"/>
    </row>
    <row r="60" spans="1:28" ht="12" customHeight="1" x14ac:dyDescent="0.2">
      <c r="A60" s="681"/>
      <c r="B60" s="690"/>
      <c r="C60" s="4194" t="str">
        <f>IF(COUNTA($C$52:C59)&lt;'Tablas Sheele'!$H$110+1,VLOOKUP('Tablas Sheele'!A8,'Tablas Sheele'!$B$91:$C$109,2,FALSE),"")</f>
        <v/>
      </c>
      <c r="D60" s="4195"/>
      <c r="E60" s="4196" t="str">
        <f>IF($C60="","",VLOOKUP(C60,'Tablas Sheele'!C99:Q116,10,FALSE))</f>
        <v/>
      </c>
      <c r="F60" s="4196"/>
      <c r="G60" s="4196"/>
      <c r="H60" s="4196"/>
      <c r="I60" s="4196"/>
      <c r="J60" s="4196"/>
      <c r="K60" s="4196"/>
      <c r="L60" s="4196"/>
      <c r="M60" s="4196"/>
      <c r="N60" s="4196"/>
      <c r="O60" s="4196"/>
      <c r="P60" s="4196"/>
      <c r="Q60" s="4196"/>
      <c r="R60" s="4196"/>
      <c r="S60" s="4197"/>
      <c r="T60" s="741"/>
      <c r="U60" s="3293"/>
      <c r="V60" s="3283" t="s">
        <v>1777</v>
      </c>
      <c r="W60" s="3283"/>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194" t="str">
        <f>IF(COUNTA($C$52:C60)&lt;'Tablas Sheele'!$H$110+1,VLOOKUP('Tablas Sheele'!A9,'Tablas Sheele'!$B$91:$C$109,2,FALSE),"")</f>
        <v/>
      </c>
      <c r="D61" s="4195"/>
      <c r="E61" s="4196" t="str">
        <f>IF($C61="","",VLOOKUP(C61,'Tablas Sheele'!C100:Q117,10,FALSE))</f>
        <v/>
      </c>
      <c r="F61" s="4196"/>
      <c r="G61" s="4196"/>
      <c r="H61" s="4196"/>
      <c r="I61" s="4196"/>
      <c r="J61" s="4196"/>
      <c r="K61" s="4196"/>
      <c r="L61" s="4196"/>
      <c r="M61" s="4196"/>
      <c r="N61" s="4196"/>
      <c r="O61" s="4196"/>
      <c r="P61" s="4196"/>
      <c r="Q61" s="4196"/>
      <c r="R61" s="4196"/>
      <c r="S61" s="4197"/>
      <c r="T61" s="741"/>
      <c r="U61" s="3293"/>
      <c r="V61" s="3283" t="s">
        <v>1779</v>
      </c>
      <c r="W61" s="3283"/>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3421</v>
      </c>
      <c r="AB61" s="684"/>
    </row>
    <row r="62" spans="1:28" ht="12" customHeight="1" thickBot="1" x14ac:dyDescent="0.25">
      <c r="A62" s="681"/>
      <c r="B62" s="690"/>
      <c r="C62" s="4200" t="str">
        <f>IF(COUNTA($C$52:C61)&lt;'Tablas Sheele'!$H$110+1,VLOOKUP('Tablas Sheele'!A10,'Tablas Sheele'!$B$91:$C$109,2,FALSE),"")</f>
        <v/>
      </c>
      <c r="D62" s="4201"/>
      <c r="E62" s="4211" t="str">
        <f>IF($C62="","",VLOOKUP(C62,'Tablas Sheele'!C101:Q118,10,FALSE))</f>
        <v/>
      </c>
      <c r="F62" s="4211"/>
      <c r="G62" s="4211"/>
      <c r="H62" s="4211"/>
      <c r="I62" s="4211"/>
      <c r="J62" s="4211"/>
      <c r="K62" s="4211"/>
      <c r="L62" s="4211"/>
      <c r="M62" s="4211"/>
      <c r="N62" s="4211"/>
      <c r="O62" s="4211"/>
      <c r="P62" s="4211"/>
      <c r="Q62" s="4211"/>
      <c r="R62" s="4211"/>
      <c r="S62" s="4212"/>
      <c r="T62" s="741"/>
      <c r="U62" s="3293"/>
      <c r="V62" s="3283" t="s">
        <v>1781</v>
      </c>
      <c r="W62" s="3283"/>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293"/>
      <c r="V63" s="4198" t="s">
        <v>1782</v>
      </c>
      <c r="W63" s="4199"/>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835" t="s">
        <v>1783</v>
      </c>
      <c r="V64" s="3283" t="s">
        <v>1784</v>
      </c>
      <c r="W64" s="3283"/>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293"/>
      <c r="V65" s="3283" t="s">
        <v>1785</v>
      </c>
      <c r="W65" s="3283"/>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8180</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293"/>
      <c r="V66" s="3283" t="s">
        <v>1786</v>
      </c>
      <c r="W66" s="3283"/>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8180</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293"/>
      <c r="V67" s="3283" t="s">
        <v>1085</v>
      </c>
      <c r="W67" s="3283"/>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8180</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293"/>
      <c r="V68" s="3283" t="s">
        <v>1086</v>
      </c>
      <c r="W68" s="3283"/>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8180</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293"/>
      <c r="V69" s="3283" t="s">
        <v>1087</v>
      </c>
      <c r="W69" s="3283"/>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8180</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293"/>
      <c r="V70" s="3283" t="s">
        <v>1787</v>
      </c>
      <c r="W70" s="3283"/>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8180</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293"/>
      <c r="V71" s="3283" t="s">
        <v>1790</v>
      </c>
      <c r="W71" s="3283"/>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293"/>
      <c r="V72" s="3283" t="s">
        <v>8230</v>
      </c>
      <c r="W72" s="3283"/>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8180</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293"/>
      <c r="V73" s="3283" t="s">
        <v>8231</v>
      </c>
      <c r="W73" s="3283"/>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8180</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293"/>
      <c r="V74" s="3283" t="s">
        <v>8232</v>
      </c>
      <c r="W74" s="3283"/>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8180</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68"/>
      <c r="V75" s="4202" t="s">
        <v>8233</v>
      </c>
      <c r="W75" s="4203"/>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8180</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293" t="s">
        <v>1791</v>
      </c>
      <c r="V76" s="3283" t="str">
        <f>IF(PDs!P180="","-",PDs!P180)</f>
        <v>-</v>
      </c>
      <c r="W76" s="3283"/>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8180</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293"/>
      <c r="V77" s="3283" t="str">
        <f>IF(PDs!P181="","-",PDs!P181)</f>
        <v>-</v>
      </c>
      <c r="W77" s="3283"/>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8180</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293"/>
      <c r="V78" s="3283" t="str">
        <f>IF(PDs!P182="","-",PDs!P182)</f>
        <v>-</v>
      </c>
      <c r="W78" s="3283"/>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8180</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293"/>
      <c r="V79" s="3283" t="str">
        <f>IF(PDs!P183="","-",PDs!P183)</f>
        <v>-</v>
      </c>
      <c r="W79" s="3283"/>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8180</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332"/>
      <c r="V80" s="3333" t="str">
        <f>IF(PDs!P184="","-",PDs!P184)</f>
        <v>-</v>
      </c>
      <c r="W80" s="3333"/>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8180</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05" priority="54" stopIfTrue="1" operator="lessThan">
      <formula>0</formula>
    </cfRule>
  </conditionalFormatting>
  <conditionalFormatting sqref="Z23">
    <cfRule type="cellIs" dxfId="504" priority="4" stopIfTrue="1" operator="lessThan">
      <formula>0</formula>
    </cfRule>
  </conditionalFormatting>
  <conditionalFormatting sqref="J32">
    <cfRule type="cellIs" dxfId="503" priority="1777" operator="greaterThan">
      <formula>$U$4+1</formula>
    </cfRule>
    <cfRule type="cellIs" dxfId="502" priority="1778" stopIfTrue="1" operator="lessThan">
      <formula>0</formula>
    </cfRule>
  </conditionalFormatting>
  <conditionalFormatting sqref="U12:V12">
    <cfRule type="expression" dxfId="501" priority="1779" stopIfTrue="1">
      <formula>AND(ISNUMBER($U$12),$U$12&gt;$U$4+3)</formula>
    </cfRule>
  </conditionalFormatting>
  <conditionalFormatting sqref="Y25:Y80">
    <cfRule type="cellIs" dxfId="500"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8"/>
      <c r="S2" s="1681"/>
      <c r="T2" s="1681"/>
      <c r="U2" s="1970"/>
      <c r="V2" s="1971"/>
      <c r="W2" s="1971"/>
      <c r="X2" s="1971"/>
      <c r="Y2" s="1971"/>
      <c r="Z2" s="1971"/>
      <c r="AA2" s="1971"/>
      <c r="AB2" s="1971"/>
      <c r="AC2" s="1971"/>
      <c r="AD2" s="1971"/>
      <c r="AE2" s="1971"/>
      <c r="AF2" s="1971"/>
      <c r="AG2" s="1971"/>
      <c r="AH2" s="1971"/>
      <c r="AI2" s="1971"/>
      <c r="AJ2" s="1971"/>
      <c r="AK2" s="2481"/>
      <c r="AL2" s="2104"/>
      <c r="AM2" s="1802"/>
    </row>
    <row r="3" spans="1:44" ht="12" customHeight="1" thickBot="1" x14ac:dyDescent="0.25">
      <c r="A3" s="190"/>
      <c r="B3" s="1799"/>
      <c r="C3" s="3210"/>
      <c r="D3" s="3210"/>
      <c r="E3" s="3210"/>
      <c r="F3" s="3210"/>
      <c r="G3" s="3210"/>
      <c r="H3" s="3210"/>
      <c r="I3" s="9"/>
      <c r="J3" s="9"/>
      <c r="K3" s="9"/>
      <c r="L3" s="9"/>
      <c r="M3" s="9"/>
      <c r="N3" s="9"/>
      <c r="O3" s="9"/>
      <c r="P3" s="9"/>
      <c r="Q3" s="10"/>
      <c r="R3" s="69"/>
      <c r="S3" s="56"/>
      <c r="T3" s="56"/>
      <c r="U3" s="1799"/>
      <c r="V3" s="4467"/>
      <c r="W3" s="4468"/>
      <c r="X3" s="4468"/>
      <c r="Y3" s="4468"/>
      <c r="Z3" s="4468"/>
      <c r="AA3" s="4468"/>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10"/>
      <c r="D4" s="3210"/>
      <c r="E4" s="3210"/>
      <c r="F4" s="3210"/>
      <c r="G4" s="3210"/>
      <c r="H4" s="3210"/>
      <c r="I4" s="12"/>
      <c r="J4" s="3162" t="s">
        <v>1628</v>
      </c>
      <c r="K4" s="3162"/>
      <c r="L4" s="3163" t="str">
        <f>IF(OR(General!$G$22="",General!$G$22=0),"",General!$G$22)</f>
        <v/>
      </c>
      <c r="M4" s="3163"/>
      <c r="N4" s="3163"/>
      <c r="O4" s="3163"/>
      <c r="P4" s="3163"/>
      <c r="Q4" s="13"/>
      <c r="R4" s="69"/>
      <c r="S4" s="56"/>
      <c r="T4" s="56"/>
      <c r="U4" s="1799"/>
      <c r="V4" s="4469"/>
      <c r="W4" s="3210"/>
      <c r="X4" s="3210"/>
      <c r="Y4" s="3210"/>
      <c r="Z4" s="3210"/>
      <c r="AA4" s="3210"/>
      <c r="AB4" s="12"/>
      <c r="AC4" s="3162" t="s">
        <v>1628</v>
      </c>
      <c r="AD4" s="3162"/>
      <c r="AE4" s="3163" t="str">
        <f>IF(OR(General!$G$22="",General!$G$22=0),"",General!$G$22)</f>
        <v/>
      </c>
      <c r="AF4" s="3163"/>
      <c r="AG4" s="3163"/>
      <c r="AH4" s="3163"/>
      <c r="AI4" s="3163"/>
      <c r="AJ4" s="2185"/>
      <c r="AK4" s="2048"/>
      <c r="AL4" s="2105"/>
      <c r="AM4" s="1802"/>
      <c r="AN4" s="2002"/>
      <c r="AO4" s="2002"/>
      <c r="AP4" s="2496"/>
      <c r="AQ4" s="2496"/>
      <c r="AR4" s="1885"/>
    </row>
    <row r="5" spans="1:44" ht="12" customHeight="1" thickBot="1" x14ac:dyDescent="0.25">
      <c r="A5" s="190"/>
      <c r="B5" s="1799"/>
      <c r="C5" s="3210"/>
      <c r="D5" s="3210"/>
      <c r="E5" s="3210"/>
      <c r="F5" s="3210"/>
      <c r="G5" s="3210"/>
      <c r="H5" s="3210"/>
      <c r="I5" s="12"/>
      <c r="J5" s="3207" t="s">
        <v>1629</v>
      </c>
      <c r="K5" s="3207"/>
      <c r="L5" s="3208" t="str">
        <f>Principal!$L$5</f>
        <v>Hechicero</v>
      </c>
      <c r="M5" s="3208"/>
      <c r="N5" s="3208"/>
      <c r="O5" s="14" t="s">
        <v>1630</v>
      </c>
      <c r="P5" s="15" t="str">
        <f>Principal!$P$5</f>
        <v>1</v>
      </c>
      <c r="Q5" s="16"/>
      <c r="R5" s="69"/>
      <c r="S5" s="56"/>
      <c r="T5" s="56"/>
      <c r="U5" s="1799"/>
      <c r="V5" s="4469"/>
      <c r="W5" s="3210"/>
      <c r="X5" s="3210"/>
      <c r="Y5" s="3210"/>
      <c r="Z5" s="3210"/>
      <c r="AA5" s="3210"/>
      <c r="AB5" s="12"/>
      <c r="AC5" s="3207" t="s">
        <v>1629</v>
      </c>
      <c r="AD5" s="3207"/>
      <c r="AE5" s="3208" t="str">
        <f>Principal!$L$5</f>
        <v>Hechicero</v>
      </c>
      <c r="AF5" s="3208"/>
      <c r="AG5" s="3208"/>
      <c r="AH5" s="14" t="s">
        <v>1630</v>
      </c>
      <c r="AI5" s="15" t="str">
        <f>Principal!$P$5</f>
        <v>1</v>
      </c>
      <c r="AJ5" s="12"/>
      <c r="AK5" s="2049"/>
      <c r="AL5" s="2105"/>
      <c r="AM5" s="1802"/>
      <c r="AN5" s="2480"/>
      <c r="AO5" s="2480"/>
      <c r="AP5" s="2503"/>
      <c r="AQ5" s="2503"/>
      <c r="AR5" s="1885"/>
    </row>
    <row r="6" spans="1:44" ht="12" customHeight="1" thickBot="1" x14ac:dyDescent="0.25">
      <c r="A6" s="190"/>
      <c r="B6" s="1799"/>
      <c r="C6" s="3210"/>
      <c r="D6" s="3210"/>
      <c r="E6" s="3210"/>
      <c r="F6" s="3210"/>
      <c r="G6" s="3210"/>
      <c r="H6" s="3210"/>
      <c r="I6" s="12"/>
      <c r="J6" s="3209" t="s">
        <v>2124</v>
      </c>
      <c r="K6" s="3209"/>
      <c r="L6" s="3209"/>
      <c r="M6" s="3209"/>
      <c r="N6" s="3209"/>
      <c r="O6" s="3209"/>
      <c r="P6" s="3209"/>
      <c r="Q6" s="16"/>
      <c r="R6" s="69"/>
      <c r="S6" s="56"/>
      <c r="T6" s="56"/>
      <c r="U6" s="1799"/>
      <c r="V6" s="4469"/>
      <c r="W6" s="3210"/>
      <c r="X6" s="3210"/>
      <c r="Y6" s="3210"/>
      <c r="Z6" s="3210"/>
      <c r="AA6" s="3210"/>
      <c r="AB6" s="12"/>
      <c r="AC6" s="3209" t="s">
        <v>2125</v>
      </c>
      <c r="AD6" s="3209"/>
      <c r="AE6" s="3209"/>
      <c r="AF6" s="3209"/>
      <c r="AG6" s="3209"/>
      <c r="AH6" s="3209"/>
      <c r="AI6" s="3209"/>
      <c r="AJ6" s="12"/>
      <c r="AK6" s="2049"/>
      <c r="AL6" s="2105"/>
      <c r="AM6" s="1802"/>
      <c r="AN6" s="2003"/>
      <c r="AO6" s="2003"/>
      <c r="AP6" s="2504"/>
      <c r="AQ6" s="2504"/>
      <c r="AR6" s="1885"/>
    </row>
    <row r="7" spans="1:44" ht="12" customHeight="1" thickBot="1" x14ac:dyDescent="0.25">
      <c r="A7" s="190"/>
      <c r="B7" s="1799"/>
      <c r="C7" s="3210"/>
      <c r="D7" s="3210"/>
      <c r="E7" s="3210"/>
      <c r="F7" s="3210"/>
      <c r="G7" s="3210"/>
      <c r="H7" s="3210"/>
      <c r="I7" s="12"/>
      <c r="J7" s="3209"/>
      <c r="K7" s="3209"/>
      <c r="L7" s="3209"/>
      <c r="M7" s="3209"/>
      <c r="N7" s="3209"/>
      <c r="O7" s="3209"/>
      <c r="P7" s="3209"/>
      <c r="Q7" s="16"/>
      <c r="R7" s="69"/>
      <c r="S7" s="56"/>
      <c r="T7" s="56"/>
      <c r="U7" s="1799"/>
      <c r="V7" s="4469"/>
      <c r="W7" s="3210"/>
      <c r="X7" s="3210"/>
      <c r="Y7" s="3210"/>
      <c r="Z7" s="3210"/>
      <c r="AA7" s="3210"/>
      <c r="AB7" s="12"/>
      <c r="AC7" s="3209"/>
      <c r="AD7" s="3209"/>
      <c r="AE7" s="3209"/>
      <c r="AF7" s="3209"/>
      <c r="AG7" s="3209"/>
      <c r="AH7" s="3209"/>
      <c r="AI7" s="3209"/>
      <c r="AJ7" s="12"/>
      <c r="AK7" s="2049"/>
      <c r="AL7" s="2105"/>
      <c r="AM7" s="1802"/>
      <c r="AN7" s="2480"/>
      <c r="AO7" s="2480"/>
      <c r="AP7" s="2503"/>
      <c r="AQ7" s="2503"/>
      <c r="AR7" s="1885"/>
    </row>
    <row r="8" spans="1:44" ht="12" customHeight="1" thickBot="1" x14ac:dyDescent="0.25">
      <c r="A8" s="190"/>
      <c r="B8" s="1799"/>
      <c r="C8" s="3210"/>
      <c r="D8" s="3210"/>
      <c r="E8" s="3210"/>
      <c r="F8" s="3210"/>
      <c r="G8" s="3210"/>
      <c r="H8" s="3210"/>
      <c r="I8" s="17"/>
      <c r="J8" s="17"/>
      <c r="K8" s="17"/>
      <c r="L8" s="17"/>
      <c r="M8" s="17"/>
      <c r="N8" s="17"/>
      <c r="O8" s="17"/>
      <c r="P8" s="17"/>
      <c r="Q8" s="18"/>
      <c r="R8" s="69"/>
      <c r="S8" s="56"/>
      <c r="T8" s="56"/>
      <c r="U8" s="1799"/>
      <c r="V8" s="4470"/>
      <c r="W8" s="4471"/>
      <c r="X8" s="4471"/>
      <c r="Y8" s="4471"/>
      <c r="Z8" s="4471"/>
      <c r="AA8" s="4471"/>
      <c r="AB8" s="2052"/>
      <c r="AC8" s="2052"/>
      <c r="AD8" s="2052"/>
      <c r="AE8" s="2052"/>
      <c r="AF8" s="2052"/>
      <c r="AG8" s="2052"/>
      <c r="AH8" s="2052"/>
      <c r="AI8" s="2052"/>
      <c r="AJ8" s="2052"/>
      <c r="AK8" s="2053"/>
      <c r="AL8" s="2105"/>
      <c r="AM8" s="1802"/>
      <c r="AN8" s="2003"/>
      <c r="AO8" s="2003"/>
      <c r="AP8" s="2504"/>
      <c r="AQ8" s="2504"/>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5"/>
      <c r="AO9" s="2505"/>
      <c r="AP9" s="2506"/>
      <c r="AQ9" s="2506"/>
      <c r="AR9" s="2500" t="str">
        <f>IF('Tablas psiquica'!AF70&gt;1,"AGI_DES_AMBOS","AGI_DES")</f>
        <v>AGI_DES</v>
      </c>
    </row>
    <row r="10" spans="1:44" ht="12" customHeight="1" thickBot="1" x14ac:dyDescent="0.25">
      <c r="A10" s="190"/>
      <c r="B10" s="1799"/>
      <c r="C10" s="3331" t="s">
        <v>2126</v>
      </c>
      <c r="D10" s="3331"/>
      <c r="E10" s="3331"/>
      <c r="F10" s="3331"/>
      <c r="G10" s="30"/>
      <c r="H10" s="3169" t="s">
        <v>2127</v>
      </c>
      <c r="I10" s="3169"/>
      <c r="J10" s="3169"/>
      <c r="K10" s="3169"/>
      <c r="L10" s="365" t="s">
        <v>2128</v>
      </c>
      <c r="M10" s="3056"/>
      <c r="N10" s="68"/>
      <c r="O10" s="3169" t="s">
        <v>2129</v>
      </c>
      <c r="P10" s="3169"/>
      <c r="Q10" s="3169"/>
      <c r="R10" s="69"/>
      <c r="S10" s="56"/>
      <c r="T10" s="56"/>
      <c r="U10" s="1799"/>
      <c r="V10" s="3475" t="s">
        <v>2130</v>
      </c>
      <c r="W10" s="3476"/>
      <c r="X10" s="3476"/>
      <c r="Y10" s="3476"/>
      <c r="Z10" s="3476"/>
      <c r="AA10" s="3063" t="s">
        <v>2131</v>
      </c>
      <c r="AB10" s="3064" t="s">
        <v>1679</v>
      </c>
      <c r="AC10" s="310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64" t="s">
        <v>10502</v>
      </c>
      <c r="AE10" s="4465"/>
      <c r="AF10" s="4465"/>
      <c r="AG10" s="4465"/>
      <c r="AH10" s="4466"/>
      <c r="AI10" s="4476" t="s">
        <v>1543</v>
      </c>
      <c r="AJ10" s="4477"/>
      <c r="AK10" s="4478"/>
      <c r="AL10" s="2105"/>
      <c r="AM10" s="1802"/>
      <c r="AN10" s="2507"/>
      <c r="AO10" s="4484" t="s">
        <v>9305</v>
      </c>
      <c r="AP10" s="4485"/>
      <c r="AQ10" s="3002"/>
      <c r="AR10" s="2498" t="s">
        <v>1690</v>
      </c>
    </row>
    <row r="11" spans="1:44" ht="12" customHeight="1" x14ac:dyDescent="0.2">
      <c r="A11" s="190"/>
      <c r="B11" s="1799"/>
      <c r="C11" s="3633" t="s">
        <v>2132</v>
      </c>
      <c r="D11" s="3633"/>
      <c r="E11" s="3180" t="s">
        <v>2133</v>
      </c>
      <c r="F11" s="3180"/>
      <c r="G11" s="68"/>
      <c r="H11" s="4458">
        <f>IF(VOL=0,0,VLOOKUP(VOL,Tabla_PotPsi,2))+IF(M10=0,0,VLOOKUP(M10,Tabla_PotPsitporCV,2))+J13+IF(Bono_ATA&lt;0,Bono_ATA,0)</f>
        <v>0</v>
      </c>
      <c r="I11" s="4458"/>
      <c r="J11" s="367" t="str">
        <f>IF(J13=0,"","Sumar")</f>
        <v/>
      </c>
      <c r="K11" s="367" t="str">
        <f>IF(J13=0,"",TRUNC(J13/5,0))</f>
        <v/>
      </c>
      <c r="L11" s="4473" t="str">
        <f>IF(J13=0,"","a la Fatiga")</f>
        <v/>
      </c>
      <c r="M11" s="4473"/>
      <c r="N11" s="68"/>
      <c r="O11" s="368" t="s">
        <v>1705</v>
      </c>
      <c r="P11" s="3060" t="s">
        <v>1889</v>
      </c>
      <c r="Q11" s="21" t="s">
        <v>2022</v>
      </c>
      <c r="R11" s="69"/>
      <c r="S11" s="56"/>
      <c r="T11" s="56"/>
      <c r="U11" s="1973">
        <f>IF(V11=0,0,1)</f>
        <v>0</v>
      </c>
      <c r="V11" s="4401"/>
      <c r="W11" s="4402"/>
      <c r="X11" s="4402"/>
      <c r="Y11" s="4402"/>
      <c r="Z11" s="4402"/>
      <c r="AA11" s="4419"/>
      <c r="AB11" s="4410" t="str">
        <f>IF(AA11=0,"",IF(AA11*10&lt;100,AA11*10,100))</f>
        <v/>
      </c>
      <c r="AC11" s="100"/>
      <c r="AD11" s="4401"/>
      <c r="AE11" s="4402"/>
      <c r="AF11" s="4402"/>
      <c r="AG11" s="4402"/>
      <c r="AH11" s="4402"/>
      <c r="AI11" s="4479" t="str">
        <f>IF(AD11="","-",IF(INDEX(Tabla_Dificultades,MATCH(AL11,INDEX(Tabla_Dificultades,,2),0),1)&lt;INDEX(Tabla_Dificultades,MATCH(AL12,INDEX(Tabla_Dificultades,,2),0),1),"Poder no eligible",AL12))</f>
        <v>-</v>
      </c>
      <c r="AJ11" s="4480"/>
      <c r="AK11" s="4481"/>
      <c r="AL11" s="3003" t="str">
        <f>IF(Tablas!$G$324&gt;0,"DIF",IF(Tablas!G325&gt;0,"MDIF",IF(Tablas!$G$326&gt;0,"ABS","RUT")))</f>
        <v>RUT</v>
      </c>
      <c r="AM11" s="1802"/>
      <c r="AO11" s="4486"/>
      <c r="AP11" s="4487"/>
      <c r="AQ11" s="2506"/>
      <c r="AR11" s="2499" t="s">
        <v>1685</v>
      </c>
    </row>
    <row r="12" spans="1:44" ht="12" customHeight="1" thickBot="1" x14ac:dyDescent="0.25">
      <c r="A12" s="190"/>
      <c r="B12" s="1799"/>
      <c r="C12" s="4455">
        <f>CV_final</f>
        <v>1</v>
      </c>
      <c r="D12" s="4455"/>
      <c r="E12" s="4456">
        <f>F18+F15+F16+F17+F19</f>
        <v>0</v>
      </c>
      <c r="F12" s="4456"/>
      <c r="G12" s="68"/>
      <c r="H12" s="4458"/>
      <c r="I12" s="4458"/>
      <c r="J12" s="4459" t="str">
        <f>IF(SUM(Tablas!$G$451:$G$463)+SUM(Tablas!$H$1961:$H$1973),"+1 grado: Des. Psíquico.","")</f>
        <v/>
      </c>
      <c r="K12" s="4459"/>
      <c r="L12" s="4459"/>
      <c r="M12" s="4459"/>
      <c r="N12" s="68"/>
      <c r="O12" s="4460">
        <f>Turno_Nat_final</f>
        <v>45</v>
      </c>
      <c r="P12" s="4457">
        <f>IF(PDs!E110="Tabla de Proyección Psíquica",Proyecciónpsíquica_final-PDs!V109+PDs!V22,Proyecciónpsíquica_final)</f>
        <v>0</v>
      </c>
      <c r="Q12" s="4462">
        <f>IF(PDs!E110="Tabla de Proyección Psíquica",Proyecciónpsíquica_final-PDs!V109+MAX(PDs!V23,PDs!V24),Proyecciónpsíquica_final)</f>
        <v>0</v>
      </c>
      <c r="R12" s="69"/>
      <c r="S12" s="56"/>
      <c r="T12" s="56"/>
      <c r="U12" s="1973"/>
      <c r="V12" s="4420" t="str">
        <f>IF(V11=0,"",VLOOKUP(V11,Tablas!$K$1129:$M$1267,2,FALSE))</f>
        <v/>
      </c>
      <c r="W12" s="3296"/>
      <c r="X12" s="3296"/>
      <c r="Y12" s="3053" t="s">
        <v>1630</v>
      </c>
      <c r="Z12" s="3058" t="str">
        <f>IF(V11=0,"",VLOOKUP(V11,Tablas!$K$1129:$M$1267,3,FALSE))</f>
        <v/>
      </c>
      <c r="AA12" s="4419"/>
      <c r="AB12" s="4410"/>
      <c r="AC12" s="100"/>
      <c r="AD12" s="4399" t="str">
        <f>IF(AD11=0,"",VLOOKUP(AD11,Tablas!$K$1129:$M$1267,2,FALSE))</f>
        <v/>
      </c>
      <c r="AE12" s="4400"/>
      <c r="AF12" s="4400"/>
      <c r="AG12" s="3055" t="s">
        <v>1630</v>
      </c>
      <c r="AH12" s="1374" t="str">
        <f>IF(AD11=0,"",VLOOKUP(AD11,Tablas!$K$1129:$M$1267,3,FALSE))</f>
        <v/>
      </c>
      <c r="AI12" s="4482"/>
      <c r="AJ12" s="4483"/>
      <c r="AK12" s="4406"/>
      <c r="AL12" s="3003" t="str">
        <f>IF(AD11="","",INDEX('Tablas psiquica'!$U$7:$U$145,MATCH(AD11,Poderes_psi,0)))</f>
        <v/>
      </c>
      <c r="AM12" s="1802"/>
      <c r="AN12" s="2508"/>
      <c r="AO12" s="4488" t="s">
        <v>1685</v>
      </c>
      <c r="AP12" s="4489"/>
      <c r="AQ12" s="3002"/>
      <c r="AR12" s="2499" t="s">
        <v>9306</v>
      </c>
    </row>
    <row r="13" spans="1:44" ht="12" customHeight="1" thickBot="1" x14ac:dyDescent="0.25">
      <c r="A13" s="190"/>
      <c r="B13" s="1799"/>
      <c r="C13" s="4455"/>
      <c r="D13" s="4455"/>
      <c r="E13" s="4456"/>
      <c r="F13" s="4456"/>
      <c r="G13" s="68"/>
      <c r="H13" s="4461" t="s">
        <v>2134</v>
      </c>
      <c r="I13" s="4461"/>
      <c r="J13" s="92"/>
      <c r="K13" s="4463" t="s">
        <v>2135</v>
      </c>
      <c r="L13" s="4463"/>
      <c r="M13" s="369"/>
      <c r="N13" s="68"/>
      <c r="O13" s="4460"/>
      <c r="P13" s="4457"/>
      <c r="Q13" s="4462"/>
      <c r="R13" s="69"/>
      <c r="S13" s="56"/>
      <c r="T13" s="56"/>
      <c r="U13" s="1973">
        <f>IF(V13=0,0,1)</f>
        <v>0</v>
      </c>
      <c r="V13" s="4414"/>
      <c r="W13" s="4415"/>
      <c r="X13" s="4415"/>
      <c r="Y13" s="4415"/>
      <c r="Z13" s="4415"/>
      <c r="AA13" s="4416"/>
      <c r="AB13" s="4407" t="str">
        <f>IF(AA13=0,"",IF(AA13*10&lt;100,AA13*10,100))</f>
        <v/>
      </c>
      <c r="AC13" s="100"/>
      <c r="AD13" s="68"/>
      <c r="AE13" s="68"/>
      <c r="AF13" s="68"/>
      <c r="AG13" s="68"/>
      <c r="AH13" s="68"/>
      <c r="AI13" s="68"/>
      <c r="AJ13" s="68"/>
      <c r="AK13" s="100"/>
      <c r="AL13" s="2105"/>
      <c r="AM13" s="1802"/>
      <c r="AN13" s="2505"/>
      <c r="AO13" s="2505"/>
      <c r="AP13" s="2506"/>
      <c r="AQ13" s="2506"/>
      <c r="AR13" s="1885"/>
    </row>
    <row r="14" spans="1:44" ht="12" customHeight="1" thickBot="1" x14ac:dyDescent="0.25">
      <c r="A14" s="190"/>
      <c r="B14" s="1799"/>
      <c r="C14" s="4472" t="s">
        <v>2136</v>
      </c>
      <c r="D14" s="4472"/>
      <c r="E14" s="4472"/>
      <c r="F14" s="370" t="s">
        <v>2131</v>
      </c>
      <c r="G14" s="68"/>
      <c r="H14" s="100"/>
      <c r="I14" s="100"/>
      <c r="J14" s="100"/>
      <c r="K14" s="100"/>
      <c r="L14" s="100"/>
      <c r="M14" s="100"/>
      <c r="N14" s="68"/>
      <c r="O14" s="68"/>
      <c r="P14" s="68"/>
      <c r="Q14" s="68"/>
      <c r="R14" s="69"/>
      <c r="S14" s="56"/>
      <c r="T14" s="56"/>
      <c r="U14" s="1973"/>
      <c r="V14" s="4411" t="str">
        <f>IF(V13=0,"",VLOOKUP(V13,Tablas!$K$1129:$M$1267,2,FALSE))</f>
        <v/>
      </c>
      <c r="W14" s="4412"/>
      <c r="X14" s="4412"/>
      <c r="Y14" s="3057" t="s">
        <v>1630</v>
      </c>
      <c r="Z14" s="3059" t="str">
        <f>IF(V13=0,"",VLOOKUP(V13,Tablas!$K$1129:$M$1267,3,FALSE))</f>
        <v/>
      </c>
      <c r="AA14" s="4416"/>
      <c r="AB14" s="4407"/>
      <c r="AC14" s="100"/>
      <c r="AD14" s="68"/>
      <c r="AE14" s="68"/>
      <c r="AF14" s="68"/>
      <c r="AG14" s="68"/>
      <c r="AH14" s="68"/>
      <c r="AI14" s="68"/>
      <c r="AJ14" s="68"/>
      <c r="AK14" s="100"/>
      <c r="AL14" s="2501" t="s">
        <v>9286</v>
      </c>
      <c r="AM14" s="1802"/>
      <c r="AN14" s="2003"/>
      <c r="AO14" s="2003"/>
      <c r="AP14" s="2504"/>
      <c r="AQ14" s="2504"/>
      <c r="AR14" s="1885"/>
    </row>
    <row r="15" spans="1:44" ht="12" customHeight="1" thickBot="1" x14ac:dyDescent="0.25">
      <c r="A15" s="190"/>
      <c r="B15" s="1799"/>
      <c r="C15" s="3407" t="s">
        <v>2124</v>
      </c>
      <c r="D15" s="3407"/>
      <c r="E15" s="3407"/>
      <c r="F15" s="247">
        <f>IF(C25=0,0,1)+IF(C27=0,0,1)+IF(C29=0,0,1)+IF(C31=0,0,1)+IF(C33=0,0,1)+IF(C35=0,0,1)</f>
        <v>0</v>
      </c>
      <c r="G15" s="68"/>
      <c r="H15" s="3169" t="s">
        <v>2137</v>
      </c>
      <c r="I15" s="3169"/>
      <c r="J15" s="3169"/>
      <c r="K15" s="3169"/>
      <c r="L15" s="3169"/>
      <c r="M15" s="3169"/>
      <c r="N15" s="68"/>
      <c r="O15" s="3169" t="s">
        <v>2138</v>
      </c>
      <c r="P15" s="3169"/>
      <c r="Q15" s="3169"/>
      <c r="R15" s="69"/>
      <c r="S15" s="56"/>
      <c r="T15" s="56"/>
      <c r="U15" s="1973">
        <f>IF(V15=0,0,1)</f>
        <v>0</v>
      </c>
      <c r="V15" s="4401"/>
      <c r="W15" s="4402"/>
      <c r="X15" s="4402"/>
      <c r="Y15" s="4402"/>
      <c r="Z15" s="4402"/>
      <c r="AA15" s="4419"/>
      <c r="AB15" s="4410" t="str">
        <f>IF(AA15=0,"",IF(AA15*10&lt;100,AA15*10,100))</f>
        <v/>
      </c>
      <c r="AC15" s="100"/>
      <c r="AD15" s="4464" t="s">
        <v>9282</v>
      </c>
      <c r="AE15" s="4465"/>
      <c r="AF15" s="4465"/>
      <c r="AG15" s="4465"/>
      <c r="AH15" s="4466"/>
      <c r="AI15" s="3063" t="s">
        <v>2131</v>
      </c>
      <c r="AJ15" s="3063" t="s">
        <v>8359</v>
      </c>
      <c r="AK15" s="3064" t="s">
        <v>1543</v>
      </c>
      <c r="AL15" s="2502">
        <f>COUNTA(AD16,AD18,AD20,AD22,AD24,AD26,AD28,AD30,AD32,AD34,AD36,AD38,AD40,AD42,AD44,AD46,AD48,AD50,AD52,AD54,AD56,AD58,AD60)</f>
        <v>0</v>
      </c>
      <c r="AM15" s="1802"/>
      <c r="AN15" s="2003"/>
      <c r="AO15" s="2480"/>
      <c r="AP15" s="2503"/>
      <c r="AQ15" s="2503"/>
      <c r="AR15" s="1885"/>
    </row>
    <row r="16" spans="1:44" ht="12" customHeight="1" thickBot="1" x14ac:dyDescent="0.25">
      <c r="A16" s="190"/>
      <c r="B16" s="1799"/>
      <c r="C16" s="4445" t="s">
        <v>2125</v>
      </c>
      <c r="D16" s="4445"/>
      <c r="E16" s="4445"/>
      <c r="F16" s="371">
        <f>SUM(U11:U63)</f>
        <v>0</v>
      </c>
      <c r="G16" s="372"/>
      <c r="H16" s="4449" t="s">
        <v>9287</v>
      </c>
      <c r="I16" s="4450">
        <f>F20-SUM(AI11:AI64)</f>
        <v>1</v>
      </c>
      <c r="J16" s="4452"/>
      <c r="K16" s="4452"/>
      <c r="L16" s="4452"/>
      <c r="M16" s="4452"/>
      <c r="N16" s="68"/>
      <c r="O16" s="3179" t="s">
        <v>2053</v>
      </c>
      <c r="P16" s="3179"/>
      <c r="Q16" s="366" t="s">
        <v>1679</v>
      </c>
      <c r="R16" s="69"/>
      <c r="S16" s="56"/>
      <c r="T16" s="56"/>
      <c r="U16" s="1973"/>
      <c r="V16" s="4420" t="str">
        <f>IF(V15=0,"",VLOOKUP(V15,Tablas!$K$1129:$M$1267,2,FALSE))</f>
        <v/>
      </c>
      <c r="W16" s="3296"/>
      <c r="X16" s="3296"/>
      <c r="Y16" s="3053" t="s">
        <v>1630</v>
      </c>
      <c r="Z16" s="3058" t="str">
        <f>IF(V15=0,"",VLOOKUP(V15,Tablas!$K$1129:$M$1267,3,FALSE))</f>
        <v/>
      </c>
      <c r="AA16" s="4419"/>
      <c r="AB16" s="4410"/>
      <c r="AC16" s="2497"/>
      <c r="AD16" s="4401"/>
      <c r="AE16" s="4402"/>
      <c r="AF16" s="4402"/>
      <c r="AG16" s="4402"/>
      <c r="AH16" s="4402"/>
      <c r="AI16" s="4408"/>
      <c r="AJ16" s="4454"/>
      <c r="AK16" s="4410" t="str">
        <f>IF(AD16&lt;&gt;"",INDEX(Tablas!$T$26:$T$38,MAX(1+MATCH(VLOOKUP(Psíquicos!$AD16,'Tablas psiquica'!$D$7:$U$145,18,FALSE),'Tablas psiquica'!$I$6:$R$6,0),MAX(SUMPRODUCT(--(Tablas!$S$26:$S$38&lt;=(AL16-20*AI16)))+IF(Tablas!$G$446&gt;0,1,0)+IF(COUNTIF($C$39:$E$50,"Introversión")&gt;0,1,0),SUMPRODUCT(--(Tablas!$S$26:$S$38&lt;=(AL16)))))),"")</f>
        <v/>
      </c>
      <c r="AL16" s="4474">
        <f>$H$11+IF(ISNA(VLOOKUP(AD16,$V$11:$AB$64,7,FALSE)),0,IF(VLOOKUP(AD16,$V$11:$AB$64,7,FALSE)="",0,VLOOKUP(AD16,$V$11:$AB$64,7,FALSE)))+AI16*20+AJ16</f>
        <v>0</v>
      </c>
      <c r="AM16" s="1802"/>
      <c r="AN16" s="2003"/>
      <c r="AO16" s="2003"/>
      <c r="AP16" s="2504"/>
      <c r="AQ16" s="2504"/>
      <c r="AR16" s="1885"/>
    </row>
    <row r="17" spans="1:43" ht="12" customHeight="1" x14ac:dyDescent="0.2">
      <c r="A17" s="190"/>
      <c r="B17" s="1799"/>
      <c r="C17" s="4446" t="s">
        <v>2139</v>
      </c>
      <c r="D17" s="4446"/>
      <c r="E17" s="4446"/>
      <c r="F17" s="247">
        <f>SUM(AA11:AA64)</f>
        <v>0</v>
      </c>
      <c r="G17" s="68"/>
      <c r="H17" s="4449"/>
      <c r="I17" s="4451"/>
      <c r="J17" s="4452"/>
      <c r="K17" s="4452"/>
      <c r="L17" s="4452"/>
      <c r="M17" s="4452"/>
      <c r="N17" s="68"/>
      <c r="O17" s="4083" t="s">
        <v>2061</v>
      </c>
      <c r="P17" s="4083"/>
      <c r="Q17" s="373" t="str">
        <f>IF(OR(Tablas!G546&gt;0,Tablas!H1995&gt;0),"+0",IF(AND(Tablas!G444=0,Tablas!H1959=0),"+10","+20"))</f>
        <v>+10</v>
      </c>
      <c r="R17" s="69"/>
      <c r="S17" s="56"/>
      <c r="T17" s="56"/>
      <c r="U17" s="1973">
        <f>IF(V17=0,0,1)</f>
        <v>0</v>
      </c>
      <c r="V17" s="4414"/>
      <c r="W17" s="4415"/>
      <c r="X17" s="4415"/>
      <c r="Y17" s="4415"/>
      <c r="Z17" s="4415"/>
      <c r="AA17" s="4416"/>
      <c r="AB17" s="4407" t="str">
        <f>IF(AA17=0,"",IF(AA17*10&lt;100,AA17*10,100))</f>
        <v/>
      </c>
      <c r="AC17" s="2568"/>
      <c r="AD17" s="4420" t="str">
        <f>IF(AD16=0,"",VLOOKUP(AD16,Tablas!$K$1129:$M$1267,2,FALSE))</f>
        <v/>
      </c>
      <c r="AE17" s="3296"/>
      <c r="AF17" s="3296"/>
      <c r="AG17" s="3053" t="s">
        <v>1630</v>
      </c>
      <c r="AH17" s="3058" t="str">
        <f>IF(AD16=0,"",VLOOKUP(AD16,Tablas!$K$1129:$M$1267,3,FALSE))</f>
        <v/>
      </c>
      <c r="AI17" s="4408"/>
      <c r="AJ17" s="4425"/>
      <c r="AK17" s="4410"/>
      <c r="AL17" s="4474"/>
      <c r="AM17" s="1802"/>
      <c r="AN17" s="2003"/>
      <c r="AO17" s="2480"/>
      <c r="AP17" s="2503"/>
      <c r="AQ17" s="2503"/>
    </row>
    <row r="18" spans="1:43" ht="12" customHeight="1" x14ac:dyDescent="0.2">
      <c r="A18" s="190"/>
      <c r="B18" s="1799"/>
      <c r="C18" s="4443" t="s">
        <v>2140</v>
      </c>
      <c r="D18" s="4443"/>
      <c r="E18" s="4443"/>
      <c r="F18" s="371">
        <f>M10</f>
        <v>0</v>
      </c>
      <c r="G18" s="68"/>
      <c r="H18" s="374" t="s">
        <v>2141</v>
      </c>
      <c r="I18" s="3066"/>
      <c r="J18" s="56"/>
      <c r="K18" s="375" t="str">
        <f>IF(AND(Tablas!G445=0,Tablas!H1960=0),"+10 / CV","+20 / CV")</f>
        <v>+10 / CV</v>
      </c>
      <c r="L18" s="4444" t="str">
        <f>IF(AND(Tablas!G445=0,Tablas!H1992=0),"(Max +50)","(Max +100)")</f>
        <v>(Max +50)</v>
      </c>
      <c r="M18" s="4444"/>
      <c r="N18" s="68"/>
      <c r="O18" s="4048" t="s">
        <v>2064</v>
      </c>
      <c r="P18" s="4048"/>
      <c r="Q18" s="373" t="str">
        <f>IF(OR(Tablas!G546&gt;0,Tablas!H1995&gt;0),"+0",IF(AND(Tablas!G444=0,Tablas!H1959=0),"+20","+40"))</f>
        <v>+20</v>
      </c>
      <c r="R18" s="69"/>
      <c r="S18" s="56"/>
      <c r="T18" s="56"/>
      <c r="U18" s="1973"/>
      <c r="V18" s="4411" t="str">
        <f>IF(V17=0,"",VLOOKUP(V17,Tablas!$K$1129:$M$1267,2,FALSE))</f>
        <v/>
      </c>
      <c r="W18" s="4412"/>
      <c r="X18" s="4412"/>
      <c r="Y18" s="3057" t="s">
        <v>1630</v>
      </c>
      <c r="Z18" s="3059" t="str">
        <f>IF(V17=0,"",VLOOKUP(V17,Tablas!$K$1129:$M$1267,3,FALSE))</f>
        <v/>
      </c>
      <c r="AA18" s="4416"/>
      <c r="AB18" s="4407"/>
      <c r="AC18" s="2568"/>
      <c r="AD18" s="4414"/>
      <c r="AE18" s="4415"/>
      <c r="AF18" s="4415"/>
      <c r="AG18" s="4415"/>
      <c r="AH18" s="4415"/>
      <c r="AI18" s="4413"/>
      <c r="AJ18" s="4426"/>
      <c r="AK18" s="4407" t="str">
        <f>IF(AD18&lt;&gt;"",INDEX(Tablas!$T$26:$T$38,MAX(1+MATCH(VLOOKUP(Psíquicos!$AD18,'Tablas psiquica'!$D$7:$U$145,18,FALSE),'Tablas psiquica'!$I$6:$R$6,0),MAX(SUMPRODUCT(--(Tablas!$S$26:$S$38&lt;=(AL18-20*AI18)))+IF(Tablas!$G$446&gt;0,1,0)+IF(COUNTIF($C$39:$E$50,"Introversión")&gt;0,1,0),SUMPRODUCT(--(Tablas!$S$26:$S$38&lt;=(AL18)))))),"")</f>
        <v/>
      </c>
      <c r="AL18" s="4474">
        <f t="shared" ref="AL18" si="0">$H$11+IF(ISNA(VLOOKUP(AD18,$V$11:$AB$64,7,FALSE)),0,IF(VLOOKUP(AD18,$V$11:$AB$64,7,FALSE)="",0,VLOOKUP(AD18,$V$11:$AB$64,7,FALSE)))+AI18*20+AJ18</f>
        <v>0</v>
      </c>
      <c r="AM18" s="1802"/>
      <c r="AN18" s="2003"/>
      <c r="AO18" s="2003"/>
      <c r="AP18" s="2504"/>
      <c r="AQ18" s="2504"/>
    </row>
    <row r="19" spans="1:43" ht="12" customHeight="1" x14ac:dyDescent="0.2">
      <c r="A19" s="190"/>
      <c r="B19" s="1799"/>
      <c r="C19" s="3424" t="s">
        <v>2142</v>
      </c>
      <c r="D19" s="3424"/>
      <c r="E19" s="3424"/>
      <c r="F19" s="2899">
        <f>2*M13</f>
        <v>0</v>
      </c>
      <c r="G19" s="68"/>
      <c r="H19" s="376" t="s">
        <v>2143</v>
      </c>
      <c r="I19" s="377"/>
      <c r="J19" s="68"/>
      <c r="K19" s="378" t="s">
        <v>2144</v>
      </c>
      <c r="L19" s="4441" t="s">
        <v>2145</v>
      </c>
      <c r="M19" s="4441"/>
      <c r="N19" s="68"/>
      <c r="O19" s="4048" t="s">
        <v>2067</v>
      </c>
      <c r="P19" s="4048"/>
      <c r="Q19" s="373" t="str">
        <f>IF(OR(Tablas!G546&gt;0,Tablas!H1995&gt;0),"+0",IF(AND(Tablas!G444=0,Tablas!H1959=0),"+30","+60"))</f>
        <v>+30</v>
      </c>
      <c r="R19" s="69"/>
      <c r="S19" s="56"/>
      <c r="T19" s="56"/>
      <c r="U19" s="1973">
        <f>IF(V19=0,0,1)</f>
        <v>0</v>
      </c>
      <c r="V19" s="4401"/>
      <c r="W19" s="4402"/>
      <c r="X19" s="4402"/>
      <c r="Y19" s="4402"/>
      <c r="Z19" s="4402"/>
      <c r="AA19" s="4419"/>
      <c r="AB19" s="4410" t="str">
        <f>IF(AA19=0,"",IF(AA19*10&lt;100,AA19*10,100))</f>
        <v/>
      </c>
      <c r="AC19" s="2568"/>
      <c r="AD19" s="4411" t="str">
        <f>IF(AD18=0,"",VLOOKUP(AD18,Tablas!$K$1129:$M$1267,2,FALSE))</f>
        <v/>
      </c>
      <c r="AE19" s="4412"/>
      <c r="AF19" s="4412"/>
      <c r="AG19" s="3057" t="s">
        <v>1630</v>
      </c>
      <c r="AH19" s="3059" t="str">
        <f>IF(AD18=0,"",VLOOKUP(AD18,Tablas!$K$1129:$M$1267,3,FALSE))</f>
        <v/>
      </c>
      <c r="AI19" s="4413"/>
      <c r="AJ19" s="4426"/>
      <c r="AK19" s="4407"/>
      <c r="AL19" s="4474"/>
      <c r="AM19" s="1802"/>
      <c r="AN19" s="2003"/>
      <c r="AO19" s="2480"/>
      <c r="AP19" s="2503"/>
      <c r="AQ19" s="2503"/>
    </row>
    <row r="20" spans="1:43" ht="12" customHeight="1" x14ac:dyDescent="0.2">
      <c r="A20" s="190"/>
      <c r="B20" s="1799"/>
      <c r="C20" s="4447" t="s">
        <v>2137</v>
      </c>
      <c r="D20" s="4447"/>
      <c r="E20" s="4447"/>
      <c r="F20" s="4448">
        <f>C12-E12</f>
        <v>1</v>
      </c>
      <c r="G20" s="68"/>
      <c r="H20" s="374" t="s">
        <v>2146</v>
      </c>
      <c r="I20" s="267"/>
      <c r="J20" s="56"/>
      <c r="K20" s="375" t="s">
        <v>2144</v>
      </c>
      <c r="L20" s="4444" t="s">
        <v>2145</v>
      </c>
      <c r="M20" s="4444"/>
      <c r="N20" s="68"/>
      <c r="O20" s="4048" t="s">
        <v>2069</v>
      </c>
      <c r="P20" s="4048"/>
      <c r="Q20" s="373" t="str">
        <f>IF(OR(Tablas!G546&gt;0,Tablas!H1995&gt;0),"+0",IF(AND(Tablas!G444=0,Tablas!H1959=0),"+40","+80"))</f>
        <v>+40</v>
      </c>
      <c r="R20" s="69"/>
      <c r="S20" s="56"/>
      <c r="T20" s="56"/>
      <c r="U20" s="1973"/>
      <c r="V20" s="4420" t="str">
        <f>IF(V19=0,"",VLOOKUP(V19,Tablas!$K$1129:$M$1267,2,FALSE))</f>
        <v/>
      </c>
      <c r="W20" s="3296"/>
      <c r="X20" s="3296"/>
      <c r="Y20" s="3053" t="s">
        <v>1630</v>
      </c>
      <c r="Z20" s="3058" t="str">
        <f>IF(V19=0,"",VLOOKUP(V19,Tablas!$K$1129:$M$1267,3,FALSE))</f>
        <v/>
      </c>
      <c r="AA20" s="4419"/>
      <c r="AB20" s="4410"/>
      <c r="AC20" s="2568"/>
      <c r="AD20" s="4432"/>
      <c r="AE20" s="4433"/>
      <c r="AF20" s="4433"/>
      <c r="AG20" s="4433"/>
      <c r="AH20" s="4434"/>
      <c r="AI20" s="4408"/>
      <c r="AJ20" s="4425"/>
      <c r="AK20" s="4410" t="str">
        <f>IF(AD20&lt;&gt;"",INDEX(Tablas!$T$26:$T$38,MAX(1+MATCH(VLOOKUP(Psíquicos!$AD20,'Tablas psiquica'!$D$7:$U$145,18,FALSE),'Tablas psiquica'!$I$6:$R$6,0),MAX(SUMPRODUCT(--(Tablas!$S$26:$S$38&lt;=(AL20-20*AI20)))+IF(Tablas!$G$446&gt;0,1,0)+IF(COUNTIF($C$39:$E$50,"Introversión")&gt;0,1,0),SUMPRODUCT(--(Tablas!$S$26:$S$38&lt;=(AL20)))))),"")</f>
        <v/>
      </c>
      <c r="AL20" s="4474">
        <f t="shared" ref="AL20" si="1">$H$11+IF(ISNA(VLOOKUP(AD20,$V$11:$AB$64,7,FALSE)),0,IF(VLOOKUP(AD20,$V$11:$AB$64,7,FALSE)="",0,VLOOKUP(AD20,$V$11:$AB$64,7,FALSE)))+AI20*20+AJ20</f>
        <v>0</v>
      </c>
      <c r="AM20" s="1802"/>
      <c r="AN20" s="2003"/>
      <c r="AO20" s="2003"/>
      <c r="AP20" s="2504"/>
      <c r="AQ20" s="2504"/>
    </row>
    <row r="21" spans="1:43" ht="12" customHeight="1" x14ac:dyDescent="0.2">
      <c r="A21" s="190"/>
      <c r="B21" s="1799"/>
      <c r="C21" s="4447"/>
      <c r="D21" s="4447"/>
      <c r="E21" s="4447"/>
      <c r="F21" s="4448"/>
      <c r="G21" s="68"/>
      <c r="H21" s="376" t="s">
        <v>2147</v>
      </c>
      <c r="I21" s="377"/>
      <c r="J21" s="68"/>
      <c r="K21" s="378" t="s">
        <v>2148</v>
      </c>
      <c r="L21" s="4441" t="s">
        <v>2149</v>
      </c>
      <c r="M21" s="4441"/>
      <c r="N21" s="68"/>
      <c r="O21" s="4442" t="s">
        <v>2072</v>
      </c>
      <c r="P21" s="4442"/>
      <c r="Q21" s="2900" t="str">
        <f>IF(OR(Tablas!G546&gt;0,Tablas!H1995&gt;0),"+0",IF(AND(Tablas!G444=0,Tablas!H1959=0),"+50","+100"))</f>
        <v>+50</v>
      </c>
      <c r="R21" s="69"/>
      <c r="S21" s="56"/>
      <c r="T21" s="56"/>
      <c r="U21" s="1973">
        <f>IF(V21=0,0,1)</f>
        <v>0</v>
      </c>
      <c r="V21" s="4414"/>
      <c r="W21" s="4415"/>
      <c r="X21" s="4415"/>
      <c r="Y21" s="4415"/>
      <c r="Z21" s="4415"/>
      <c r="AA21" s="4416"/>
      <c r="AB21" s="4407" t="str">
        <f>IF(AA21=0,"",IF(AA21*10&lt;100,AA21*10,100))</f>
        <v/>
      </c>
      <c r="AC21" s="2568"/>
      <c r="AD21" s="4420" t="str">
        <f>IF(AD20=0,"",VLOOKUP(AD20,Tablas!$K$1129:$M$1267,2,FALSE))</f>
        <v/>
      </c>
      <c r="AE21" s="3390"/>
      <c r="AF21" s="3390"/>
      <c r="AG21" s="3053" t="s">
        <v>1630</v>
      </c>
      <c r="AH21" s="3058" t="str">
        <f>IF(AD20=0,"",VLOOKUP(AD20,Tablas!$K$1129:$M$1267,3,FALSE))</f>
        <v/>
      </c>
      <c r="AI21" s="4408"/>
      <c r="AJ21" s="4425"/>
      <c r="AK21" s="4410"/>
      <c r="AL21" s="4474"/>
      <c r="AM21" s="1802"/>
      <c r="AN21" s="2003"/>
      <c r="AO21" s="2480"/>
      <c r="AP21" s="2503"/>
      <c r="AQ21" s="2503"/>
    </row>
    <row r="22" spans="1:43" ht="12" customHeight="1" thickBot="1" x14ac:dyDescent="0.25">
      <c r="A22" s="190"/>
      <c r="B22" s="1799"/>
      <c r="C22" s="4437" t="str">
        <f>IF(F20&lt;0,"Exceso de CVs",IF(AL15&gt;M13,"Exceso de innatos activos",""))</f>
        <v/>
      </c>
      <c r="D22" s="4437"/>
      <c r="E22" s="4437"/>
      <c r="F22" s="4437"/>
      <c r="G22" s="379"/>
      <c r="H22" s="380" t="s">
        <v>2150</v>
      </c>
      <c r="I22" s="381"/>
      <c r="J22" s="138"/>
      <c r="K22" s="382" t="s">
        <v>2148</v>
      </c>
      <c r="L22" s="3842" t="s">
        <v>2151</v>
      </c>
      <c r="M22" s="3842"/>
      <c r="N22" s="68"/>
      <c r="O22" s="4438" t="str">
        <f>IF(OR(Tablas!G546&gt;0,Tablas!H1995&gt;0),"Sin concentración",IF(AND(Tablas!G444=0,Tablas!H1959=0),"","Concentración extrema"))</f>
        <v/>
      </c>
      <c r="P22" s="4438"/>
      <c r="Q22" s="4438"/>
      <c r="R22" s="69"/>
      <c r="S22" s="56"/>
      <c r="T22" s="56"/>
      <c r="U22" s="1973"/>
      <c r="V22" s="4411" t="str">
        <f>IF(V21=0,"",VLOOKUP(V21,Tablas!$K$1129:$M$1267,2,FALSE))</f>
        <v/>
      </c>
      <c r="W22" s="4412"/>
      <c r="X22" s="4412"/>
      <c r="Y22" s="3057" t="s">
        <v>1630</v>
      </c>
      <c r="Z22" s="3059" t="str">
        <f>IF(V21=0,"",VLOOKUP(V21,Tablas!$K$1129:$M$1267,3,FALSE))</f>
        <v/>
      </c>
      <c r="AA22" s="4416"/>
      <c r="AB22" s="4407"/>
      <c r="AC22" s="2568"/>
      <c r="AD22" s="4414"/>
      <c r="AE22" s="4415"/>
      <c r="AF22" s="4415"/>
      <c r="AG22" s="4415"/>
      <c r="AH22" s="4415"/>
      <c r="AI22" s="4453"/>
      <c r="AJ22" s="4426"/>
      <c r="AK22" s="4407" t="str">
        <f>IF(AD22&lt;&gt;"",INDEX(Tablas!$T$26:$T$38,MAX(1+MATCH(VLOOKUP(Psíquicos!$AD22,'Tablas psiquica'!$D$7:$U$145,18,FALSE),'Tablas psiquica'!$I$6:$R$6,0),MAX(SUMPRODUCT(--(Tablas!$S$26:$S$38&lt;=(AL22-20*AI22)))+IF(Tablas!$G$446&gt;0,1,0)+IF(COUNTIF($C$39:$E$50,"Introversión")&gt;0,1,0),SUMPRODUCT(--(Tablas!$S$26:$S$38&lt;=(AL22)))))),"")</f>
        <v/>
      </c>
      <c r="AL22" s="4474">
        <f t="shared" ref="AL22" si="2">$H$11+IF(ISNA(VLOOKUP(AD22,$V$11:$AB$64,7,FALSE)),0,IF(VLOOKUP(AD22,$V$11:$AB$64,7,FALSE)="",0,VLOOKUP(AD22,$V$11:$AB$64,7,FALSE)))+AI22*20+AJ22</f>
        <v>0</v>
      </c>
      <c r="AM22" s="1802"/>
      <c r="AN22" s="2003"/>
      <c r="AO22" s="2003"/>
      <c r="AP22" s="2504"/>
      <c r="AQ22" s="2504"/>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01"/>
      <c r="W23" s="4402"/>
      <c r="X23" s="4402"/>
      <c r="Y23" s="4402"/>
      <c r="Z23" s="4402"/>
      <c r="AA23" s="4419"/>
      <c r="AB23" s="4410" t="str">
        <f>IF(AA23=0,"",IF(AA23*10&lt;100,AA23*10,100))</f>
        <v/>
      </c>
      <c r="AC23" s="2568"/>
      <c r="AD23" s="4411" t="str">
        <f>IF(AD22=0,"",VLOOKUP(AD22,Tablas!$K$1129:$M$1267,2,FALSE))</f>
        <v/>
      </c>
      <c r="AE23" s="4429"/>
      <c r="AF23" s="4429"/>
      <c r="AG23" s="3057" t="s">
        <v>1630</v>
      </c>
      <c r="AH23" s="3059" t="str">
        <f>IF(AD22=0,"",VLOOKUP(AD22,Tablas!$K$1129:$M$1267,3,FALSE))</f>
        <v/>
      </c>
      <c r="AI23" s="4453"/>
      <c r="AJ23" s="4426"/>
      <c r="AK23" s="4407"/>
      <c r="AL23" s="4474"/>
      <c r="AM23" s="1802"/>
      <c r="AN23" s="2480"/>
      <c r="AO23" s="2480"/>
      <c r="AP23" s="2503"/>
      <c r="AQ23" s="2503"/>
    </row>
    <row r="24" spans="1:43" ht="12" customHeight="1" thickBot="1" x14ac:dyDescent="0.25">
      <c r="A24" s="190"/>
      <c r="B24" s="1799"/>
      <c r="C24" s="3169" t="s">
        <v>2152</v>
      </c>
      <c r="D24" s="3169"/>
      <c r="E24" s="3169"/>
      <c r="F24" s="3929" t="s">
        <v>2153</v>
      </c>
      <c r="G24" s="3929"/>
      <c r="H24" s="3929"/>
      <c r="I24" s="3929"/>
      <c r="J24" s="3929"/>
      <c r="K24" s="3929"/>
      <c r="L24" s="3929"/>
      <c r="M24" s="3929"/>
      <c r="N24" s="3929"/>
      <c r="O24" s="3929"/>
      <c r="P24" s="3929"/>
      <c r="Q24" s="3929"/>
      <c r="R24" s="69"/>
      <c r="S24" s="56"/>
      <c r="T24" s="56"/>
      <c r="U24" s="1973"/>
      <c r="V24" s="4420" t="str">
        <f>IF(V23=0,"",VLOOKUP(V23,Tablas!$K$1129:$M$1267,2,FALSE))</f>
        <v/>
      </c>
      <c r="W24" s="3296"/>
      <c r="X24" s="3296"/>
      <c r="Y24" s="3053" t="s">
        <v>1630</v>
      </c>
      <c r="Z24" s="3058" t="str">
        <f>IF(V23=0,"",VLOOKUP(V23,Tablas!$K$1129:$M$1267,3,FALSE))</f>
        <v/>
      </c>
      <c r="AA24" s="4419"/>
      <c r="AB24" s="4410"/>
      <c r="AC24" s="2568"/>
      <c r="AD24" s="4432"/>
      <c r="AE24" s="4433"/>
      <c r="AF24" s="4433"/>
      <c r="AG24" s="4433"/>
      <c r="AH24" s="4434"/>
      <c r="AI24" s="4440"/>
      <c r="AJ24" s="4425"/>
      <c r="AK24" s="4410" t="str">
        <f>IF(AD24&lt;&gt;"",INDEX(Tablas!$T$26:$T$38,MAX(1+MATCH(VLOOKUP(Psíquicos!$AD24,'Tablas psiquica'!$D$7:$U$145,18,FALSE),'Tablas psiquica'!$I$6:$R$6,0),MAX(SUMPRODUCT(--(Tablas!$S$26:$S$38&lt;=(AL24-20*AI24)))+IF(Tablas!$G$446&gt;0,1,0)+IF(COUNTIF($C$39:$E$50,"Introversión")&gt;0,1,0),SUMPRODUCT(--(Tablas!$S$26:$S$38&lt;=(AL24)))))),"")</f>
        <v/>
      </c>
      <c r="AL24" s="4474">
        <f t="shared" ref="AL24" si="3">$H$11+IF(ISNA(VLOOKUP(AD24,$V$11:$AB$64,7,FALSE)),0,IF(VLOOKUP(AD24,$V$11:$AB$64,7,FALSE)="",0,VLOOKUP(AD24,$V$11:$AB$64,7,FALSE)))+AI24*20+AJ24</f>
        <v>0</v>
      </c>
      <c r="AM24" s="1802"/>
      <c r="AN24" s="2003"/>
      <c r="AO24" s="2003"/>
      <c r="AP24" s="2504"/>
      <c r="AQ24" s="2504"/>
    </row>
    <row r="25" spans="1:43" ht="12" customHeight="1" x14ac:dyDescent="0.2">
      <c r="A25" s="190"/>
      <c r="B25" s="1799"/>
      <c r="C25" s="4439"/>
      <c r="D25" s="4439"/>
      <c r="E25" s="4439"/>
      <c r="F25" s="4431" t="str">
        <f>IF(C25=0,"",VLOOKUP(C25,Tabla_DisciplinasPsi,2,FALSE))</f>
        <v/>
      </c>
      <c r="G25" s="4431"/>
      <c r="H25" s="4431"/>
      <c r="I25" s="4431"/>
      <c r="J25" s="4431"/>
      <c r="K25" s="4431"/>
      <c r="L25" s="4431"/>
      <c r="M25" s="4431"/>
      <c r="N25" s="4431"/>
      <c r="O25" s="4431"/>
      <c r="P25" s="4431"/>
      <c r="Q25" s="4431"/>
      <c r="R25" s="69"/>
      <c r="S25" s="56"/>
      <c r="T25" s="56"/>
      <c r="U25" s="1973">
        <f>IF(V25=0,0,1)</f>
        <v>0</v>
      </c>
      <c r="V25" s="4414"/>
      <c r="W25" s="4415"/>
      <c r="X25" s="4415"/>
      <c r="Y25" s="4415"/>
      <c r="Z25" s="4415"/>
      <c r="AA25" s="4416"/>
      <c r="AB25" s="4407" t="str">
        <f>IF(AA25=0,"",IF(AA25*10&lt;100,AA25*10,100))</f>
        <v/>
      </c>
      <c r="AC25" s="2568"/>
      <c r="AD25" s="4420" t="str">
        <f>IF(AD24=0,"",VLOOKUP(AD24,Tablas!$K$1129:$M$1267,2,FALSE))</f>
        <v/>
      </c>
      <c r="AE25" s="3390"/>
      <c r="AF25" s="3390"/>
      <c r="AG25" s="3053" t="s">
        <v>1630</v>
      </c>
      <c r="AH25" s="3058" t="str">
        <f>IF(AD24=0,"",VLOOKUP(AD24,Tablas!$K$1129:$M$1267,3,FALSE))</f>
        <v/>
      </c>
      <c r="AI25" s="4440"/>
      <c r="AJ25" s="4425"/>
      <c r="AK25" s="4410"/>
      <c r="AL25" s="4474"/>
      <c r="AM25" s="1802"/>
      <c r="AN25" s="2509"/>
      <c r="AO25" s="2002"/>
      <c r="AP25" s="2002"/>
      <c r="AQ25" s="3004"/>
    </row>
    <row r="26" spans="1:43" ht="12" customHeight="1" x14ac:dyDescent="0.2">
      <c r="A26" s="190"/>
      <c r="B26" s="1799"/>
      <c r="C26" s="4439"/>
      <c r="D26" s="4439"/>
      <c r="E26" s="4439"/>
      <c r="F26" s="4431"/>
      <c r="G26" s="4431"/>
      <c r="H26" s="4431"/>
      <c r="I26" s="4431"/>
      <c r="J26" s="4431"/>
      <c r="K26" s="4431"/>
      <c r="L26" s="4431"/>
      <c r="M26" s="4431"/>
      <c r="N26" s="4431"/>
      <c r="O26" s="4431"/>
      <c r="P26" s="4431"/>
      <c r="Q26" s="4431"/>
      <c r="R26" s="69"/>
      <c r="S26" s="56"/>
      <c r="T26" s="56"/>
      <c r="U26" s="1973"/>
      <c r="V26" s="4411" t="str">
        <f>IF(V25=0,"",VLOOKUP(V25,Tablas!$K$1129:$M$1267,2,FALSE))</f>
        <v/>
      </c>
      <c r="W26" s="4412"/>
      <c r="X26" s="4412"/>
      <c r="Y26" s="3057" t="s">
        <v>1630</v>
      </c>
      <c r="Z26" s="3059" t="str">
        <f>IF(V25=0,"",VLOOKUP(V25,Tablas!$K$1129:$M$1267,3,FALSE))</f>
        <v/>
      </c>
      <c r="AA26" s="4416"/>
      <c r="AB26" s="4407"/>
      <c r="AC26" s="3068"/>
      <c r="AD26" s="4414"/>
      <c r="AE26" s="4415"/>
      <c r="AF26" s="4415"/>
      <c r="AG26" s="4415"/>
      <c r="AH26" s="4415"/>
      <c r="AI26" s="4413"/>
      <c r="AJ26" s="4426"/>
      <c r="AK26" s="4407" t="str">
        <f>IF(AD26&lt;&gt;"",INDEX(Tablas!$T$26:$T$38,MAX(1+MATCH(VLOOKUP(Psíquicos!$AD26,'Tablas psiquica'!$D$7:$U$145,18,FALSE),'Tablas psiquica'!$I$6:$R$6,0),MAX(SUMPRODUCT(--(Tablas!$S$26:$S$38&lt;=(AL26-20*AI26)))+IF(Tablas!$G$446&gt;0,1,0)+IF(COUNTIF($C$39:$E$50,"Introversión")&gt;0,1,0),SUMPRODUCT(--(Tablas!$S$26:$S$38&lt;=(AL26)))))),"")</f>
        <v/>
      </c>
      <c r="AL26" s="4474">
        <f t="shared" ref="AL26" si="4">$H$11+IF(ISNA(VLOOKUP(AD26,$V$11:$AB$64,7,FALSE)),0,IF(VLOOKUP(AD26,$V$11:$AB$64,7,FALSE)="",0,VLOOKUP(AD26,$V$11:$AB$64,7,FALSE)))+AI26*20+AJ26</f>
        <v>0</v>
      </c>
      <c r="AM26" s="1802"/>
      <c r="AO26" s="2001"/>
      <c r="AP26" s="2001"/>
      <c r="AQ26" s="2001"/>
    </row>
    <row r="27" spans="1:43" ht="12" customHeight="1" x14ac:dyDescent="0.2">
      <c r="A27" s="190"/>
      <c r="B27" s="1799"/>
      <c r="C27" s="4430"/>
      <c r="D27" s="4430"/>
      <c r="E27" s="4430"/>
      <c r="F27" s="4431" t="str">
        <f>IF(C27=0,"",VLOOKUP(C27,Tabla_DisciplinasPsi,2,FALSE))</f>
        <v/>
      </c>
      <c r="G27" s="4431"/>
      <c r="H27" s="4431"/>
      <c r="I27" s="4431"/>
      <c r="J27" s="4431"/>
      <c r="K27" s="4431"/>
      <c r="L27" s="4431"/>
      <c r="M27" s="4431"/>
      <c r="N27" s="4431"/>
      <c r="O27" s="4431"/>
      <c r="P27" s="4431"/>
      <c r="Q27" s="4431"/>
      <c r="R27" s="69"/>
      <c r="S27" s="56"/>
      <c r="T27" s="56"/>
      <c r="U27" s="1973">
        <f>IF(V27=0,0,1)</f>
        <v>0</v>
      </c>
      <c r="V27" s="4401"/>
      <c r="W27" s="4402"/>
      <c r="X27" s="4402"/>
      <c r="Y27" s="4402"/>
      <c r="Z27" s="4402"/>
      <c r="AA27" s="4419"/>
      <c r="AB27" s="4410" t="str">
        <f>IF(AA27=0,"",IF(AA27*10&lt;100,AA27*10,100))</f>
        <v/>
      </c>
      <c r="AC27" s="3068"/>
      <c r="AD27" s="4411" t="str">
        <f>IF(AD26=0,"",VLOOKUP(AD26,Tablas!$K$1129:$M$1267,2,FALSE))</f>
        <v/>
      </c>
      <c r="AE27" s="4429"/>
      <c r="AF27" s="4429"/>
      <c r="AG27" s="3057" t="s">
        <v>1630</v>
      </c>
      <c r="AH27" s="3059" t="str">
        <f>IF(AD26=0,"",VLOOKUP(AD26,Tablas!$K$1129:$M$1267,3,FALSE))</f>
        <v/>
      </c>
      <c r="AI27" s="4413"/>
      <c r="AJ27" s="4426"/>
      <c r="AK27" s="4407"/>
      <c r="AL27" s="4474"/>
      <c r="AM27" s="1802"/>
      <c r="AQ27" s="2002"/>
    </row>
    <row r="28" spans="1:43" ht="12" customHeight="1" x14ac:dyDescent="0.2">
      <c r="A28" s="190"/>
      <c r="B28" s="1799"/>
      <c r="C28" s="4430"/>
      <c r="D28" s="4430"/>
      <c r="E28" s="4430"/>
      <c r="F28" s="4431"/>
      <c r="G28" s="4431"/>
      <c r="H28" s="4431"/>
      <c r="I28" s="4431"/>
      <c r="J28" s="4431"/>
      <c r="K28" s="4431"/>
      <c r="L28" s="4431"/>
      <c r="M28" s="4431"/>
      <c r="N28" s="4431"/>
      <c r="O28" s="4431"/>
      <c r="P28" s="4431"/>
      <c r="Q28" s="4431"/>
      <c r="R28" s="69"/>
      <c r="S28" s="56"/>
      <c r="T28" s="56"/>
      <c r="U28" s="1973"/>
      <c r="V28" s="4420" t="str">
        <f>IF(V27=0,"",VLOOKUP(V27,Tablas!$K$1129:$M$1267,2,FALSE))</f>
        <v/>
      </c>
      <c r="W28" s="3296"/>
      <c r="X28" s="3296"/>
      <c r="Y28" s="3053" t="s">
        <v>1630</v>
      </c>
      <c r="Z28" s="3058" t="str">
        <f>IF(V27=0,"",VLOOKUP(V27,Tablas!$K$1129:$M$1267,3,FALSE))</f>
        <v/>
      </c>
      <c r="AA28" s="4419"/>
      <c r="AB28" s="4410"/>
      <c r="AC28" s="210"/>
      <c r="AD28" s="4432"/>
      <c r="AE28" s="4433"/>
      <c r="AF28" s="4433"/>
      <c r="AG28" s="4433"/>
      <c r="AH28" s="4434"/>
      <c r="AI28" s="4408"/>
      <c r="AJ28" s="4425"/>
      <c r="AK28" s="4410" t="str">
        <f>IF(AD28&lt;&gt;"",INDEX(Tablas!$T$26:$T$38,MAX(1+MATCH(VLOOKUP(Psíquicos!$AD28,'Tablas psiquica'!$D$7:$U$145,18,FALSE),'Tablas psiquica'!$I$6:$R$6,0),MAX(SUMPRODUCT(--(Tablas!$S$26:$S$38&lt;=(AL28-20*AI28)))+IF(Tablas!$G$446&gt;0,1,0)+IF(COUNTIF($C$39:$E$50,"Introversión")&gt;0,1,0),SUMPRODUCT(--(Tablas!$S$26:$S$38&lt;=(AL28)))))),"")</f>
        <v/>
      </c>
      <c r="AL28" s="4474">
        <f t="shared" ref="AL28" si="5">$H$11+IF(ISNA(VLOOKUP(AD28,$V$11:$AB$64,7,FALSE)),0,IF(VLOOKUP(AD28,$V$11:$AB$64,7,FALSE)="",0,VLOOKUP(AD28,$V$11:$AB$64,7,FALSE)))+AI28*20+AJ28</f>
        <v>0</v>
      </c>
      <c r="AM28" s="1802"/>
      <c r="AQ28" s="1885"/>
    </row>
    <row r="29" spans="1:43" ht="12" customHeight="1" x14ac:dyDescent="0.2">
      <c r="A29" s="190"/>
      <c r="B29" s="1799"/>
      <c r="C29" s="4430"/>
      <c r="D29" s="4430"/>
      <c r="E29" s="4430"/>
      <c r="F29" s="4431" t="str">
        <f>IF(C29=0,"",VLOOKUP(C29,Tabla_DisciplinasPsi,2,FALSE))</f>
        <v/>
      </c>
      <c r="G29" s="4431"/>
      <c r="H29" s="4431"/>
      <c r="I29" s="4431"/>
      <c r="J29" s="4431"/>
      <c r="K29" s="4431"/>
      <c r="L29" s="4431"/>
      <c r="M29" s="4431"/>
      <c r="N29" s="4431"/>
      <c r="O29" s="4431"/>
      <c r="P29" s="4431"/>
      <c r="Q29" s="4431"/>
      <c r="R29" s="69"/>
      <c r="S29" s="56"/>
      <c r="T29" s="56"/>
      <c r="U29" s="1973">
        <f>IF(V29=0,0,1)</f>
        <v>0</v>
      </c>
      <c r="V29" s="4414"/>
      <c r="W29" s="4415"/>
      <c r="X29" s="4415"/>
      <c r="Y29" s="4415"/>
      <c r="Z29" s="4415"/>
      <c r="AA29" s="4416"/>
      <c r="AB29" s="4407" t="str">
        <f>IF(AA29=0,"",IF(AA29*10&lt;100,AA29*10,100))</f>
        <v/>
      </c>
      <c r="AC29" s="3067"/>
      <c r="AD29" s="4420" t="str">
        <f>IF(AD28=0,"",VLOOKUP(AD28,Tablas!$K$1129:$M$1267,2,FALSE))</f>
        <v/>
      </c>
      <c r="AE29" s="3390"/>
      <c r="AF29" s="3390"/>
      <c r="AG29" s="3053" t="s">
        <v>1630</v>
      </c>
      <c r="AH29" s="3058" t="str">
        <f>IF(AD28=0,"",VLOOKUP(AD28,Tablas!$K$1129:$M$1267,3,FALSE))</f>
        <v/>
      </c>
      <c r="AI29" s="4408"/>
      <c r="AJ29" s="4425"/>
      <c r="AK29" s="4410"/>
      <c r="AL29" s="4474"/>
      <c r="AM29" s="1802"/>
      <c r="AQ29" s="1885"/>
    </row>
    <row r="30" spans="1:43" ht="12" customHeight="1" x14ac:dyDescent="0.2">
      <c r="A30" s="190"/>
      <c r="B30" s="1799"/>
      <c r="C30" s="4430"/>
      <c r="D30" s="4430"/>
      <c r="E30" s="4430"/>
      <c r="F30" s="4431"/>
      <c r="G30" s="4431"/>
      <c r="H30" s="4431"/>
      <c r="I30" s="4431"/>
      <c r="J30" s="4431"/>
      <c r="K30" s="4431"/>
      <c r="L30" s="4431"/>
      <c r="M30" s="4431"/>
      <c r="N30" s="4431"/>
      <c r="O30" s="4431"/>
      <c r="P30" s="4431"/>
      <c r="Q30" s="4431"/>
      <c r="R30" s="69"/>
      <c r="S30" s="56"/>
      <c r="T30" s="56"/>
      <c r="U30" s="1973"/>
      <c r="V30" s="4411" t="str">
        <f>IF(V29=0,"",VLOOKUP(V29,Tablas!$K$1129:$M$1267,2,FALSE))</f>
        <v/>
      </c>
      <c r="W30" s="4412"/>
      <c r="X30" s="4412"/>
      <c r="Y30" s="3057" t="s">
        <v>1630</v>
      </c>
      <c r="Z30" s="3059" t="str">
        <f>IF(V29=0,"",VLOOKUP(V29,Tablas!$K$1129:$M$1267,3,FALSE))</f>
        <v/>
      </c>
      <c r="AA30" s="4416"/>
      <c r="AB30" s="4407"/>
      <c r="AC30" s="3068"/>
      <c r="AD30" s="4414"/>
      <c r="AE30" s="4415"/>
      <c r="AF30" s="4415"/>
      <c r="AG30" s="4415"/>
      <c r="AH30" s="4415"/>
      <c r="AI30" s="4413"/>
      <c r="AJ30" s="4426"/>
      <c r="AK30" s="4407" t="str">
        <f>IF(AD30&lt;&gt;"",INDEX(Tablas!$T$26:$T$38,MAX(1+MATCH(VLOOKUP(Psíquicos!$AD30,'Tablas psiquica'!$D$7:$U$145,18,FALSE),'Tablas psiquica'!$I$6:$R$6,0),MAX(SUMPRODUCT(--(Tablas!$S$26:$S$38&lt;=(AL30-20*AI30)))+IF(Tablas!$G$446&gt;0,1,0)+IF(COUNTIF($C$39:$E$50,"Introversión")&gt;0,1,0),SUMPRODUCT(--(Tablas!$S$26:$S$38&lt;=(AL30)))))),"")</f>
        <v/>
      </c>
      <c r="AL30" s="4474">
        <f t="shared" ref="AL30" si="6">$H$11+IF(ISNA(VLOOKUP(AD30,$V$11:$AB$64,7,FALSE)),0,IF(VLOOKUP(AD30,$V$11:$AB$64,7,FALSE)="",0,VLOOKUP(AD30,$V$11:$AB$64,7,FALSE)))+AI30*20+AJ30</f>
        <v>0</v>
      </c>
      <c r="AM30" s="1802"/>
      <c r="AQ30" s="1885"/>
    </row>
    <row r="31" spans="1:43" ht="12" customHeight="1" x14ac:dyDescent="0.2">
      <c r="A31" s="190"/>
      <c r="B31" s="1799"/>
      <c r="C31" s="4430"/>
      <c r="D31" s="4430"/>
      <c r="E31" s="4430"/>
      <c r="F31" s="4431" t="str">
        <f>IF(C31=0,"",VLOOKUP(C31,Tabla_DisciplinasPsi,2,FALSE))</f>
        <v/>
      </c>
      <c r="G31" s="4431"/>
      <c r="H31" s="4431"/>
      <c r="I31" s="4431"/>
      <c r="J31" s="4431"/>
      <c r="K31" s="4431"/>
      <c r="L31" s="4431"/>
      <c r="M31" s="4431"/>
      <c r="N31" s="4431"/>
      <c r="O31" s="4431"/>
      <c r="P31" s="4431"/>
      <c r="Q31" s="4431"/>
      <c r="R31" s="69"/>
      <c r="S31" s="56"/>
      <c r="T31" s="56"/>
      <c r="U31" s="1973">
        <f>IF(V31=0,0,1)</f>
        <v>0</v>
      </c>
      <c r="V31" s="4401"/>
      <c r="W31" s="4402"/>
      <c r="X31" s="4402"/>
      <c r="Y31" s="4402"/>
      <c r="Z31" s="4402"/>
      <c r="AA31" s="4419"/>
      <c r="AB31" s="4410" t="str">
        <f>IF(AA31=0,"",IF(AA31*10&lt;100,AA31*10,100))</f>
        <v/>
      </c>
      <c r="AC31" s="3068"/>
      <c r="AD31" s="4411" t="str">
        <f>IF(AD30=0,"",VLOOKUP(AD30,Tablas!$K$1129:$M$1267,2,FALSE))</f>
        <v/>
      </c>
      <c r="AE31" s="4429"/>
      <c r="AF31" s="4429"/>
      <c r="AG31" s="3057" t="s">
        <v>1630</v>
      </c>
      <c r="AH31" s="3059" t="str">
        <f>IF(AD30=0,"",VLOOKUP(AD30,Tablas!$K$1129:$M$1267,3,FALSE))</f>
        <v/>
      </c>
      <c r="AI31" s="4413"/>
      <c r="AJ31" s="4426"/>
      <c r="AK31" s="4407"/>
      <c r="AL31" s="4474"/>
      <c r="AM31" s="1802"/>
      <c r="AQ31" s="1885"/>
    </row>
    <row r="32" spans="1:43" ht="12" customHeight="1" x14ac:dyDescent="0.2">
      <c r="A32" s="190"/>
      <c r="B32" s="1799"/>
      <c r="C32" s="4430"/>
      <c r="D32" s="4430"/>
      <c r="E32" s="4430"/>
      <c r="F32" s="4431"/>
      <c r="G32" s="4431"/>
      <c r="H32" s="4431"/>
      <c r="I32" s="4431"/>
      <c r="J32" s="4431"/>
      <c r="K32" s="4431"/>
      <c r="L32" s="4431"/>
      <c r="M32" s="4431"/>
      <c r="N32" s="4431"/>
      <c r="O32" s="4431"/>
      <c r="P32" s="4431"/>
      <c r="Q32" s="4431"/>
      <c r="R32" s="69"/>
      <c r="S32" s="56"/>
      <c r="T32" s="56"/>
      <c r="U32" s="1973"/>
      <c r="V32" s="4420" t="str">
        <f>IF(V31=0,"",VLOOKUP(V31,Tablas!$K$1129:$M$1267,2,FALSE))</f>
        <v/>
      </c>
      <c r="W32" s="3296"/>
      <c r="X32" s="3296"/>
      <c r="Y32" s="3053" t="s">
        <v>1630</v>
      </c>
      <c r="Z32" s="3058" t="str">
        <f>IF(V31=0,"",VLOOKUP(V31,Tablas!$K$1129:$M$1267,3,FALSE))</f>
        <v/>
      </c>
      <c r="AA32" s="4419"/>
      <c r="AB32" s="4410"/>
      <c r="AC32" s="264"/>
      <c r="AD32" s="4432"/>
      <c r="AE32" s="4433"/>
      <c r="AF32" s="4433"/>
      <c r="AG32" s="4433"/>
      <c r="AH32" s="4434"/>
      <c r="AI32" s="4408"/>
      <c r="AJ32" s="4425"/>
      <c r="AK32" s="4410" t="str">
        <f>IF(AD32&lt;&gt;"",INDEX(Tablas!$T$26:$T$38,MAX(1+MATCH(VLOOKUP(Psíquicos!$AD32,'Tablas psiquica'!$D$7:$U$145,18,FALSE),'Tablas psiquica'!$I$6:$R$6,0),MAX(SUMPRODUCT(--(Tablas!$S$26:$S$38&lt;=(AL32-20*AI32)))+IF(Tablas!$G$446&gt;0,1,0)+IF(COUNTIF($C$39:$E$50,"Introversión")&gt;0,1,0),SUMPRODUCT(--(Tablas!$S$26:$S$38&lt;=(AL32)))))),"")</f>
        <v/>
      </c>
      <c r="AL32" s="4474">
        <f t="shared" ref="AL32" si="7">$H$11+IF(ISNA(VLOOKUP(AD32,$V$11:$AB$64,7,FALSE)),0,IF(VLOOKUP(AD32,$V$11:$AB$64,7,FALSE)="",0,VLOOKUP(AD32,$V$11:$AB$64,7,FALSE)))+AI32*20+AJ32</f>
        <v>0</v>
      </c>
      <c r="AM32" s="1802"/>
      <c r="AQ32" s="1885"/>
    </row>
    <row r="33" spans="1:43" ht="12" customHeight="1" x14ac:dyDescent="0.2">
      <c r="A33" s="190"/>
      <c r="B33" s="1799"/>
      <c r="C33" s="4430"/>
      <c r="D33" s="4430"/>
      <c r="E33" s="4430"/>
      <c r="F33" s="4431" t="str">
        <f>IF(C33=0,"",VLOOKUP(C33,Tabla_DisciplinasPsi,2,FALSE))</f>
        <v/>
      </c>
      <c r="G33" s="4431"/>
      <c r="H33" s="4431"/>
      <c r="I33" s="4431"/>
      <c r="J33" s="4431"/>
      <c r="K33" s="4431"/>
      <c r="L33" s="4431"/>
      <c r="M33" s="4431"/>
      <c r="N33" s="4431"/>
      <c r="O33" s="4431"/>
      <c r="P33" s="4431"/>
      <c r="Q33" s="4431"/>
      <c r="R33" s="69"/>
      <c r="S33" s="56"/>
      <c r="T33" s="56"/>
      <c r="U33" s="1973">
        <f>IF(V33=0,0,1)</f>
        <v>0</v>
      </c>
      <c r="V33" s="4414"/>
      <c r="W33" s="4415"/>
      <c r="X33" s="4415"/>
      <c r="Y33" s="4415"/>
      <c r="Z33" s="4415"/>
      <c r="AA33" s="4416"/>
      <c r="AB33" s="4407" t="str">
        <f>IF(AA33=0,"",IF(AA33*10&lt;100,AA33*10,100))</f>
        <v/>
      </c>
      <c r="AC33" s="264"/>
      <c r="AD33" s="4420" t="str">
        <f>IF(AD32=0,"",VLOOKUP(AD32,Tablas!$K$1129:$M$1267,2,FALSE))</f>
        <v/>
      </c>
      <c r="AE33" s="3390"/>
      <c r="AF33" s="3390"/>
      <c r="AG33" s="3053" t="s">
        <v>1630</v>
      </c>
      <c r="AH33" s="3058" t="str">
        <f>IF(AD32=0,"",VLOOKUP(AD32,Tablas!$K$1129:$M$1267,3,FALSE))</f>
        <v/>
      </c>
      <c r="AI33" s="4408"/>
      <c r="AJ33" s="4425"/>
      <c r="AK33" s="4410"/>
      <c r="AL33" s="4474"/>
      <c r="AM33" s="1802"/>
      <c r="AQ33" s="1885"/>
    </row>
    <row r="34" spans="1:43" ht="12" customHeight="1" x14ac:dyDescent="0.2">
      <c r="A34" s="190"/>
      <c r="B34" s="1799"/>
      <c r="C34" s="4430"/>
      <c r="D34" s="4430"/>
      <c r="E34" s="4430"/>
      <c r="F34" s="4431"/>
      <c r="G34" s="4431"/>
      <c r="H34" s="4431"/>
      <c r="I34" s="4431"/>
      <c r="J34" s="4431"/>
      <c r="K34" s="4431"/>
      <c r="L34" s="4431"/>
      <c r="M34" s="4431"/>
      <c r="N34" s="4431"/>
      <c r="O34" s="4431"/>
      <c r="P34" s="4431"/>
      <c r="Q34" s="4431"/>
      <c r="R34" s="69"/>
      <c r="S34" s="56"/>
      <c r="T34" s="56"/>
      <c r="U34" s="1973"/>
      <c r="V34" s="4411" t="str">
        <f>IF(V33=0,"",VLOOKUP(V33,Tablas!$K$1129:$M$1267,2,FALSE))</f>
        <v/>
      </c>
      <c r="W34" s="4412"/>
      <c r="X34" s="4412"/>
      <c r="Y34" s="3057" t="s">
        <v>1630</v>
      </c>
      <c r="Z34" s="3059" t="str">
        <f>IF(V33=0,"",VLOOKUP(V33,Tablas!$K$1129:$M$1267,3,FALSE))</f>
        <v/>
      </c>
      <c r="AA34" s="4416"/>
      <c r="AB34" s="4407"/>
      <c r="AC34" s="2568"/>
      <c r="AD34" s="4414"/>
      <c r="AE34" s="4415"/>
      <c r="AF34" s="4415"/>
      <c r="AG34" s="4415"/>
      <c r="AH34" s="4415"/>
      <c r="AI34" s="4413"/>
      <c r="AJ34" s="4426"/>
      <c r="AK34" s="4407" t="str">
        <f>IF(AD34&lt;&gt;"",INDEX(Tablas!$T$26:$T$38,MAX(1+MATCH(VLOOKUP(Psíquicos!$AD34,'Tablas psiquica'!$D$7:$U$145,18,FALSE),'Tablas psiquica'!$I$6:$R$6,0),MAX(SUMPRODUCT(--(Tablas!$S$26:$S$38&lt;=(AL34-20*AI34)))+IF(Tablas!$G$446&gt;0,1,0)+IF(COUNTIF($C$39:$E$50,"Introversión")&gt;0,1,0),SUMPRODUCT(--(Tablas!$S$26:$S$38&lt;=(AL34)))))),"")</f>
        <v/>
      </c>
      <c r="AL34" s="4474">
        <f t="shared" ref="AL34" si="8">$H$11+IF(ISNA(VLOOKUP(AD34,$V$11:$AB$64,7,FALSE)),0,IF(VLOOKUP(AD34,$V$11:$AB$64,7,FALSE)="",0,VLOOKUP(AD34,$V$11:$AB$64,7,FALSE)))+AI34*20+AJ34</f>
        <v>0</v>
      </c>
      <c r="AM34" s="1802"/>
      <c r="AQ34" s="1885"/>
    </row>
    <row r="35" spans="1:43" ht="12" customHeight="1" thickBot="1" x14ac:dyDescent="0.25">
      <c r="A35" s="190"/>
      <c r="B35" s="1799"/>
      <c r="C35" s="4435"/>
      <c r="D35" s="4435"/>
      <c r="E35" s="4435"/>
      <c r="F35" s="4436" t="str">
        <f>IF(C35=0,"",VLOOKUP(C35,Tabla_DisciplinasPsi,2,FALSE))</f>
        <v/>
      </c>
      <c r="G35" s="4436"/>
      <c r="H35" s="4436"/>
      <c r="I35" s="4436"/>
      <c r="J35" s="4436"/>
      <c r="K35" s="4436"/>
      <c r="L35" s="4436"/>
      <c r="M35" s="4436"/>
      <c r="N35" s="4436"/>
      <c r="O35" s="4436"/>
      <c r="P35" s="4436"/>
      <c r="Q35" s="4436"/>
      <c r="R35" s="69"/>
      <c r="S35" s="56"/>
      <c r="T35" s="56"/>
      <c r="U35" s="1973">
        <f>IF(V35=0,0,1)</f>
        <v>0</v>
      </c>
      <c r="V35" s="4401"/>
      <c r="W35" s="4402"/>
      <c r="X35" s="4402"/>
      <c r="Y35" s="4402"/>
      <c r="Z35" s="4402"/>
      <c r="AA35" s="4419"/>
      <c r="AB35" s="4410" t="str">
        <f>IF(AA35=0,"",IF(AA35*10&lt;100,AA35*10,100))</f>
        <v/>
      </c>
      <c r="AC35" s="3068"/>
      <c r="AD35" s="4411" t="str">
        <f>IF(AD34=0,"",VLOOKUP(AD34,Tablas!$K$1129:$M$1267,2,FALSE))</f>
        <v/>
      </c>
      <c r="AE35" s="4429"/>
      <c r="AF35" s="4429"/>
      <c r="AG35" s="3057" t="s">
        <v>1630</v>
      </c>
      <c r="AH35" s="3059" t="str">
        <f>IF(AD34=0,"",VLOOKUP(AD34,Tablas!$K$1129:$M$1267,3,FALSE))</f>
        <v/>
      </c>
      <c r="AI35" s="4413"/>
      <c r="AJ35" s="4426"/>
      <c r="AK35" s="4407"/>
      <c r="AL35" s="4474"/>
      <c r="AM35" s="1802"/>
      <c r="AQ35" s="1885"/>
    </row>
    <row r="36" spans="1:43" ht="12" customHeight="1" thickBot="1" x14ac:dyDescent="0.25">
      <c r="A36" s="190"/>
      <c r="B36" s="1799"/>
      <c r="C36" s="4435"/>
      <c r="D36" s="4435"/>
      <c r="E36" s="4435"/>
      <c r="F36" s="4436"/>
      <c r="G36" s="4436"/>
      <c r="H36" s="4436"/>
      <c r="I36" s="4436"/>
      <c r="J36" s="4436"/>
      <c r="K36" s="4436"/>
      <c r="L36" s="4436"/>
      <c r="M36" s="4436"/>
      <c r="N36" s="4436"/>
      <c r="O36" s="4436"/>
      <c r="P36" s="4436"/>
      <c r="Q36" s="4436"/>
      <c r="R36" s="69"/>
      <c r="S36" s="56"/>
      <c r="T36" s="56"/>
      <c r="U36" s="1973"/>
      <c r="V36" s="4420" t="str">
        <f>IF(V35=0,"",VLOOKUP(V35,Tablas!$K$1129:$M$1267,2,FALSE))</f>
        <v/>
      </c>
      <c r="W36" s="3296"/>
      <c r="X36" s="3296"/>
      <c r="Y36" s="3053" t="s">
        <v>1630</v>
      </c>
      <c r="Z36" s="3058" t="str">
        <f>IF(V35=0,"",VLOOKUP(V35,Tablas!$K$1129:$M$1267,3,FALSE))</f>
        <v/>
      </c>
      <c r="AA36" s="4419"/>
      <c r="AB36" s="4410"/>
      <c r="AC36" s="3068"/>
      <c r="AD36" s="4432"/>
      <c r="AE36" s="4433"/>
      <c r="AF36" s="4433"/>
      <c r="AG36" s="4433"/>
      <c r="AH36" s="4434"/>
      <c r="AI36" s="4408"/>
      <c r="AJ36" s="4425"/>
      <c r="AK36" s="4410" t="str">
        <f>IF(AD36&lt;&gt;"",INDEX(Tablas!$T$26:$T$38,MAX(1+MATCH(VLOOKUP(Psíquicos!$AD36,'Tablas psiquica'!$D$7:$U$145,18,FALSE),'Tablas psiquica'!$I$6:$R$6,0),MAX(SUMPRODUCT(--(Tablas!$S$26:$S$38&lt;=(AL36-20*AI36)))+IF(Tablas!$G$446&gt;0,1,0)+IF(COUNTIF($C$39:$E$50,"Introversión")&gt;0,1,0),SUMPRODUCT(--(Tablas!$S$26:$S$38&lt;=(AL36)))))),"")</f>
        <v/>
      </c>
      <c r="AL36" s="4474">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14"/>
      <c r="W37" s="4415"/>
      <c r="X37" s="4415"/>
      <c r="Y37" s="4415"/>
      <c r="Z37" s="4415"/>
      <c r="AA37" s="4416"/>
      <c r="AB37" s="4407" t="str">
        <f>IF(AA37=0,"",IF(AA37*10&lt;100,AA37*10,100))</f>
        <v/>
      </c>
      <c r="AC37" s="210"/>
      <c r="AD37" s="4420" t="str">
        <f>IF(AD36=0,"",VLOOKUP(AD36,Tablas!$K$1129:$M$1267,2,FALSE))</f>
        <v/>
      </c>
      <c r="AE37" s="3390"/>
      <c r="AF37" s="3390"/>
      <c r="AG37" s="3053" t="s">
        <v>1630</v>
      </c>
      <c r="AH37" s="3058" t="str">
        <f>IF(AD36=0,"",VLOOKUP(AD36,Tablas!$K$1129:$M$1267,3,FALSE))</f>
        <v/>
      </c>
      <c r="AI37" s="4408"/>
      <c r="AJ37" s="4425"/>
      <c r="AK37" s="4410"/>
      <c r="AL37" s="4474"/>
      <c r="AM37" s="1802"/>
      <c r="AQ37" s="1885"/>
    </row>
    <row r="38" spans="1:43" ht="12" customHeight="1" thickBot="1" x14ac:dyDescent="0.25">
      <c r="A38" s="190"/>
      <c r="B38" s="1799"/>
      <c r="C38" s="3169" t="s">
        <v>1839</v>
      </c>
      <c r="D38" s="3169"/>
      <c r="E38" s="3169"/>
      <c r="F38" s="3929" t="s">
        <v>2153</v>
      </c>
      <c r="G38" s="3929"/>
      <c r="H38" s="3929"/>
      <c r="I38" s="3929"/>
      <c r="J38" s="3929"/>
      <c r="K38" s="3929"/>
      <c r="L38" s="3929"/>
      <c r="M38" s="3929"/>
      <c r="N38" s="3929"/>
      <c r="O38" s="3929"/>
      <c r="P38" s="3929"/>
      <c r="Q38" s="3929"/>
      <c r="R38" s="69"/>
      <c r="S38" s="56"/>
      <c r="T38" s="56"/>
      <c r="U38" s="1973"/>
      <c r="V38" s="4411" t="str">
        <f>IF(V37=0,"",VLOOKUP(V37,Tablas!$K$1129:$M$1267,2,FALSE))</f>
        <v/>
      </c>
      <c r="W38" s="4412"/>
      <c r="X38" s="4412"/>
      <c r="Y38" s="3057" t="s">
        <v>1630</v>
      </c>
      <c r="Z38" s="3059" t="str">
        <f>IF(V37=0,"",VLOOKUP(V37,Tablas!$K$1129:$M$1267,3,FALSE))</f>
        <v/>
      </c>
      <c r="AA38" s="4416"/>
      <c r="AB38" s="4407"/>
      <c r="AC38" s="3067"/>
      <c r="AD38" s="4414"/>
      <c r="AE38" s="4415"/>
      <c r="AF38" s="4415"/>
      <c r="AG38" s="4415"/>
      <c r="AH38" s="4415"/>
      <c r="AI38" s="4413"/>
      <c r="AJ38" s="4426"/>
      <c r="AK38" s="4407" t="str">
        <f>IF(AD38&lt;&gt;"",INDEX(Tablas!$T$26:$T$38,MAX(1+MATCH(VLOOKUP(Psíquicos!$AD38,'Tablas psiquica'!$D$7:$U$145,18,FALSE),'Tablas psiquica'!$I$6:$R$6,0),MAX(SUMPRODUCT(--(Tablas!$S$26:$S$38&lt;=(AL38-20*AI38)))+IF(Tablas!$G$446&gt;0,1,0)+IF(COUNTIF($C$39:$E$50,"Introversión")&gt;0,1,0),SUMPRODUCT(--(Tablas!$S$26:$S$38&lt;=(AL38)))))),"")</f>
        <v/>
      </c>
      <c r="AL38" s="4474">
        <f t="shared" ref="AL38" si="10">$H$11+IF(ISNA(VLOOKUP(AD38,$V$11:$AB$64,7,FALSE)),0,IF(VLOOKUP(AD38,$V$11:$AB$64,7,FALSE)="",0,VLOOKUP(AD38,$V$11:$AB$64,7,FALSE)))+AI38*20+AJ38</f>
        <v>0</v>
      </c>
      <c r="AM38" s="1802"/>
      <c r="AQ38" s="1885"/>
    </row>
    <row r="39" spans="1:43" ht="12" customHeight="1" thickBot="1" x14ac:dyDescent="0.25">
      <c r="A39" s="190"/>
      <c r="B39" s="1799"/>
      <c r="C39" s="4427" t="str">
        <f>IF(PDs!E111=0,"",PDs!E111)</f>
        <v/>
      </c>
      <c r="D39" s="4427"/>
      <c r="E39" s="4427"/>
      <c r="F39" s="4428" t="str">
        <f>IF(C39="","",VLOOKUP(C39,Tablas!$D$1072:$R$1087,15,FALSE))</f>
        <v/>
      </c>
      <c r="G39" s="4428"/>
      <c r="H39" s="4428"/>
      <c r="I39" s="4428"/>
      <c r="J39" s="4428"/>
      <c r="K39" s="4428"/>
      <c r="L39" s="4428"/>
      <c r="M39" s="4428"/>
      <c r="N39" s="4428"/>
      <c r="O39" s="4428"/>
      <c r="P39" s="4428"/>
      <c r="Q39" s="4428"/>
      <c r="R39" s="69"/>
      <c r="S39" s="56"/>
      <c r="T39" s="56"/>
      <c r="U39" s="1973">
        <f>IF(V39=0,0,1)</f>
        <v>0</v>
      </c>
      <c r="V39" s="4401"/>
      <c r="W39" s="4402"/>
      <c r="X39" s="4402"/>
      <c r="Y39" s="4402"/>
      <c r="Z39" s="4402"/>
      <c r="AA39" s="4419"/>
      <c r="AB39" s="4410" t="str">
        <f>IF(AA39=0,"",IF(AA39*10&lt;100,AA39*10,100))</f>
        <v/>
      </c>
      <c r="AC39" s="3068"/>
      <c r="AD39" s="4411" t="str">
        <f>IF(AD38=0,"",VLOOKUP(AD38,Tablas!$K$1129:$M$1267,2,FALSE))</f>
        <v/>
      </c>
      <c r="AE39" s="4412"/>
      <c r="AF39" s="4412"/>
      <c r="AG39" s="3057" t="s">
        <v>1630</v>
      </c>
      <c r="AH39" s="3059" t="str">
        <f>IF(AD38=0,"",VLOOKUP(AD38,Tablas!$K$1129:$M$1267,3,FALSE))</f>
        <v/>
      </c>
      <c r="AI39" s="4413"/>
      <c r="AJ39" s="4426"/>
      <c r="AK39" s="4407"/>
      <c r="AL39" s="4474"/>
      <c r="AM39" s="1802"/>
      <c r="AQ39" s="1885"/>
    </row>
    <row r="40" spans="1:43" ht="12" customHeight="1" x14ac:dyDescent="0.2">
      <c r="A40" s="190"/>
      <c r="B40" s="1799"/>
      <c r="C40" s="4427"/>
      <c r="D40" s="4427"/>
      <c r="E40" s="4427"/>
      <c r="F40" s="3766" t="str">
        <f>IF(C39="","",VLOOKUP(C39,Tablas!$D$1072:$R$1087,7,FALSE))</f>
        <v/>
      </c>
      <c r="G40" s="3766"/>
      <c r="H40" s="3766"/>
      <c r="I40" s="3766"/>
      <c r="J40" s="3766"/>
      <c r="K40" s="3766"/>
      <c r="L40" s="3766"/>
      <c r="M40" s="3766"/>
      <c r="N40" s="3766"/>
      <c r="O40" s="3766"/>
      <c r="P40" s="3766"/>
      <c r="Q40" s="3766"/>
      <c r="R40" s="69"/>
      <c r="S40" s="56"/>
      <c r="T40" s="56"/>
      <c r="U40" s="1973"/>
      <c r="V40" s="4420" t="str">
        <f>IF(V39=0,"",VLOOKUP(V39,Tablas!$K$1129:$M$1267,2,FALSE))</f>
        <v/>
      </c>
      <c r="W40" s="3296"/>
      <c r="X40" s="3296"/>
      <c r="Y40" s="3053" t="s">
        <v>1630</v>
      </c>
      <c r="Z40" s="3058" t="str">
        <f>IF(V39=0,"",VLOOKUP(V39,Tablas!$K$1129:$M$1267,3,FALSE))</f>
        <v/>
      </c>
      <c r="AA40" s="4419"/>
      <c r="AB40" s="4410"/>
      <c r="AC40" s="3068"/>
      <c r="AD40" s="4401"/>
      <c r="AE40" s="4402"/>
      <c r="AF40" s="4402"/>
      <c r="AG40" s="4402"/>
      <c r="AH40" s="4402"/>
      <c r="AI40" s="4408"/>
      <c r="AJ40" s="4425"/>
      <c r="AK40" s="4410" t="str">
        <f>IF(AD40&lt;&gt;"",INDEX(Tablas!$T$26:$T$38,MAX(1+MATCH(VLOOKUP(Psíquicos!$AD40,'Tablas psiquica'!$D$7:$U$145,18,FALSE),'Tablas psiquica'!$I$6:$R$6,0),MAX(SUMPRODUCT(--(Tablas!$S$26:$S$38&lt;=(AL40-20*AI40)))+IF(Tablas!$G$446&gt;0,1,0)+IF(COUNTIF($C$39:$E$50,"Introversión")&gt;0,1,0),SUMPRODUCT(--(Tablas!$S$26:$S$38&lt;=(AL40)))))),"")</f>
        <v/>
      </c>
      <c r="AL40" s="4474">
        <f t="shared" ref="AL40" si="11">$H$11+IF(ISNA(VLOOKUP(AD40,$V$11:$AB$64,7,FALSE)),0,IF(VLOOKUP(AD40,$V$11:$AB$64,7,FALSE)="",0,VLOOKUP(AD40,$V$11:$AB$64,7,FALSE)))+AI40*20+AJ40</f>
        <v>0</v>
      </c>
      <c r="AM40" s="1802"/>
      <c r="AQ40" s="1885"/>
    </row>
    <row r="41" spans="1:43" ht="12" customHeight="1" x14ac:dyDescent="0.2">
      <c r="A41" s="190"/>
      <c r="B41" s="1799"/>
      <c r="C41" s="4421" t="str">
        <f>IF(PDs!E112=0,"",PDs!E112)</f>
        <v/>
      </c>
      <c r="D41" s="4421"/>
      <c r="E41" s="4421"/>
      <c r="F41" s="3766" t="str">
        <f>IF(C41="","",VLOOKUP(C41,Tablas!$D$1072:$R$1087,15,FALSE))</f>
        <v/>
      </c>
      <c r="G41" s="3766"/>
      <c r="H41" s="3766"/>
      <c r="I41" s="3766"/>
      <c r="J41" s="3766"/>
      <c r="K41" s="3766"/>
      <c r="L41" s="3766"/>
      <c r="M41" s="3766"/>
      <c r="N41" s="3766"/>
      <c r="O41" s="3766"/>
      <c r="P41" s="3766"/>
      <c r="Q41" s="3766"/>
      <c r="R41" s="69"/>
      <c r="S41" s="56"/>
      <c r="T41" s="56"/>
      <c r="U41" s="1973">
        <f>IF(V41=0,0,1)</f>
        <v>0</v>
      </c>
      <c r="V41" s="4414"/>
      <c r="W41" s="4415"/>
      <c r="X41" s="4415"/>
      <c r="Y41" s="4415"/>
      <c r="Z41" s="4415"/>
      <c r="AA41" s="4416"/>
      <c r="AB41" s="4407" t="str">
        <f>IF(AA41=0,"",IF(AA41*10&lt;100,AA41*10,100))</f>
        <v/>
      </c>
      <c r="AC41" s="264"/>
      <c r="AD41" s="4420" t="str">
        <f>IF(AD40=0,"",VLOOKUP(AD40,Tablas!$K$1129:$M$1267,2,FALSE))</f>
        <v/>
      </c>
      <c r="AE41" s="3296"/>
      <c r="AF41" s="3296"/>
      <c r="AG41" s="3053" t="s">
        <v>1630</v>
      </c>
      <c r="AH41" s="3058" t="str">
        <f>IF(AD40=0,"",VLOOKUP(AD40,Tablas!$K$1129:$M$1267,3,FALSE))</f>
        <v/>
      </c>
      <c r="AI41" s="4408"/>
      <c r="AJ41" s="4425"/>
      <c r="AK41" s="4410"/>
      <c r="AL41" s="4474"/>
      <c r="AM41" s="1802"/>
      <c r="AQ41" s="1885"/>
    </row>
    <row r="42" spans="1:43" ht="12" customHeight="1" x14ac:dyDescent="0.2">
      <c r="A42" s="190"/>
      <c r="B42" s="1799"/>
      <c r="C42" s="4421"/>
      <c r="D42" s="4421"/>
      <c r="E42" s="4421"/>
      <c r="F42" s="3766" t="str">
        <f>IF(C41="","",VLOOKUP(C41,Tablas!$D$1072:$R$1087,7,FALSE))</f>
        <v/>
      </c>
      <c r="G42" s="3766"/>
      <c r="H42" s="3766"/>
      <c r="I42" s="3766"/>
      <c r="J42" s="3766"/>
      <c r="K42" s="3766"/>
      <c r="L42" s="3766"/>
      <c r="M42" s="3766"/>
      <c r="N42" s="3766"/>
      <c r="O42" s="3766"/>
      <c r="P42" s="3766"/>
      <c r="Q42" s="3766"/>
      <c r="R42" s="69"/>
      <c r="S42" s="56"/>
      <c r="T42" s="56"/>
      <c r="U42" s="1973"/>
      <c r="V42" s="4411" t="str">
        <f>IF(V41=0,"",VLOOKUP(V41,Tablas!$K$1129:$M$1267,2,FALSE))</f>
        <v/>
      </c>
      <c r="W42" s="4412"/>
      <c r="X42" s="4412"/>
      <c r="Y42" s="3057" t="s">
        <v>1630</v>
      </c>
      <c r="Z42" s="3059" t="str">
        <f>IF(V41=0,"",VLOOKUP(V41,Tablas!$K$1129:$M$1267,3,FALSE))</f>
        <v/>
      </c>
      <c r="AA42" s="4416"/>
      <c r="AB42" s="4407"/>
      <c r="AC42" s="264"/>
      <c r="AD42" s="4414"/>
      <c r="AE42" s="4415"/>
      <c r="AF42" s="4415"/>
      <c r="AG42" s="4415"/>
      <c r="AH42" s="4415"/>
      <c r="AI42" s="4413"/>
      <c r="AJ42" s="4426"/>
      <c r="AK42" s="4407" t="str">
        <f>IF(AD42&lt;&gt;"",INDEX(Tablas!$T$26:$T$38,MAX(1+MATCH(VLOOKUP(Psíquicos!$AD42,'Tablas psiquica'!$D$7:$U$145,18,FALSE),'Tablas psiquica'!$I$6:$R$6,0),MAX(SUMPRODUCT(--(Tablas!$S$26:$S$38&lt;=(AL42-20*AI42)))+IF(Tablas!$G$446&gt;0,1,0)+IF(COUNTIF($C$39:$E$50,"Introversión")&gt;0,1,0),SUMPRODUCT(--(Tablas!$S$26:$S$38&lt;=(AL42)))))),"")</f>
        <v/>
      </c>
      <c r="AL42" s="4474">
        <f t="shared" ref="AL42" si="12">$H$11+IF(ISNA(VLOOKUP(AD42,$V$11:$AB$64,7,FALSE)),0,IF(VLOOKUP(AD42,$V$11:$AB$64,7,FALSE)="",0,VLOOKUP(AD42,$V$11:$AB$64,7,FALSE)))+AI42*20+AJ42</f>
        <v>0</v>
      </c>
      <c r="AM42" s="1802"/>
      <c r="AQ42" s="1885"/>
    </row>
    <row r="43" spans="1:43" ht="12" customHeight="1" x14ac:dyDescent="0.2">
      <c r="A43" s="190"/>
      <c r="B43" s="1799"/>
      <c r="C43" s="4421" t="str">
        <f>IF(PDs!E113=0,"",PDs!E113)</f>
        <v/>
      </c>
      <c r="D43" s="4421"/>
      <c r="E43" s="4421"/>
      <c r="F43" s="3766" t="str">
        <f>IF(C43="","",VLOOKUP(C43,Tablas!$D$1072:$R$1087,15,FALSE))</f>
        <v/>
      </c>
      <c r="G43" s="3766"/>
      <c r="H43" s="3766"/>
      <c r="I43" s="3766"/>
      <c r="J43" s="3766"/>
      <c r="K43" s="3766"/>
      <c r="L43" s="3766"/>
      <c r="M43" s="3766"/>
      <c r="N43" s="3766"/>
      <c r="O43" s="3766"/>
      <c r="P43" s="3766"/>
      <c r="Q43" s="3766"/>
      <c r="R43" s="69"/>
      <c r="S43" s="56"/>
      <c r="T43" s="56"/>
      <c r="U43" s="1973">
        <f>IF(V43=0,0,1)</f>
        <v>0</v>
      </c>
      <c r="V43" s="4401"/>
      <c r="W43" s="4402"/>
      <c r="X43" s="4402"/>
      <c r="Y43" s="4402"/>
      <c r="Z43" s="4402"/>
      <c r="AA43" s="4419"/>
      <c r="AB43" s="4410" t="str">
        <f>IF(AA43=0,"",IF(AA43*10&lt;100,AA43*10,100))</f>
        <v/>
      </c>
      <c r="AC43" s="2568"/>
      <c r="AD43" s="4411" t="str">
        <f>IF(AD42=0,"",VLOOKUP(AD42,Tablas!$K$1129:$M$1267,2,FALSE))</f>
        <v/>
      </c>
      <c r="AE43" s="4412"/>
      <c r="AF43" s="4412"/>
      <c r="AG43" s="3057" t="s">
        <v>1630</v>
      </c>
      <c r="AH43" s="3059" t="str">
        <f>IF(AD42=0,"",VLOOKUP(AD42,Tablas!$K$1129:$M$1267,3,FALSE))</f>
        <v/>
      </c>
      <c r="AI43" s="4413"/>
      <c r="AJ43" s="4426"/>
      <c r="AK43" s="4407"/>
      <c r="AL43" s="4474"/>
      <c r="AM43" s="1802"/>
      <c r="AQ43" s="1885"/>
    </row>
    <row r="44" spans="1:43" ht="12" customHeight="1" x14ac:dyDescent="0.2">
      <c r="A44" s="190"/>
      <c r="B44" s="1799"/>
      <c r="C44" s="4421"/>
      <c r="D44" s="4421"/>
      <c r="E44" s="4421"/>
      <c r="F44" s="3766" t="str">
        <f>IF(C43="","",VLOOKUP(C43,Tablas!$D$1072:$R$1087,7,FALSE))</f>
        <v/>
      </c>
      <c r="G44" s="3766"/>
      <c r="H44" s="3766"/>
      <c r="I44" s="3766"/>
      <c r="J44" s="3766"/>
      <c r="K44" s="3766"/>
      <c r="L44" s="3766"/>
      <c r="M44" s="3766"/>
      <c r="N44" s="3766"/>
      <c r="O44" s="3766"/>
      <c r="P44" s="3766"/>
      <c r="Q44" s="3766"/>
      <c r="R44" s="69"/>
      <c r="S44" s="56"/>
      <c r="T44" s="56"/>
      <c r="U44" s="1973"/>
      <c r="V44" s="4420" t="str">
        <f>IF(V43=0,"",VLOOKUP(V43,Tablas!$K$1129:$M$1267,2,FALSE))</f>
        <v/>
      </c>
      <c r="W44" s="3296"/>
      <c r="X44" s="3296"/>
      <c r="Y44" s="3053" t="s">
        <v>1630</v>
      </c>
      <c r="Z44" s="3058" t="str">
        <f>IF(V43=0,"",VLOOKUP(V43,Tablas!$K$1129:$M$1267,3,FALSE))</f>
        <v/>
      </c>
      <c r="AA44" s="4419"/>
      <c r="AB44" s="4410"/>
      <c r="AC44" s="100"/>
      <c r="AD44" s="4401"/>
      <c r="AE44" s="4402"/>
      <c r="AF44" s="4402"/>
      <c r="AG44" s="4402"/>
      <c r="AH44" s="4402"/>
      <c r="AI44" s="4408"/>
      <c r="AJ44" s="4425"/>
      <c r="AK44" s="4410" t="str">
        <f>IF(AD44&lt;&gt;"",INDEX(Tablas!$T$26:$T$38,MAX(1+MATCH(VLOOKUP(Psíquicos!$AD44,'Tablas psiquica'!$D$7:$U$145,18,FALSE),'Tablas psiquica'!$I$6:$R$6,0),MAX(SUMPRODUCT(--(Tablas!$S$26:$S$38&lt;=(AL44-20*AI44)))+IF(Tablas!$G$446&gt;0,1,0)+IF(COUNTIF($C$39:$E$50,"Introversión")&gt;0,1,0),SUMPRODUCT(--(Tablas!$S$26:$S$38&lt;=(AL44)))))),"")</f>
        <v/>
      </c>
      <c r="AL44" s="4474">
        <f t="shared" ref="AL44" si="13">$H$11+IF(ISNA(VLOOKUP(AD44,$V$11:$AB$64,7,FALSE)),0,IF(VLOOKUP(AD44,$V$11:$AB$64,7,FALSE)="",0,VLOOKUP(AD44,$V$11:$AB$64,7,FALSE)))+AI44*20+AJ44</f>
        <v>0</v>
      </c>
      <c r="AM44" s="1802"/>
      <c r="AQ44" s="1885"/>
    </row>
    <row r="45" spans="1:43" ht="12" customHeight="1" x14ac:dyDescent="0.2">
      <c r="A45" s="190"/>
      <c r="B45" s="1799"/>
      <c r="C45" s="4421" t="str">
        <f>IF(PDs!E114=0,"",PDs!E114)</f>
        <v/>
      </c>
      <c r="D45" s="4421"/>
      <c r="E45" s="4421"/>
      <c r="F45" s="3766" t="str">
        <f>IF(C45="","",VLOOKUP(C45,Tablas!$D$1072:$R$1087,15,FALSE))</f>
        <v/>
      </c>
      <c r="G45" s="3766"/>
      <c r="H45" s="3766"/>
      <c r="I45" s="3766"/>
      <c r="J45" s="3766"/>
      <c r="K45" s="3766"/>
      <c r="L45" s="3766"/>
      <c r="M45" s="3766"/>
      <c r="N45" s="3766"/>
      <c r="O45" s="3766"/>
      <c r="P45" s="3766"/>
      <c r="Q45" s="3766"/>
      <c r="R45" s="69"/>
      <c r="S45" s="56"/>
      <c r="T45" s="56"/>
      <c r="U45" s="1973">
        <f>IF(V45=0,0,1)</f>
        <v>0</v>
      </c>
      <c r="V45" s="4414"/>
      <c r="W45" s="4415"/>
      <c r="X45" s="4415"/>
      <c r="Y45" s="4415"/>
      <c r="Z45" s="4415"/>
      <c r="AA45" s="4416"/>
      <c r="AB45" s="4407" t="str">
        <f>IF(AA45=0,"",IF(AA45*10&lt;100,AA45*10,100))</f>
        <v/>
      </c>
      <c r="AC45" s="100"/>
      <c r="AD45" s="4420" t="str">
        <f>IF(AD44=0,"",VLOOKUP(AD44,Tablas!$K$1129:$M$1267,2,FALSE))</f>
        <v/>
      </c>
      <c r="AE45" s="3296"/>
      <c r="AF45" s="3296"/>
      <c r="AG45" s="3053" t="s">
        <v>1630</v>
      </c>
      <c r="AH45" s="3058" t="str">
        <f>IF(AD44=0,"",VLOOKUP(AD44,Tablas!$K$1129:$M$1267,3,FALSE))</f>
        <v/>
      </c>
      <c r="AI45" s="4408"/>
      <c r="AJ45" s="4425"/>
      <c r="AK45" s="4410"/>
      <c r="AL45" s="4474"/>
      <c r="AM45" s="1802"/>
      <c r="AQ45" s="1885"/>
    </row>
    <row r="46" spans="1:43" ht="12" customHeight="1" x14ac:dyDescent="0.2">
      <c r="A46" s="190"/>
      <c r="B46" s="1799"/>
      <c r="C46" s="4421"/>
      <c r="D46" s="4421"/>
      <c r="E46" s="4421"/>
      <c r="F46" s="3766" t="str">
        <f>IF(C45="","",VLOOKUP(C45,Tablas!$D$1072:$R$1087,7,FALSE))</f>
        <v/>
      </c>
      <c r="G46" s="3766"/>
      <c r="H46" s="3766"/>
      <c r="I46" s="3766"/>
      <c r="J46" s="3766"/>
      <c r="K46" s="3766"/>
      <c r="L46" s="3766"/>
      <c r="M46" s="3766"/>
      <c r="N46" s="3766"/>
      <c r="O46" s="3766"/>
      <c r="P46" s="3766"/>
      <c r="Q46" s="3766"/>
      <c r="R46" s="69"/>
      <c r="S46" s="56"/>
      <c r="T46" s="56"/>
      <c r="U46" s="1973"/>
      <c r="V46" s="4411" t="str">
        <f>IF(V45=0,"",VLOOKUP(V45,Tablas!$K$1129:$M$1267,2,FALSE))</f>
        <v/>
      </c>
      <c r="W46" s="4412"/>
      <c r="X46" s="4412"/>
      <c r="Y46" s="3057" t="s">
        <v>1630</v>
      </c>
      <c r="Z46" s="3059" t="str">
        <f>IF(V45=0,"",VLOOKUP(V45,Tablas!$K$1129:$M$1267,3,FALSE))</f>
        <v/>
      </c>
      <c r="AA46" s="4416"/>
      <c r="AB46" s="4407"/>
      <c r="AC46" s="100"/>
      <c r="AD46" s="4414"/>
      <c r="AE46" s="4415"/>
      <c r="AF46" s="4415"/>
      <c r="AG46" s="4415"/>
      <c r="AH46" s="4415"/>
      <c r="AI46" s="4413"/>
      <c r="AJ46" s="4426"/>
      <c r="AK46" s="4407" t="str">
        <f>IF(AD46&lt;&gt;"",INDEX(Tablas!$T$26:$T$38,MAX(1+MATCH(VLOOKUP(Psíquicos!$AD46,'Tablas psiquica'!$D$7:$U$145,18,FALSE),'Tablas psiquica'!$I$6:$R$6,0),MAX(SUMPRODUCT(--(Tablas!$S$26:$S$38&lt;=(AL46-20*AI46)))+IF(Tablas!$G$446&gt;0,1,0)+IF(COUNTIF($C$39:$E$50,"Introversión")&gt;0,1,0),SUMPRODUCT(--(Tablas!$S$26:$S$38&lt;=(AL46)))))),"")</f>
        <v/>
      </c>
      <c r="AL46" s="4474">
        <f t="shared" ref="AL46" si="14">$H$11+IF(ISNA(VLOOKUP(AD46,$V$11:$AB$64,7,FALSE)),0,IF(VLOOKUP(AD46,$V$11:$AB$64,7,FALSE)="",0,VLOOKUP(AD46,$V$11:$AB$64,7,FALSE)))+AI46*20+AJ46</f>
        <v>0</v>
      </c>
      <c r="AM46" s="1802"/>
      <c r="AQ46" s="1885"/>
    </row>
    <row r="47" spans="1:43" ht="12" customHeight="1" x14ac:dyDescent="0.2">
      <c r="A47" s="190"/>
      <c r="B47" s="1799"/>
      <c r="C47" s="4421" t="str">
        <f>IF(PDs!E115=0,"",PDs!E115)</f>
        <v/>
      </c>
      <c r="D47" s="4421"/>
      <c r="E47" s="4421"/>
      <c r="F47" s="3766" t="str">
        <f>IF(C47="","",VLOOKUP(C47,Tablas!$D$1072:$R$1087,15,FALSE))</f>
        <v/>
      </c>
      <c r="G47" s="3766"/>
      <c r="H47" s="3766"/>
      <c r="I47" s="3766"/>
      <c r="J47" s="3766"/>
      <c r="K47" s="3766"/>
      <c r="L47" s="3766"/>
      <c r="M47" s="3766"/>
      <c r="N47" s="3766"/>
      <c r="O47" s="3766"/>
      <c r="P47" s="3766"/>
      <c r="Q47" s="3766"/>
      <c r="R47" s="69"/>
      <c r="S47" s="56"/>
      <c r="T47" s="56"/>
      <c r="U47" s="1973">
        <f>IF(V47=0,0,1)</f>
        <v>0</v>
      </c>
      <c r="V47" s="4401"/>
      <c r="W47" s="4402"/>
      <c r="X47" s="4402"/>
      <c r="Y47" s="4402"/>
      <c r="Z47" s="4402"/>
      <c r="AA47" s="4419"/>
      <c r="AB47" s="4410" t="str">
        <f>IF(AA47=0,"",IF(AA47*10&lt;100,AA47*10,100))</f>
        <v/>
      </c>
      <c r="AC47" s="100"/>
      <c r="AD47" s="4411" t="str">
        <f>IF(AD46=0,"",VLOOKUP(AD46,Tablas!$K$1129:$M$1267,2,FALSE))</f>
        <v/>
      </c>
      <c r="AE47" s="4412"/>
      <c r="AF47" s="4412"/>
      <c r="AG47" s="3057" t="s">
        <v>1630</v>
      </c>
      <c r="AH47" s="3059" t="str">
        <f>IF(AD46=0,"",VLOOKUP(AD46,Tablas!$K$1129:$M$1267,3,FALSE))</f>
        <v/>
      </c>
      <c r="AI47" s="4413"/>
      <c r="AJ47" s="4426"/>
      <c r="AK47" s="4407"/>
      <c r="AL47" s="4474"/>
      <c r="AM47" s="1802"/>
      <c r="AQ47" s="1885"/>
    </row>
    <row r="48" spans="1:43" ht="12" customHeight="1" x14ac:dyDescent="0.2">
      <c r="A48" s="190"/>
      <c r="B48" s="1799"/>
      <c r="C48" s="4421"/>
      <c r="D48" s="4421"/>
      <c r="E48" s="4421"/>
      <c r="F48" s="3766" t="str">
        <f>IF(C47="","",VLOOKUP(C47,Tablas!$D$1072:$R$1087,7,FALSE))</f>
        <v/>
      </c>
      <c r="G48" s="3766"/>
      <c r="H48" s="3766"/>
      <c r="I48" s="3766"/>
      <c r="J48" s="3766"/>
      <c r="K48" s="3766"/>
      <c r="L48" s="3766"/>
      <c r="M48" s="3766"/>
      <c r="N48" s="3766"/>
      <c r="O48" s="3766"/>
      <c r="P48" s="3766"/>
      <c r="Q48" s="3766"/>
      <c r="R48" s="69"/>
      <c r="S48" s="56"/>
      <c r="T48" s="56"/>
      <c r="U48" s="1973"/>
      <c r="V48" s="4420" t="str">
        <f>IF(V47=0,"",VLOOKUP(V47,Tablas!$K$1129:$M$1267,2,FALSE))</f>
        <v/>
      </c>
      <c r="W48" s="3296"/>
      <c r="X48" s="3296"/>
      <c r="Y48" s="3053" t="s">
        <v>1630</v>
      </c>
      <c r="Z48" s="3058" t="str">
        <f>IF(V47=0,"",VLOOKUP(V47,Tablas!$K$1129:$M$1267,3,FALSE))</f>
        <v/>
      </c>
      <c r="AA48" s="4419"/>
      <c r="AB48" s="4410"/>
      <c r="AC48" s="100"/>
      <c r="AD48" s="4401"/>
      <c r="AE48" s="4402"/>
      <c r="AF48" s="4402"/>
      <c r="AG48" s="4402"/>
      <c r="AH48" s="4402"/>
      <c r="AI48" s="4408"/>
      <c r="AJ48" s="4425"/>
      <c r="AK48" s="4410" t="str">
        <f>IF(AD48&lt;&gt;"",INDEX(Tablas!$T$26:$T$38,MAX(1+MATCH(VLOOKUP(Psíquicos!$AD48,'Tablas psiquica'!$D$7:$U$145,18,FALSE),'Tablas psiquica'!$I$6:$R$6,0),MAX(SUMPRODUCT(--(Tablas!$S$26:$S$38&lt;=(AL48-20*AI48)))+IF(Tablas!$G$446&gt;0,1,0)+IF(COUNTIF($C$39:$E$50,"Introversión")&gt;0,1,0),SUMPRODUCT(--(Tablas!$S$26:$S$38&lt;=(AL48)))))),"")</f>
        <v/>
      </c>
      <c r="AL48" s="4474">
        <f t="shared" ref="AL48" si="15">$H$11+IF(ISNA(VLOOKUP(AD48,$V$11:$AB$64,7,FALSE)),0,IF(VLOOKUP(AD48,$V$11:$AB$64,7,FALSE)="",0,VLOOKUP(AD48,$V$11:$AB$64,7,FALSE)))+AI48*20+AJ48</f>
        <v>0</v>
      </c>
      <c r="AM48" s="1802"/>
      <c r="AQ48" s="1885"/>
    </row>
    <row r="49" spans="1:43" ht="12" customHeight="1" thickBot="1" x14ac:dyDescent="0.25">
      <c r="A49" s="190"/>
      <c r="B49" s="1799"/>
      <c r="C49" s="4423" t="str">
        <f>IF(PDs!E116=0,"",PDs!E116)</f>
        <v/>
      </c>
      <c r="D49" s="4423"/>
      <c r="E49" s="4423"/>
      <c r="F49" s="3766" t="str">
        <f>IF(C49="","",VLOOKUP(C49,Tablas!$D$1072:$R$1087,15,FALSE))</f>
        <v/>
      </c>
      <c r="G49" s="3766"/>
      <c r="H49" s="3766"/>
      <c r="I49" s="3766"/>
      <c r="J49" s="3766"/>
      <c r="K49" s="3766"/>
      <c r="L49" s="3766"/>
      <c r="M49" s="3766"/>
      <c r="N49" s="3766"/>
      <c r="O49" s="3766"/>
      <c r="P49" s="3766"/>
      <c r="Q49" s="3766"/>
      <c r="R49" s="69"/>
      <c r="S49" s="56"/>
      <c r="T49" s="56"/>
      <c r="U49" s="1973">
        <f>IF(V49=0,0,1)</f>
        <v>0</v>
      </c>
      <c r="V49" s="4414"/>
      <c r="W49" s="4415"/>
      <c r="X49" s="4415"/>
      <c r="Y49" s="4415"/>
      <c r="Z49" s="4415"/>
      <c r="AA49" s="4416"/>
      <c r="AB49" s="4407" t="str">
        <f>IF(AA49=0,"",IF(AA49*10&lt;100,AA49*10,100))</f>
        <v/>
      </c>
      <c r="AC49" s="100"/>
      <c r="AD49" s="4420" t="str">
        <f>IF(AD48=0,"",VLOOKUP(AD48,Tablas!$K$1129:$M$1267,2,FALSE))</f>
        <v/>
      </c>
      <c r="AE49" s="3296"/>
      <c r="AF49" s="3296"/>
      <c r="AG49" s="3053" t="s">
        <v>1630</v>
      </c>
      <c r="AH49" s="3058" t="str">
        <f>IF(AD48=0,"",VLOOKUP(AD48,Tablas!$K$1129:$M$1267,3,FALSE))</f>
        <v/>
      </c>
      <c r="AI49" s="4408"/>
      <c r="AJ49" s="4425"/>
      <c r="AK49" s="4410"/>
      <c r="AL49" s="4474"/>
      <c r="AM49" s="1802"/>
      <c r="AQ49" s="1885"/>
    </row>
    <row r="50" spans="1:43" ht="12" customHeight="1" thickBot="1" x14ac:dyDescent="0.25">
      <c r="A50" s="190"/>
      <c r="B50" s="1799"/>
      <c r="C50" s="4423"/>
      <c r="D50" s="4423"/>
      <c r="E50" s="4423"/>
      <c r="F50" s="4422" t="str">
        <f>IF(C49="","",VLOOKUP(C49,Tablas!$D$1072:$R$1087,7,FALSE))</f>
        <v/>
      </c>
      <c r="G50" s="4422"/>
      <c r="H50" s="4422"/>
      <c r="I50" s="4422"/>
      <c r="J50" s="4422"/>
      <c r="K50" s="4422"/>
      <c r="L50" s="4422"/>
      <c r="M50" s="4422"/>
      <c r="N50" s="4422"/>
      <c r="O50" s="4422"/>
      <c r="P50" s="4422"/>
      <c r="Q50" s="4422"/>
      <c r="R50" s="69"/>
      <c r="S50" s="56"/>
      <c r="T50" s="56"/>
      <c r="U50" s="1973"/>
      <c r="V50" s="4411" t="str">
        <f>IF(V49=0,"",VLOOKUP(V49,Tablas!$K$1129:$M$1267,2,FALSE))</f>
        <v/>
      </c>
      <c r="W50" s="4412"/>
      <c r="X50" s="4412"/>
      <c r="Y50" s="3057" t="s">
        <v>1630</v>
      </c>
      <c r="Z50" s="3059" t="str">
        <f>IF(V49=0,"",VLOOKUP(V49,Tablas!$K$1129:$M$1267,3,FALSE))</f>
        <v/>
      </c>
      <c r="AA50" s="4416"/>
      <c r="AB50" s="4407"/>
      <c r="AC50" s="100"/>
      <c r="AD50" s="4414"/>
      <c r="AE50" s="4415"/>
      <c r="AF50" s="4415"/>
      <c r="AG50" s="4415"/>
      <c r="AH50" s="4415"/>
      <c r="AI50" s="4413"/>
      <c r="AJ50" s="4426"/>
      <c r="AK50" s="4407" t="str">
        <f>IF(AD50&lt;&gt;"",INDEX(Tablas!$T$26:$T$38,MAX(1+MATCH(VLOOKUP(Psíquicos!$AD50,'Tablas psiquica'!$D$7:$U$145,18,FALSE),'Tablas psiquica'!$I$6:$R$6,0),MAX(SUMPRODUCT(--(Tablas!$S$26:$S$38&lt;=(AL50-20*AI50)))+IF(Tablas!$G$446&gt;0,1,0)+IF(COUNTIF($C$39:$E$50,"Introversión")&gt;0,1,0),SUMPRODUCT(--(Tablas!$S$26:$S$38&lt;=(AL50)))))),"")</f>
        <v/>
      </c>
      <c r="AL50" s="4474">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01"/>
      <c r="W51" s="4402"/>
      <c r="X51" s="4402"/>
      <c r="Y51" s="4402"/>
      <c r="Z51" s="4402"/>
      <c r="AA51" s="4419"/>
      <c r="AB51" s="4410" t="str">
        <f>IF(AA51=0,"",IF(AA51*10&lt;100,AA51*10,100))</f>
        <v/>
      </c>
      <c r="AC51" s="100"/>
      <c r="AD51" s="4411" t="str">
        <f>IF(AD50=0,"",VLOOKUP(AD50,Tablas!$K$1129:$M$1267,2,FALSE))</f>
        <v/>
      </c>
      <c r="AE51" s="4412"/>
      <c r="AF51" s="4412"/>
      <c r="AG51" s="3057" t="s">
        <v>1630</v>
      </c>
      <c r="AH51" s="3059" t="str">
        <f>IF(AD50=0,"",VLOOKUP(AD50,Tablas!$K$1129:$M$1267,3,FALSE))</f>
        <v/>
      </c>
      <c r="AI51" s="4413"/>
      <c r="AJ51" s="4426"/>
      <c r="AK51" s="4407"/>
      <c r="AL51" s="4474"/>
      <c r="AM51" s="1802"/>
      <c r="AQ51" s="1885"/>
    </row>
    <row r="52" spans="1:43" ht="12" customHeight="1" thickBot="1" x14ac:dyDescent="0.25">
      <c r="A52" s="190"/>
      <c r="B52" s="1973"/>
      <c r="C52" s="3169" t="s">
        <v>1789</v>
      </c>
      <c r="D52" s="3169"/>
      <c r="E52" s="3169"/>
      <c r="F52" s="3169"/>
      <c r="G52" s="3169"/>
      <c r="H52" s="3169"/>
      <c r="I52" s="68"/>
      <c r="J52" s="4087" t="s">
        <v>2051</v>
      </c>
      <c r="K52" s="4087"/>
      <c r="L52" s="4087"/>
      <c r="M52" s="4088" t="s">
        <v>2129</v>
      </c>
      <c r="N52" s="4088"/>
      <c r="O52" s="4088"/>
      <c r="P52" s="4088"/>
      <c r="Q52" s="4088"/>
      <c r="R52" s="77"/>
      <c r="S52" s="385"/>
      <c r="T52" s="385"/>
      <c r="U52" s="1973"/>
      <c r="V52" s="4420" t="str">
        <f>IF(V51=0,"",VLOOKUP(V51,Tablas!$K$1129:$M$1267,2,FALSE))</f>
        <v/>
      </c>
      <c r="W52" s="3296"/>
      <c r="X52" s="3296"/>
      <c r="Y52" s="3053" t="s">
        <v>1630</v>
      </c>
      <c r="Z52" s="3058" t="str">
        <f>IF(V51=0,"",VLOOKUP(V51,Tablas!$K$1129:$M$1267,3,FALSE))</f>
        <v/>
      </c>
      <c r="AA52" s="4419"/>
      <c r="AB52" s="4410"/>
      <c r="AC52" s="100"/>
      <c r="AD52" s="4401"/>
      <c r="AE52" s="4402"/>
      <c r="AF52" s="4402"/>
      <c r="AG52" s="4402"/>
      <c r="AH52" s="4402"/>
      <c r="AI52" s="4408"/>
      <c r="AJ52" s="4425"/>
      <c r="AK52" s="4410" t="str">
        <f>IF(AD52&lt;&gt;"",INDEX(Tablas!$T$26:$T$38,MAX(1+MATCH(VLOOKUP(Psíquicos!$AD52,'Tablas psiquica'!$D$7:$U$145,18,FALSE),'Tablas psiquica'!$I$6:$R$6,0),MAX(SUMPRODUCT(--(Tablas!$S$26:$S$38&lt;=(AL52-20*AI52)))+IF(Tablas!$G$446&gt;0,1,0)+IF(COUNTIF($C$39:$E$50,"Introversión")&gt;0,1,0),SUMPRODUCT(--(Tablas!$S$26:$S$38&lt;=(AL52)))))),"")</f>
        <v/>
      </c>
      <c r="AL52" s="4474">
        <f t="shared" ref="AL52" si="17">$H$11+IF(ISNA(VLOOKUP(AD52,$V$11:$AB$64,7,FALSE)),0,IF(VLOOKUP(AD52,$V$11:$AB$64,7,FALSE)="",0,VLOOKUP(AD52,$V$11:$AB$64,7,FALSE)))+AI52*20+AJ52</f>
        <v>0</v>
      </c>
      <c r="AM52" s="1802"/>
      <c r="AQ52" s="1885"/>
    </row>
    <row r="53" spans="1:43" ht="12" customHeight="1" thickBot="1" x14ac:dyDescent="0.25">
      <c r="A53" s="190"/>
      <c r="B53" s="1973"/>
      <c r="C53" s="4424"/>
      <c r="D53" s="4424"/>
      <c r="E53" s="4424"/>
      <c r="F53" s="4424"/>
      <c r="G53" s="4424"/>
      <c r="H53" s="4424"/>
      <c r="I53" s="68"/>
      <c r="J53" s="286">
        <v>20</v>
      </c>
      <c r="K53" s="4057" t="s">
        <v>2055</v>
      </c>
      <c r="L53" s="4057"/>
      <c r="M53" s="4086" t="s">
        <v>2056</v>
      </c>
      <c r="N53" s="4086"/>
      <c r="O53" s="4086"/>
      <c r="P53" s="4086"/>
      <c r="Q53" s="4086"/>
      <c r="R53" s="77"/>
      <c r="S53" s="385"/>
      <c r="T53" s="385"/>
      <c r="U53" s="1973">
        <f>IF(V53=0,0,1)</f>
        <v>0</v>
      </c>
      <c r="V53" s="4414"/>
      <c r="W53" s="4415"/>
      <c r="X53" s="4415"/>
      <c r="Y53" s="4415"/>
      <c r="Z53" s="4415"/>
      <c r="AA53" s="4416"/>
      <c r="AB53" s="4407" t="str">
        <f>IF(AA53=0,"",IF(AA53*10&lt;100,AA53*10,100))</f>
        <v/>
      </c>
      <c r="AC53" s="100"/>
      <c r="AD53" s="4420" t="str">
        <f>IF(AD52=0,"",VLOOKUP(AD52,Tablas!$K$1129:$M$1267,2,FALSE))</f>
        <v/>
      </c>
      <c r="AE53" s="3296"/>
      <c r="AF53" s="3296"/>
      <c r="AG53" s="3053" t="s">
        <v>1630</v>
      </c>
      <c r="AH53" s="3058" t="str">
        <f>IF(AD52=0,"",VLOOKUP(AD52,Tablas!$K$1129:$M$1267,3,FALSE))</f>
        <v/>
      </c>
      <c r="AI53" s="4408"/>
      <c r="AJ53" s="4425"/>
      <c r="AK53" s="4410"/>
      <c r="AL53" s="4474"/>
      <c r="AM53" s="1802"/>
      <c r="AQ53" s="1885"/>
    </row>
    <row r="54" spans="1:43" ht="12" customHeight="1" thickBot="1" x14ac:dyDescent="0.25">
      <c r="A54" s="190"/>
      <c r="B54" s="1973"/>
      <c r="C54" s="4424"/>
      <c r="D54" s="4424"/>
      <c r="E54" s="4424"/>
      <c r="F54" s="4424"/>
      <c r="G54" s="4424"/>
      <c r="H54" s="4424"/>
      <c r="I54" s="68"/>
      <c r="J54" s="286">
        <v>40</v>
      </c>
      <c r="K54" s="4057" t="s">
        <v>2059</v>
      </c>
      <c r="L54" s="4057"/>
      <c r="M54" s="4073" t="s">
        <v>2060</v>
      </c>
      <c r="N54" s="4073"/>
      <c r="O54" s="4073"/>
      <c r="P54" s="4073"/>
      <c r="Q54" s="4073"/>
      <c r="R54" s="77"/>
      <c r="S54" s="385"/>
      <c r="T54" s="385"/>
      <c r="U54" s="1973"/>
      <c r="V54" s="4411" t="str">
        <f>IF(V53=0,"",VLOOKUP(V53,Tablas!$K$1129:$M$1267,2,FALSE))</f>
        <v/>
      </c>
      <c r="W54" s="4412"/>
      <c r="X54" s="4412"/>
      <c r="Y54" s="3057" t="s">
        <v>1630</v>
      </c>
      <c r="Z54" s="3059" t="str">
        <f>IF(V53=0,"",VLOOKUP(V53,Tablas!$K$1129:$M$1267,3,FALSE))</f>
        <v/>
      </c>
      <c r="AA54" s="4416"/>
      <c r="AB54" s="4407"/>
      <c r="AC54" s="100"/>
      <c r="AD54" s="4414"/>
      <c r="AE54" s="4415"/>
      <c r="AF54" s="4415"/>
      <c r="AG54" s="4415"/>
      <c r="AH54" s="4415"/>
      <c r="AI54" s="4413"/>
      <c r="AJ54" s="4426"/>
      <c r="AK54" s="4407" t="str">
        <f>IF(AD54&lt;&gt;"",INDEX(Tablas!$T$26:$T$38,MAX(1+MATCH(VLOOKUP(Psíquicos!$AD54,'Tablas psiquica'!$D$7:$U$145,18,FALSE),'Tablas psiquica'!$I$6:$R$6,0),MAX(SUMPRODUCT(--(Tablas!$S$26:$S$38&lt;=(AL54-20*AI54)))+IF(Tablas!$G$446&gt;0,1,0)+IF(COUNTIF($C$39:$E$50,"Introversión")&gt;0,1,0),SUMPRODUCT(--(Tablas!$S$26:$S$38&lt;=(AL54)))))),"")</f>
        <v/>
      </c>
      <c r="AL54" s="4474">
        <f t="shared" ref="AL54" si="18">$H$11+IF(ISNA(VLOOKUP(AD54,$V$11:$AB$64,7,FALSE)),0,IF(VLOOKUP(AD54,$V$11:$AB$64,7,FALSE)="",0,VLOOKUP(AD54,$V$11:$AB$64,7,FALSE)))+AI54*20+AJ54</f>
        <v>0</v>
      </c>
      <c r="AM54" s="1802"/>
      <c r="AQ54" s="1885"/>
    </row>
    <row r="55" spans="1:43" ht="12" customHeight="1" thickBot="1" x14ac:dyDescent="0.25">
      <c r="A55" s="190"/>
      <c r="B55" s="1973"/>
      <c r="C55" s="4424"/>
      <c r="D55" s="4424"/>
      <c r="E55" s="4424"/>
      <c r="F55" s="4424"/>
      <c r="G55" s="4424"/>
      <c r="H55" s="4424"/>
      <c r="I55" s="68"/>
      <c r="J55" s="286">
        <v>80</v>
      </c>
      <c r="K55" s="4057" t="s">
        <v>2062</v>
      </c>
      <c r="L55" s="4057"/>
      <c r="M55" s="4073" t="s">
        <v>2063</v>
      </c>
      <c r="N55" s="4073"/>
      <c r="O55" s="4073"/>
      <c r="P55" s="4073"/>
      <c r="Q55" s="4073"/>
      <c r="R55" s="77"/>
      <c r="S55" s="385"/>
      <c r="T55" s="385"/>
      <c r="U55" s="1973">
        <f>IF(V55=0,0,1)</f>
        <v>0</v>
      </c>
      <c r="V55" s="4401"/>
      <c r="W55" s="4402"/>
      <c r="X55" s="4402"/>
      <c r="Y55" s="4402"/>
      <c r="Z55" s="4402"/>
      <c r="AA55" s="4419"/>
      <c r="AB55" s="4410" t="str">
        <f>IF(AA55=0,"",IF(AA55*10&lt;100,AA55*10,100))</f>
        <v/>
      </c>
      <c r="AC55" s="100"/>
      <c r="AD55" s="4411" t="str">
        <f>IF(AD54=0,"",VLOOKUP(AD54,Tablas!$K$1129:$M$1267,2,FALSE))</f>
        <v/>
      </c>
      <c r="AE55" s="4412"/>
      <c r="AF55" s="4412"/>
      <c r="AG55" s="3057" t="s">
        <v>1630</v>
      </c>
      <c r="AH55" s="3059" t="str">
        <f>IF(AD54=0,"",VLOOKUP(AD54,Tablas!$K$1129:$M$1267,3,FALSE))</f>
        <v/>
      </c>
      <c r="AI55" s="4413"/>
      <c r="AJ55" s="4426"/>
      <c r="AK55" s="4407"/>
      <c r="AL55" s="4474"/>
      <c r="AM55" s="1802"/>
      <c r="AQ55" s="1885"/>
    </row>
    <row r="56" spans="1:43" ht="12" customHeight="1" thickBot="1" x14ac:dyDescent="0.25">
      <c r="A56" s="190"/>
      <c r="B56" s="1973"/>
      <c r="C56" s="4424"/>
      <c r="D56" s="4424"/>
      <c r="E56" s="4424"/>
      <c r="F56" s="4424"/>
      <c r="G56" s="4424"/>
      <c r="H56" s="4424"/>
      <c r="I56" s="68"/>
      <c r="J56" s="286">
        <v>120</v>
      </c>
      <c r="K56" s="4057" t="s">
        <v>2066</v>
      </c>
      <c r="L56" s="4057"/>
      <c r="M56" s="4073" t="s">
        <v>2154</v>
      </c>
      <c r="N56" s="4073"/>
      <c r="O56" s="4073"/>
      <c r="P56" s="4073"/>
      <c r="Q56" s="4073"/>
      <c r="R56" s="77"/>
      <c r="S56" s="385"/>
      <c r="T56" s="385"/>
      <c r="U56" s="1973"/>
      <c r="V56" s="4420" t="str">
        <f>IF(V55=0,"",VLOOKUP(V55,Tablas!$K$1129:$M$1267,2,FALSE))</f>
        <v/>
      </c>
      <c r="W56" s="3296"/>
      <c r="X56" s="3296"/>
      <c r="Y56" s="3053" t="s">
        <v>1630</v>
      </c>
      <c r="Z56" s="3058" t="str">
        <f>IF(V55=0,"",VLOOKUP(V55,Tablas!$K$1129:$M$1267,3,FALSE))</f>
        <v/>
      </c>
      <c r="AA56" s="4419"/>
      <c r="AB56" s="4410"/>
      <c r="AC56" s="100"/>
      <c r="AD56" s="4401"/>
      <c r="AE56" s="4402"/>
      <c r="AF56" s="4402"/>
      <c r="AG56" s="4402"/>
      <c r="AH56" s="4402"/>
      <c r="AI56" s="4408"/>
      <c r="AJ56" s="4425"/>
      <c r="AK56" s="4410" t="str">
        <f>IF(AD56&lt;&gt;"",INDEX(Tablas!$T$26:$T$38,MAX(1+MATCH(VLOOKUP(Psíquicos!$AD56,'Tablas psiquica'!$D$7:$U$145,18,FALSE),'Tablas psiquica'!$I$6:$R$6,0),MAX(SUMPRODUCT(--(Tablas!$S$26:$S$38&lt;=(AL56-20*AI56)))+IF(Tablas!$G$446&gt;0,1,0)+IF(COUNTIF($C$39:$E$50,"Introversión")&gt;0,1,0),SUMPRODUCT(--(Tablas!$S$26:$S$38&lt;=(AL56)))))),"")</f>
        <v/>
      </c>
      <c r="AL56" s="4474">
        <f t="shared" ref="AL56" si="19">$H$11+IF(ISNA(VLOOKUP(AD56,$V$11:$AB$64,7,FALSE)),0,IF(VLOOKUP(AD56,$V$11:$AB$64,7,FALSE)="",0,VLOOKUP(AD56,$V$11:$AB$64,7,FALSE)))+AI56*20+AJ56</f>
        <v>0</v>
      </c>
      <c r="AM56" s="1802"/>
      <c r="AQ56" s="1885"/>
    </row>
    <row r="57" spans="1:43" ht="12" customHeight="1" thickBot="1" x14ac:dyDescent="0.25">
      <c r="A57" s="190"/>
      <c r="B57" s="1973"/>
      <c r="C57" s="4424"/>
      <c r="D57" s="4424"/>
      <c r="E57" s="4424"/>
      <c r="F57" s="4424"/>
      <c r="G57" s="4424"/>
      <c r="H57" s="4424"/>
      <c r="I57" s="68"/>
      <c r="J57" s="286">
        <v>140</v>
      </c>
      <c r="K57" s="4057" t="s">
        <v>2068</v>
      </c>
      <c r="L57" s="4057"/>
      <c r="M57" s="4073" t="s">
        <v>2155</v>
      </c>
      <c r="N57" s="4073"/>
      <c r="O57" s="4073"/>
      <c r="P57" s="4073"/>
      <c r="Q57" s="4073"/>
      <c r="R57" s="77"/>
      <c r="S57" s="385"/>
      <c r="T57" s="385"/>
      <c r="U57" s="1973">
        <f>IF(V57=0,0,1)</f>
        <v>0</v>
      </c>
      <c r="V57" s="4414"/>
      <c r="W57" s="4415"/>
      <c r="X57" s="4415"/>
      <c r="Y57" s="4415"/>
      <c r="Z57" s="4415"/>
      <c r="AA57" s="4416"/>
      <c r="AB57" s="4407" t="str">
        <f>IF(AA57=0,"",IF(AA57*10&lt;100,AA57*10,100))</f>
        <v/>
      </c>
      <c r="AC57" s="68"/>
      <c r="AD57" s="4420" t="str">
        <f>IF(AD56=0,"",VLOOKUP(AD56,Tablas!$K$1129:$M$1267,2,FALSE))</f>
        <v/>
      </c>
      <c r="AE57" s="3296"/>
      <c r="AF57" s="3296"/>
      <c r="AG57" s="3053" t="s">
        <v>1630</v>
      </c>
      <c r="AH57" s="3058" t="str">
        <f>IF(AD56=0,"",VLOOKUP(AD56,Tablas!$K$1129:$M$1267,3,FALSE))</f>
        <v/>
      </c>
      <c r="AI57" s="4408"/>
      <c r="AJ57" s="4425"/>
      <c r="AK57" s="4410"/>
      <c r="AL57" s="4474"/>
      <c r="AM57" s="1802"/>
      <c r="AQ57" s="1885"/>
    </row>
    <row r="58" spans="1:43" ht="12" customHeight="1" thickBot="1" x14ac:dyDescent="0.25">
      <c r="A58" s="190"/>
      <c r="B58" s="1973"/>
      <c r="C58" s="4424"/>
      <c r="D58" s="4424"/>
      <c r="E58" s="4424"/>
      <c r="F58" s="4424"/>
      <c r="G58" s="4424"/>
      <c r="H58" s="4424"/>
      <c r="I58" s="68"/>
      <c r="J58" s="286">
        <v>180</v>
      </c>
      <c r="K58" s="4057" t="s">
        <v>2071</v>
      </c>
      <c r="L58" s="4057"/>
      <c r="M58" s="4073" t="s">
        <v>2156</v>
      </c>
      <c r="N58" s="4073"/>
      <c r="O58" s="4073"/>
      <c r="P58" s="4073"/>
      <c r="Q58" s="4073"/>
      <c r="R58" s="77"/>
      <c r="S58" s="385"/>
      <c r="T58" s="385"/>
      <c r="U58" s="1973"/>
      <c r="V58" s="4411" t="str">
        <f>IF(V57=0,"",VLOOKUP(V57,Tablas!$K$1129:$M$1267,2,FALSE))</f>
        <v/>
      </c>
      <c r="W58" s="4412"/>
      <c r="X58" s="4412"/>
      <c r="Y58" s="3057" t="s">
        <v>1630</v>
      </c>
      <c r="Z58" s="3059" t="str">
        <f>IF(V57=0,"",VLOOKUP(V57,Tablas!$K$1129:$M$1267,3,FALSE))</f>
        <v/>
      </c>
      <c r="AA58" s="4416"/>
      <c r="AB58" s="4407"/>
      <c r="AC58" s="218"/>
      <c r="AD58" s="4414"/>
      <c r="AE58" s="4415"/>
      <c r="AF58" s="4415"/>
      <c r="AG58" s="4415"/>
      <c r="AH58" s="4415"/>
      <c r="AI58" s="4413"/>
      <c r="AJ58" s="4426"/>
      <c r="AK58" s="4407" t="str">
        <f>IF(AD58&lt;&gt;"",INDEX(Tablas!$T$26:$T$38,MAX(1+MATCH(VLOOKUP(Psíquicos!$AD58,'Tablas psiquica'!$D$7:$U$145,18,FALSE),'Tablas psiquica'!$I$6:$R$6,0),MAX(SUMPRODUCT(--(Tablas!$S$26:$S$38&lt;=(AL58-20*AI58)))+IF(Tablas!$G$446&gt;0,1,0)+IF(COUNTIF($C$39:$E$50,"Introversión")&gt;0,1,0),SUMPRODUCT(--(Tablas!$S$26:$S$38&lt;=(AL58)))))),"")</f>
        <v/>
      </c>
      <c r="AL58" s="4474">
        <f t="shared" ref="AL58" si="20">$H$11+IF(ISNA(VLOOKUP(AD58,$V$11:$AB$64,7,FALSE)),0,IF(VLOOKUP(AD58,$V$11:$AB$64,7,FALSE)="",0,VLOOKUP(AD58,$V$11:$AB$64,7,FALSE)))+AI58*20+AJ58</f>
        <v>0</v>
      </c>
      <c r="AM58" s="1802"/>
      <c r="AQ58" s="1885"/>
    </row>
    <row r="59" spans="1:43" ht="12" customHeight="1" thickBot="1" x14ac:dyDescent="0.25">
      <c r="A59" s="190"/>
      <c r="B59" s="1973"/>
      <c r="C59" s="4424"/>
      <c r="D59" s="4424"/>
      <c r="E59" s="4424"/>
      <c r="F59" s="4424"/>
      <c r="G59" s="4424"/>
      <c r="H59" s="4424"/>
      <c r="I59" s="68"/>
      <c r="J59" s="286">
        <v>240</v>
      </c>
      <c r="K59" s="4057" t="s">
        <v>2073</v>
      </c>
      <c r="L59" s="4057"/>
      <c r="M59" s="4073" t="s">
        <v>2157</v>
      </c>
      <c r="N59" s="4073"/>
      <c r="O59" s="4073"/>
      <c r="P59" s="4073"/>
      <c r="Q59" s="4073"/>
      <c r="R59" s="77"/>
      <c r="S59" s="385"/>
      <c r="T59" s="385"/>
      <c r="U59" s="1973">
        <f>IF(V59=0,0,1)</f>
        <v>0</v>
      </c>
      <c r="V59" s="4401"/>
      <c r="W59" s="4402"/>
      <c r="X59" s="4402"/>
      <c r="Y59" s="4402"/>
      <c r="Z59" s="4402"/>
      <c r="AA59" s="4419"/>
      <c r="AB59" s="4410" t="str">
        <f>IF(AA59=0,"",IF(AA59*10&lt;100,AA59*10,100))</f>
        <v/>
      </c>
      <c r="AC59" s="68"/>
      <c r="AD59" s="4411" t="str">
        <f>IF(AD58=0,"",VLOOKUP(AD58,Tablas!$K$1129:$M$1267,2,FALSE))</f>
        <v/>
      </c>
      <c r="AE59" s="4412"/>
      <c r="AF59" s="4412"/>
      <c r="AG59" s="3057" t="s">
        <v>1630</v>
      </c>
      <c r="AH59" s="3059" t="str">
        <f>IF(AD58=0,"",VLOOKUP(AD58,Tablas!$K$1129:$M$1267,3,FALSE))</f>
        <v/>
      </c>
      <c r="AI59" s="4413"/>
      <c r="AJ59" s="4426"/>
      <c r="AK59" s="4407"/>
      <c r="AL59" s="4474"/>
      <c r="AM59" s="1802"/>
      <c r="AQ59" s="1885"/>
    </row>
    <row r="60" spans="1:43" ht="12" customHeight="1" thickBot="1" x14ac:dyDescent="0.25">
      <c r="A60" s="190"/>
      <c r="B60" s="1973"/>
      <c r="C60" s="4424"/>
      <c r="D60" s="4424"/>
      <c r="E60" s="4424"/>
      <c r="F60" s="4424"/>
      <c r="G60" s="4424"/>
      <c r="H60" s="4424"/>
      <c r="I60" s="68"/>
      <c r="J60" s="286">
        <v>280</v>
      </c>
      <c r="K60" s="4057" t="s">
        <v>2076</v>
      </c>
      <c r="L60" s="4057"/>
      <c r="M60" s="4073" t="s">
        <v>2158</v>
      </c>
      <c r="N60" s="4073"/>
      <c r="O60" s="4073"/>
      <c r="P60" s="4073"/>
      <c r="Q60" s="4073"/>
      <c r="R60" s="77"/>
      <c r="S60" s="385"/>
      <c r="T60" s="385"/>
      <c r="U60" s="1973"/>
      <c r="V60" s="4420" t="str">
        <f>IF(V59=0,"",VLOOKUP(V59,Tablas!$K$1129:$M$1267,2,FALSE))</f>
        <v/>
      </c>
      <c r="W60" s="3296"/>
      <c r="X60" s="3296"/>
      <c r="Y60" s="3053" t="s">
        <v>1630</v>
      </c>
      <c r="Z60" s="3058" t="str">
        <f>IF(V59=0,"",VLOOKUP(V59,Tablas!$K$1129:$M$1267,3,FALSE))</f>
        <v/>
      </c>
      <c r="AA60" s="4419"/>
      <c r="AB60" s="4410"/>
      <c r="AC60" s="68"/>
      <c r="AD60" s="4401"/>
      <c r="AE60" s="4402"/>
      <c r="AF60" s="4402"/>
      <c r="AG60" s="4402"/>
      <c r="AH60" s="4402"/>
      <c r="AI60" s="4408"/>
      <c r="AJ60" s="4425"/>
      <c r="AK60" s="4410" t="str">
        <f>IF(AD60&lt;&gt;"",INDEX(Tablas!$T$26:$T$38,MAX(1+MATCH(VLOOKUP(Psíquicos!$AD60,'Tablas psiquica'!$D$7:$U$145,18,FALSE),'Tablas psiquica'!$I$6:$R$6,0),MAX(SUMPRODUCT(--(Tablas!$S$26:$S$38&lt;=(AL60-20*AI60)))+IF(Tablas!$G$446&gt;0,1,0)+IF(COUNTIF($C$39:$E$50,"Introversión")&gt;0,1,0),SUMPRODUCT(--(Tablas!$S$26:$S$38&lt;=(AL60)))))),"")</f>
        <v/>
      </c>
      <c r="AL60" s="4474">
        <f t="shared" ref="AL60" si="21">$H$11+IF(ISNA(VLOOKUP(AD60,$V$11:$AB$64,7,FALSE)),0,IF(VLOOKUP(AD60,$V$11:$AB$64,7,FALSE)="",0,VLOOKUP(AD60,$V$11:$AB$64,7,FALSE)))+AI60*20+AJ60</f>
        <v>0</v>
      </c>
      <c r="AM60" s="1802"/>
      <c r="AQ60" s="1885"/>
    </row>
    <row r="61" spans="1:43" ht="12" customHeight="1" thickBot="1" x14ac:dyDescent="0.25">
      <c r="A61" s="190"/>
      <c r="B61" s="1973"/>
      <c r="C61" s="4424"/>
      <c r="D61" s="4424"/>
      <c r="E61" s="4424"/>
      <c r="F61" s="4424"/>
      <c r="G61" s="4424"/>
      <c r="H61" s="4424"/>
      <c r="I61" s="68"/>
      <c r="J61" s="286">
        <v>320</v>
      </c>
      <c r="K61" s="4057" t="s">
        <v>2078</v>
      </c>
      <c r="L61" s="4057"/>
      <c r="M61" s="4073" t="s">
        <v>1769</v>
      </c>
      <c r="N61" s="4073"/>
      <c r="O61" s="4073"/>
      <c r="P61" s="4073"/>
      <c r="Q61" s="4073"/>
      <c r="R61" s="77"/>
      <c r="S61" s="385"/>
      <c r="T61" s="385"/>
      <c r="U61" s="1973">
        <f>IF(V61=0,0,1)</f>
        <v>0</v>
      </c>
      <c r="V61" s="4414"/>
      <c r="W61" s="4415"/>
      <c r="X61" s="4415"/>
      <c r="Y61" s="4415"/>
      <c r="Z61" s="4415"/>
      <c r="AA61" s="4416"/>
      <c r="AB61" s="4407" t="str">
        <f>IF(AA61=0,"",IF(AA61*10&lt;100,AA61*10,100))</f>
        <v/>
      </c>
      <c r="AC61" s="68"/>
      <c r="AD61" s="4399" t="str">
        <f>IF(AD60=0,"",VLOOKUP(AD60,Tablas!$K$1129:$M$1267,2,FALSE))</f>
        <v/>
      </c>
      <c r="AE61" s="4400"/>
      <c r="AF61" s="4400"/>
      <c r="AG61" s="3055" t="s">
        <v>1630</v>
      </c>
      <c r="AH61" s="1374" t="str">
        <f>IF(AD60=0,"",VLOOKUP(AD60,Tablas!$K$1129:$M$1267,3,FALSE))</f>
        <v/>
      </c>
      <c r="AI61" s="4409"/>
      <c r="AJ61" s="4475"/>
      <c r="AK61" s="4406"/>
      <c r="AL61" s="4474"/>
      <c r="AM61" s="1802"/>
      <c r="AQ61" s="1885"/>
    </row>
    <row r="62" spans="1:43" ht="12" customHeight="1" thickBot="1" x14ac:dyDescent="0.25">
      <c r="A62" s="190"/>
      <c r="B62" s="1973"/>
      <c r="C62" s="4424"/>
      <c r="D62" s="4424"/>
      <c r="E62" s="4424"/>
      <c r="F62" s="4424"/>
      <c r="G62" s="4424"/>
      <c r="H62" s="4424"/>
      <c r="I62" s="68"/>
      <c r="J62" s="289">
        <v>440</v>
      </c>
      <c r="K62" s="4417" t="s">
        <v>2012</v>
      </c>
      <c r="L62" s="4417"/>
      <c r="M62" s="4418" t="s">
        <v>1769</v>
      </c>
      <c r="N62" s="4418"/>
      <c r="O62" s="4418"/>
      <c r="P62" s="4418"/>
      <c r="Q62" s="4418"/>
      <c r="R62" s="77"/>
      <c r="S62" s="385"/>
      <c r="T62" s="385"/>
      <c r="U62" s="1973"/>
      <c r="V62" s="4411" t="str">
        <f>IF(V61=0,"",VLOOKUP(V61,Tablas!$K$1129:$M$1267,2,FALSE))</f>
        <v/>
      </c>
      <c r="W62" s="4412"/>
      <c r="X62" s="4412"/>
      <c r="Y62" s="3057" t="s">
        <v>1630</v>
      </c>
      <c r="Z62" s="3059" t="str">
        <f>IF(V61=0,"",VLOOKUP(V61,Tablas!$K$1129:$M$1267,3,FALSE))</f>
        <v/>
      </c>
      <c r="AA62" s="4416"/>
      <c r="AB62" s="4407"/>
      <c r="AC62" s="68"/>
      <c r="AD62" s="68"/>
      <c r="AE62" s="68"/>
      <c r="AF62" s="68"/>
      <c r="AG62" s="68"/>
      <c r="AH62" s="68"/>
      <c r="AI62" s="68"/>
      <c r="AJ62" s="68"/>
      <c r="AK62" s="100"/>
      <c r="AL62" s="2105"/>
      <c r="AM62" s="1802"/>
      <c r="AQ62" s="1885"/>
    </row>
    <row r="63" spans="1:43" ht="12" customHeight="1" thickBot="1" x14ac:dyDescent="0.25">
      <c r="A63" s="190"/>
      <c r="B63" s="1973"/>
      <c r="C63" s="4424"/>
      <c r="D63" s="4424"/>
      <c r="E63" s="4424"/>
      <c r="F63" s="4424"/>
      <c r="G63" s="4424"/>
      <c r="H63" s="4424"/>
      <c r="I63" s="68"/>
      <c r="J63" s="4072"/>
      <c r="K63" s="4072"/>
      <c r="L63" s="4072"/>
      <c r="M63" s="4072"/>
      <c r="N63" s="4072"/>
      <c r="O63" s="4072"/>
      <c r="P63" s="4072"/>
      <c r="Q63" s="4072"/>
      <c r="R63" s="77"/>
      <c r="S63" s="385"/>
      <c r="T63" s="385"/>
      <c r="U63" s="1973">
        <f>IF(V63=0,0,1)</f>
        <v>0</v>
      </c>
      <c r="V63" s="4401"/>
      <c r="W63" s="4402"/>
      <c r="X63" s="4402"/>
      <c r="Y63" s="4402"/>
      <c r="Z63" s="4402"/>
      <c r="AA63" s="4403"/>
      <c r="AB63" s="4405"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24"/>
      <c r="D64" s="4424"/>
      <c r="E64" s="4424"/>
      <c r="F64" s="4424"/>
      <c r="G64" s="4424"/>
      <c r="H64" s="4424"/>
      <c r="I64" s="68"/>
      <c r="J64" s="4072"/>
      <c r="K64" s="4072"/>
      <c r="L64" s="4072"/>
      <c r="M64" s="4072"/>
      <c r="N64" s="4072"/>
      <c r="O64" s="4072"/>
      <c r="P64" s="4072"/>
      <c r="Q64" s="4072"/>
      <c r="R64" s="69"/>
      <c r="S64" s="56"/>
      <c r="T64" s="56"/>
      <c r="U64" s="2482"/>
      <c r="V64" s="4399" t="str">
        <f>IF(V63=0,"",VLOOKUP(V63,Tablas!$K$1129:$M$1267,2,FALSE))</f>
        <v/>
      </c>
      <c r="W64" s="4400"/>
      <c r="X64" s="4400"/>
      <c r="Y64" s="3055" t="s">
        <v>1630</v>
      </c>
      <c r="Z64" s="1374" t="str">
        <f>IF(V63=0,"",VLOOKUP(V63,Tablas!$K$1129:$M$1267,3,FALSE))</f>
        <v/>
      </c>
      <c r="AA64" s="4404"/>
      <c r="AB64" s="4406"/>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901"/>
      <c r="S65" s="2902"/>
      <c r="T65" s="2902"/>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9"/>
      <c r="AP65" s="2509"/>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70"/>
      <c r="AR66" s="1885"/>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499" priority="58" stopIfTrue="1">
      <formula>NOT(OR(A1=$C$25,A1=$C$27,A1=$C$29,A1=$C$31,A1=$C$33,A1=$C$35))</formula>
    </cfRule>
  </conditionalFormatting>
  <conditionalFormatting sqref="E12:F13">
    <cfRule type="cellIs" dxfId="498" priority="59" stopIfTrue="1" operator="greaterThan">
      <formula>$C$12</formula>
    </cfRule>
  </conditionalFormatting>
  <conditionalFormatting sqref="V18:X18 V20:X20">
    <cfRule type="expression" dxfId="497" priority="57" stopIfTrue="1">
      <formula>NOT(OR(A7=$C$25,A7=$C$27,A7=$C$29,A7=$C$31,A7=$C$33,A7=$C$35))</formula>
    </cfRule>
  </conditionalFormatting>
  <conditionalFormatting sqref="V22:X22 V24:X24">
    <cfRule type="expression" dxfId="496" priority="56" stopIfTrue="1">
      <formula>NOT(OR(A11=$C$25,A11=$C$27,A11=$C$29,A11=$C$31,A11=$C$33,A11=$C$35))</formula>
    </cfRule>
  </conditionalFormatting>
  <conditionalFormatting sqref="V26:X26 V28:X28">
    <cfRule type="expression" dxfId="495" priority="55" stopIfTrue="1">
      <formula>NOT(OR(A15=$C$25,A15=$C$27,A15=$C$29,A15=$C$31,A15=$C$33,A15=$C$35))</formula>
    </cfRule>
  </conditionalFormatting>
  <conditionalFormatting sqref="V30:X30 V32:X32">
    <cfRule type="expression" dxfId="494" priority="54" stopIfTrue="1">
      <formula>NOT(OR(A19=$C$25,A19=$C$27,A19=$C$29,A19=$C$31,A19=$C$33,A19=$C$35))</formula>
    </cfRule>
  </conditionalFormatting>
  <conditionalFormatting sqref="V34:X34 V36:X36">
    <cfRule type="expression" dxfId="493" priority="53" stopIfTrue="1">
      <formula>NOT(OR(A23=$C$25,A23=$C$27,A23=$C$29,A23=$C$31,A23=$C$33,A23=$C$35))</formula>
    </cfRule>
  </conditionalFormatting>
  <conditionalFormatting sqref="V38:X38 V40:X40">
    <cfRule type="expression" dxfId="492" priority="52" stopIfTrue="1">
      <formula>NOT(OR(A27=$C$25,A27=$C$27,A27=$C$29,A27=$C$31,A27=$C$33,A27=$C$35))</formula>
    </cfRule>
  </conditionalFormatting>
  <conditionalFormatting sqref="V42:X42 V44:X44">
    <cfRule type="expression" dxfId="491" priority="51" stopIfTrue="1">
      <formula>NOT(OR(A31=$C$25,A31=$C$27,A31=$C$29,A31=$C$31,A31=$C$33,A31=$C$35))</formula>
    </cfRule>
  </conditionalFormatting>
  <conditionalFormatting sqref="V46:X46 V48:X48">
    <cfRule type="expression" dxfId="490" priority="50" stopIfTrue="1">
      <formula>NOT(OR(A35=$C$25,A35=$C$27,A35=$C$29,A35=$C$31,A35=$C$33,A35=$C$35))</formula>
    </cfRule>
  </conditionalFormatting>
  <conditionalFormatting sqref="V50:X50 V52:X52">
    <cfRule type="expression" dxfId="489" priority="49" stopIfTrue="1">
      <formula>NOT(OR(A39=$C$25,A39=$C$27,A39=$C$29,A39=$C$31,A39=$C$33,A39=$C$35))</formula>
    </cfRule>
  </conditionalFormatting>
  <conditionalFormatting sqref="V54:X54 V56:X56">
    <cfRule type="expression" dxfId="488" priority="48" stopIfTrue="1">
      <formula>NOT(OR(A43=$C$25,A43=$C$27,A43=$C$29,A43=$C$31,A43=$C$33,A43=$C$35))</formula>
    </cfRule>
  </conditionalFormatting>
  <conditionalFormatting sqref="V58:X58 V60:X60">
    <cfRule type="expression" dxfId="487" priority="47" stopIfTrue="1">
      <formula>NOT(OR(A47=$C$25,A47=$C$27,A47=$C$29,A47=$C$31,A47=$C$33,A47=$C$35))</formula>
    </cfRule>
  </conditionalFormatting>
  <conditionalFormatting sqref="V62:X62 V64:X64">
    <cfRule type="expression" dxfId="486"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5" priority="32" stopIfTrue="1">
      <formula>NOT(OR(I1=$C$25,I1=$C$27,I1=$C$29,I1=$C$31,I1=$C$33,I1=$C$35))</formula>
    </cfRule>
  </conditionalFormatting>
  <conditionalFormatting sqref="AD23:AF23">
    <cfRule type="expression" dxfId="484" priority="19" stopIfTrue="1">
      <formula>NOT(OR(I7=$C$25,I7=$C$27,I7=$C$29,I7=$C$31,I7=$C$33,I7=$C$35))</formula>
    </cfRule>
  </conditionalFormatting>
  <conditionalFormatting sqref="AD27:AF27">
    <cfRule type="expression" dxfId="483" priority="18" stopIfTrue="1">
      <formula>NOT(OR(I11=$C$25,I11=$C$27,I11=$C$29,I11=$C$31,I11=$C$33,I11=$C$35))</formula>
    </cfRule>
  </conditionalFormatting>
  <conditionalFormatting sqref="AD31:AF31">
    <cfRule type="expression" dxfId="482" priority="17" stopIfTrue="1">
      <formula>NOT(OR(I15=$C$25,I15=$C$27,I15=$C$29,I15=$C$31,I15=$C$33,I15=$C$35))</formula>
    </cfRule>
  </conditionalFormatting>
  <conditionalFormatting sqref="AD35:AF35">
    <cfRule type="expression" dxfId="481" priority="16" stopIfTrue="1">
      <formula>NOT(OR(I19=$C$25,I19=$C$27,I19=$C$29,I19=$C$31,I19=$C$33,I19=$C$35))</formula>
    </cfRule>
  </conditionalFormatting>
  <conditionalFormatting sqref="AD39:AF39">
    <cfRule type="expression" dxfId="480" priority="15" stopIfTrue="1">
      <formula>NOT(OR(I23=$C$25,I23=$C$27,I23=$C$29,I23=$C$31,I23=$C$33,I23=$C$35))</formula>
    </cfRule>
  </conditionalFormatting>
  <conditionalFormatting sqref="AD43:AF43">
    <cfRule type="expression" dxfId="479" priority="14" stopIfTrue="1">
      <formula>NOT(OR(I27=$C$25,I27=$C$27,I27=$C$29,I27=$C$31,I27=$C$33,I27=$C$35))</formula>
    </cfRule>
  </conditionalFormatting>
  <conditionalFormatting sqref="AD47:AF47">
    <cfRule type="expression" dxfId="478" priority="13" stopIfTrue="1">
      <formula>NOT(OR(I31=$C$25,I31=$C$27,I31=$C$29,I31=$C$31,I31=$C$33,I31=$C$35))</formula>
    </cfRule>
  </conditionalFormatting>
  <conditionalFormatting sqref="AD51:AF51">
    <cfRule type="expression" dxfId="477" priority="12" stopIfTrue="1">
      <formula>NOT(OR(I35=$C$25,I35=$C$27,I35=$C$29,I35=$C$31,I35=$C$33,I35=$C$35))</formula>
    </cfRule>
  </conditionalFormatting>
  <conditionalFormatting sqref="AD55:AF55">
    <cfRule type="expression" dxfId="476" priority="11" stopIfTrue="1">
      <formula>NOT(OR(I39=$C$25,I39=$C$27,I39=$C$29,I39=$C$31,I39=$C$33,I39=$C$35))</formula>
    </cfRule>
  </conditionalFormatting>
  <conditionalFormatting sqref="AD59:AF59">
    <cfRule type="expression" dxfId="475" priority="10" stopIfTrue="1">
      <formula>NOT(OR(I43=$C$25,I43=$C$27,I43=$C$29,I43=$C$31,I43=$C$33,I43=$C$35))</formula>
    </cfRule>
  </conditionalFormatting>
  <conditionalFormatting sqref="AD12:AF12">
    <cfRule type="expression" dxfId="474" priority="2" stopIfTrue="1">
      <formula>NOT(OR(I1048569=$C$25,I1048569=$C$27,I1048569=$C$29,I1048569=$C$31,I1048569=$C$33,I1048569=$C$35))</formula>
    </cfRule>
  </conditionalFormatting>
  <conditionalFormatting sqref="AI16:AI61">
    <cfRule type="expression" dxfId="473"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F12" sqref="F12:I13"/>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12" customWidth="1"/>
    <col min="19" max="20" width="1.7109375" style="2543"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20"/>
      <c r="C1" s="1210"/>
      <c r="D1" s="1210"/>
      <c r="E1" s="1210"/>
      <c r="F1" s="1210"/>
      <c r="G1" s="1210"/>
      <c r="H1" s="1210"/>
      <c r="I1" s="1210"/>
      <c r="J1" s="1210"/>
      <c r="K1" s="1210"/>
      <c r="L1" s="1210"/>
      <c r="M1" s="1210"/>
      <c r="N1" s="1210"/>
      <c r="O1" s="1210"/>
      <c r="P1" s="1210"/>
      <c r="Q1" s="1210"/>
      <c r="R1" s="3005"/>
      <c r="S1" s="2544"/>
      <c r="T1" s="2544"/>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21"/>
      <c r="C2" s="1212"/>
      <c r="D2" s="1212"/>
      <c r="E2" s="1212"/>
      <c r="F2" s="1212"/>
      <c r="G2" s="1212"/>
      <c r="H2" s="1212"/>
      <c r="I2" s="1212"/>
      <c r="J2" s="1212"/>
      <c r="K2" s="1212"/>
      <c r="L2" s="1212"/>
      <c r="M2" s="1212"/>
      <c r="N2" s="1212"/>
      <c r="O2" s="1212"/>
      <c r="P2" s="1212"/>
      <c r="Q2" s="1212"/>
      <c r="R2" s="3006"/>
      <c r="S2" s="2544"/>
      <c r="T2" s="2544"/>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22"/>
      <c r="C3" s="4633"/>
      <c r="D3" s="4634"/>
      <c r="E3" s="4634"/>
      <c r="F3" s="4634"/>
      <c r="G3" s="4634"/>
      <c r="H3" s="4634"/>
      <c r="I3" s="2761"/>
      <c r="J3" s="2761"/>
      <c r="K3" s="2761"/>
      <c r="L3" s="2761"/>
      <c r="M3" s="2761"/>
      <c r="N3" s="2761"/>
      <c r="O3" s="2761"/>
      <c r="P3" s="2761"/>
      <c r="Q3" s="1215"/>
      <c r="R3" s="3007"/>
      <c r="S3" s="2544"/>
      <c r="T3" s="2544"/>
      <c r="U3" s="615"/>
      <c r="V3" s="4633"/>
      <c r="W3" s="4634"/>
      <c r="X3" s="4634"/>
      <c r="Y3" s="4634"/>
      <c r="Z3" s="4634"/>
      <c r="AA3" s="4634"/>
      <c r="AB3" s="1214"/>
      <c r="AC3" s="1214"/>
      <c r="AD3" s="1214"/>
      <c r="AE3" s="1214"/>
      <c r="AF3" s="1214"/>
      <c r="AG3" s="1214"/>
      <c r="AH3" s="1214"/>
      <c r="AI3" s="1214"/>
      <c r="AJ3" s="1215"/>
      <c r="AK3" s="1216"/>
      <c r="AL3" s="1210"/>
    </row>
    <row r="4" spans="1:45" ht="12" customHeight="1" x14ac:dyDescent="0.2">
      <c r="A4" s="1210"/>
      <c r="B4" s="3022"/>
      <c r="C4" s="4635"/>
      <c r="D4" s="4636"/>
      <c r="E4" s="4636"/>
      <c r="F4" s="4636"/>
      <c r="G4" s="4636"/>
      <c r="H4" s="4636"/>
      <c r="I4" s="2762"/>
      <c r="J4" s="4639" t="s">
        <v>1628</v>
      </c>
      <c r="K4" s="4640"/>
      <c r="L4" s="3163" t="str">
        <f>IF(OR(General!$G$22="",General!$G$22=0),"",General!$G$22)</f>
        <v/>
      </c>
      <c r="M4" s="3163"/>
      <c r="N4" s="3163"/>
      <c r="O4" s="3163"/>
      <c r="P4" s="3163"/>
      <c r="Q4" s="813"/>
      <c r="R4" s="3008"/>
      <c r="S4" s="2544"/>
      <c r="T4" s="2544"/>
      <c r="U4" s="615"/>
      <c r="V4" s="4635"/>
      <c r="W4" s="4636"/>
      <c r="X4" s="4636"/>
      <c r="Y4" s="4636"/>
      <c r="Z4" s="4636"/>
      <c r="AA4" s="4636"/>
      <c r="AB4" s="1219"/>
      <c r="AC4" s="4639" t="s">
        <v>1628</v>
      </c>
      <c r="AD4" s="4640"/>
      <c r="AE4" s="3163" t="str">
        <f>IF(OR(General!$G$22="",General!$G$22=0),"",General!$G$22)</f>
        <v/>
      </c>
      <c r="AF4" s="3163"/>
      <c r="AG4" s="3163"/>
      <c r="AH4" s="3163"/>
      <c r="AI4" s="3163"/>
      <c r="AJ4" s="813"/>
      <c r="AK4" s="1216"/>
      <c r="AL4" s="1210"/>
    </row>
    <row r="5" spans="1:45" ht="12" customHeight="1" x14ac:dyDescent="0.2">
      <c r="A5" s="1210"/>
      <c r="B5" s="3022"/>
      <c r="C5" s="4635"/>
      <c r="D5" s="4636"/>
      <c r="E5" s="4636"/>
      <c r="F5" s="4636"/>
      <c r="G5" s="4636"/>
      <c r="H5" s="4636"/>
      <c r="I5" s="2762"/>
      <c r="J5" s="4627" t="s">
        <v>1629</v>
      </c>
      <c r="K5" s="4628"/>
      <c r="L5" s="4629" t="str">
        <f>Principal!$L$5</f>
        <v>Hechicero</v>
      </c>
      <c r="M5" s="4630"/>
      <c r="N5" s="4630"/>
      <c r="O5" s="1221" t="s">
        <v>1630</v>
      </c>
      <c r="P5" s="1222" t="str">
        <f>Principal!$P$5</f>
        <v>1</v>
      </c>
      <c r="Q5" s="1223"/>
      <c r="R5" s="3008"/>
      <c r="S5" s="2544"/>
      <c r="T5" s="2544"/>
      <c r="U5" s="615"/>
      <c r="V5" s="4635"/>
      <c r="W5" s="4636"/>
      <c r="X5" s="4636"/>
      <c r="Y5" s="4636"/>
      <c r="Z5" s="4636"/>
      <c r="AA5" s="4636"/>
      <c r="AB5" s="1219"/>
      <c r="AC5" s="4627" t="s">
        <v>1629</v>
      </c>
      <c r="AD5" s="4628"/>
      <c r="AE5" s="4629" t="str">
        <f>Principal!$L$5</f>
        <v>Hechicero</v>
      </c>
      <c r="AF5" s="4630"/>
      <c r="AG5" s="4630"/>
      <c r="AH5" s="1221" t="s">
        <v>1630</v>
      </c>
      <c r="AI5" s="1222" t="str">
        <f>Principal!$P$5</f>
        <v>1</v>
      </c>
      <c r="AJ5" s="1223"/>
      <c r="AK5" s="1216"/>
      <c r="AL5" s="1210"/>
    </row>
    <row r="6" spans="1:45" ht="12" customHeight="1" x14ac:dyDescent="0.2">
      <c r="A6" s="1210"/>
      <c r="B6" s="3022"/>
      <c r="C6" s="4635"/>
      <c r="D6" s="4636"/>
      <c r="E6" s="4636"/>
      <c r="F6" s="4636"/>
      <c r="G6" s="4636"/>
      <c r="H6" s="4636"/>
      <c r="I6" s="2762"/>
      <c r="J6" s="4631" t="s">
        <v>1911</v>
      </c>
      <c r="K6" s="4632"/>
      <c r="L6" s="4632"/>
      <c r="M6" s="4632"/>
      <c r="N6" s="4632"/>
      <c r="O6" s="4632"/>
      <c r="P6" s="4632"/>
      <c r="Q6" s="1223"/>
      <c r="R6" s="3008"/>
      <c r="S6" s="2544"/>
      <c r="T6" s="2544"/>
      <c r="U6" s="615"/>
      <c r="V6" s="4635"/>
      <c r="W6" s="4636"/>
      <c r="X6" s="4636"/>
      <c r="Y6" s="4636"/>
      <c r="Z6" s="4636"/>
      <c r="AA6" s="4636"/>
      <c r="AB6" s="1219"/>
      <c r="AC6" s="4631" t="s">
        <v>1912</v>
      </c>
      <c r="AD6" s="4632"/>
      <c r="AE6" s="4632"/>
      <c r="AF6" s="4632"/>
      <c r="AG6" s="4632"/>
      <c r="AH6" s="4632"/>
      <c r="AI6" s="4632"/>
      <c r="AJ6" s="1223"/>
      <c r="AK6" s="1216"/>
      <c r="AL6" s="1210"/>
    </row>
    <row r="7" spans="1:45" ht="12" customHeight="1" x14ac:dyDescent="0.2">
      <c r="A7" s="1210"/>
      <c r="B7" s="3022"/>
      <c r="C7" s="4635"/>
      <c r="D7" s="4636"/>
      <c r="E7" s="4636"/>
      <c r="F7" s="4636"/>
      <c r="G7" s="4636"/>
      <c r="H7" s="4636"/>
      <c r="I7" s="2762"/>
      <c r="J7" s="4632"/>
      <c r="K7" s="4632"/>
      <c r="L7" s="4632"/>
      <c r="M7" s="4632"/>
      <c r="N7" s="4632"/>
      <c r="O7" s="4632"/>
      <c r="P7" s="4632"/>
      <c r="Q7" s="1223"/>
      <c r="R7" s="3008"/>
      <c r="S7" s="2544"/>
      <c r="T7" s="2544"/>
      <c r="U7" s="615"/>
      <c r="V7" s="4635"/>
      <c r="W7" s="4636"/>
      <c r="X7" s="4636"/>
      <c r="Y7" s="4636"/>
      <c r="Z7" s="4636"/>
      <c r="AA7" s="4636"/>
      <c r="AB7" s="1219"/>
      <c r="AC7" s="4632"/>
      <c r="AD7" s="4632"/>
      <c r="AE7" s="4632"/>
      <c r="AF7" s="4632"/>
      <c r="AG7" s="4632"/>
      <c r="AH7" s="4632"/>
      <c r="AI7" s="4632"/>
      <c r="AJ7" s="1223"/>
      <c r="AK7" s="1216"/>
      <c r="AL7" s="1210"/>
    </row>
    <row r="8" spans="1:45" ht="12" customHeight="1" thickBot="1" x14ac:dyDescent="0.25">
      <c r="A8" s="1210"/>
      <c r="B8" s="3022"/>
      <c r="C8" s="4637"/>
      <c r="D8" s="4638"/>
      <c r="E8" s="4638"/>
      <c r="F8" s="4638"/>
      <c r="G8" s="4638"/>
      <c r="H8" s="4638"/>
      <c r="I8" s="2763"/>
      <c r="J8" s="2763"/>
      <c r="K8" s="2763"/>
      <c r="L8" s="2763"/>
      <c r="M8" s="2763"/>
      <c r="N8" s="2763"/>
      <c r="O8" s="2763"/>
      <c r="P8" s="2763"/>
      <c r="Q8" s="1229"/>
      <c r="R8" s="3008"/>
      <c r="S8" s="2544"/>
      <c r="T8" s="2544"/>
      <c r="U8" s="615"/>
      <c r="V8" s="4637"/>
      <c r="W8" s="4638"/>
      <c r="X8" s="4638"/>
      <c r="Y8" s="4638"/>
      <c r="Z8" s="4638"/>
      <c r="AA8" s="4638"/>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22"/>
      <c r="C9" s="741"/>
      <c r="D9" s="741"/>
      <c r="E9" s="741"/>
      <c r="F9" s="741"/>
      <c r="G9" s="741"/>
      <c r="H9" s="741"/>
      <c r="I9" s="741"/>
      <c r="J9" s="741"/>
      <c r="K9" s="741"/>
      <c r="L9" s="741"/>
      <c r="M9" s="741"/>
      <c r="N9" s="741"/>
      <c r="O9" s="741"/>
      <c r="P9" s="741"/>
      <c r="Q9" s="741"/>
      <c r="R9" s="3008"/>
      <c r="S9" s="2544"/>
      <c r="T9" s="2544"/>
      <c r="U9" s="615"/>
      <c r="V9" s="4622" t="str">
        <f>IF(Tablas!G488+Tablas!G489+Tablas!G551+Tablas!G534+Tablas!G552&gt;0,"Empatía hacia elemento: -5 CM al coste de cada efecto relacionado con elemento afín (Coste mínimo 5 CM)","")</f>
        <v/>
      </c>
      <c r="W9" s="4622"/>
      <c r="X9" s="4622"/>
      <c r="Y9" s="4622"/>
      <c r="Z9" s="4622"/>
      <c r="AA9" s="4622"/>
      <c r="AB9" s="4622"/>
      <c r="AC9" s="4622"/>
      <c r="AD9" s="4622"/>
      <c r="AE9" s="4622"/>
      <c r="AF9" s="4622"/>
      <c r="AG9" s="4622"/>
      <c r="AH9" s="4622"/>
      <c r="AI9" s="4622"/>
      <c r="AJ9" s="4622"/>
      <c r="AK9" s="1216"/>
      <c r="AL9" s="1210"/>
      <c r="AM9" s="1295"/>
      <c r="AN9" s="1295"/>
      <c r="AO9" s="1295"/>
      <c r="AP9" s="1295"/>
      <c r="AQ9" s="1296"/>
    </row>
    <row r="10" spans="1:45" ht="12" customHeight="1" thickBot="1" x14ac:dyDescent="0.25">
      <c r="A10" s="1210"/>
      <c r="B10" s="3022"/>
      <c r="C10" s="4286" t="s">
        <v>1913</v>
      </c>
      <c r="D10" s="4287"/>
      <c r="E10" s="4287"/>
      <c r="F10" s="4287"/>
      <c r="G10" s="4287"/>
      <c r="H10" s="4287"/>
      <c r="I10" s="4288"/>
      <c r="J10" s="3013"/>
      <c r="K10" s="4507" t="s">
        <v>1914</v>
      </c>
      <c r="L10" s="4508"/>
      <c r="M10" s="4508"/>
      <c r="N10" s="4508"/>
      <c r="O10" s="4508"/>
      <c r="P10" s="4511">
        <f>IF(Q10=0,40,"-")</f>
        <v>40</v>
      </c>
      <c r="Q10" s="4513"/>
      <c r="R10" s="4612" t="b">
        <f t="shared" ref="R10:R11" si="0">P10="-"</f>
        <v>0</v>
      </c>
      <c r="S10" s="2544"/>
      <c r="T10" s="2544"/>
      <c r="U10" s="615"/>
      <c r="V10" s="4544" t="s">
        <v>1915</v>
      </c>
      <c r="W10" s="4623"/>
      <c r="X10" s="4623"/>
      <c r="Y10" s="4545"/>
      <c r="Z10" s="1269"/>
      <c r="AA10" s="4544" t="s">
        <v>1916</v>
      </c>
      <c r="AB10" s="4623"/>
      <c r="AC10" s="4623"/>
      <c r="AD10" s="4623"/>
      <c r="AE10" s="4623"/>
      <c r="AF10" s="4623"/>
      <c r="AG10" s="4623"/>
      <c r="AH10" s="4623"/>
      <c r="AI10" s="4623"/>
      <c r="AJ10" s="4545"/>
      <c r="AK10" s="1216"/>
      <c r="AL10" s="1210"/>
    </row>
    <row r="11" spans="1:45" ht="12" customHeight="1" thickBot="1" x14ac:dyDescent="0.25">
      <c r="A11" s="1210"/>
      <c r="B11" s="3022"/>
      <c r="C11" s="1297"/>
      <c r="D11" s="705" t="s">
        <v>1917</v>
      </c>
      <c r="E11" s="1298" t="s">
        <v>1918</v>
      </c>
      <c r="F11" s="4624" t="s">
        <v>1919</v>
      </c>
      <c r="G11" s="4625"/>
      <c r="H11" s="4625"/>
      <c r="I11" s="4626"/>
      <c r="J11" s="3013"/>
      <c r="K11" s="4509"/>
      <c r="L11" s="4510"/>
      <c r="M11" s="4510"/>
      <c r="N11" s="4510"/>
      <c r="O11" s="4510"/>
      <c r="P11" s="4512"/>
      <c r="Q11" s="4514"/>
      <c r="R11" s="4612" t="b">
        <f t="shared" si="0"/>
        <v>0</v>
      </c>
      <c r="S11" s="2544"/>
      <c r="T11" s="2544"/>
      <c r="U11" s="615"/>
      <c r="V11" s="4574" t="s">
        <v>1920</v>
      </c>
      <c r="W11" s="4601"/>
      <c r="X11" s="4609"/>
      <c r="Y11" s="4606"/>
      <c r="Z11" s="1299"/>
      <c r="AA11" s="4620" t="s">
        <v>1921</v>
      </c>
      <c r="AB11" s="4205"/>
      <c r="AC11" s="4621"/>
      <c r="AD11" s="4205" t="s">
        <v>1922</v>
      </c>
      <c r="AE11" s="4205"/>
      <c r="AF11" s="4205"/>
      <c r="AG11" s="4205"/>
      <c r="AH11" s="4205"/>
      <c r="AI11" s="4205"/>
      <c r="AJ11" s="4206"/>
      <c r="AK11" s="1216"/>
      <c r="AL11" s="1210"/>
    </row>
    <row r="12" spans="1:45" ht="12" customHeight="1" x14ac:dyDescent="0.2">
      <c r="A12" s="1210"/>
      <c r="B12" s="3022"/>
      <c r="C12" s="4613" t="s">
        <v>1685</v>
      </c>
      <c r="D12" s="4581">
        <f>PDs!$AA33</f>
        <v>0</v>
      </c>
      <c r="E12" s="4583">
        <f>IF(OR(Tablas!$G$375&gt;0,Tablas!$G$17378&gt;0),"-",PDs!$AA27)</f>
        <v>0</v>
      </c>
      <c r="F12" s="4614"/>
      <c r="G12" s="4615"/>
      <c r="H12" s="4615"/>
      <c r="I12" s="4616"/>
      <c r="J12" s="3013"/>
      <c r="K12" s="4497" t="s">
        <v>1923</v>
      </c>
      <c r="L12" s="4498"/>
      <c r="M12" s="4498"/>
      <c r="N12" s="4498"/>
      <c r="O12" s="4498"/>
      <c r="P12" s="2764">
        <f>IF(Q12=0,30,"-")</f>
        <v>30</v>
      </c>
      <c r="Q12" s="2765"/>
      <c r="R12" s="3009" t="b">
        <f>P12="-"</f>
        <v>0</v>
      </c>
      <c r="S12" s="2544"/>
      <c r="T12" s="2544"/>
      <c r="U12" s="615"/>
      <c r="V12" s="4574"/>
      <c r="W12" s="4601"/>
      <c r="X12" s="4609"/>
      <c r="Y12" s="4606"/>
      <c r="Z12" s="1299"/>
      <c r="AA12" s="4617"/>
      <c r="AB12" s="4618"/>
      <c r="AC12" s="4619"/>
      <c r="AD12" s="4610"/>
      <c r="AE12" s="4610"/>
      <c r="AF12" s="4610"/>
      <c r="AG12" s="4610"/>
      <c r="AH12" s="4610"/>
      <c r="AI12" s="4610"/>
      <c r="AJ12" s="4611"/>
      <c r="AK12" s="1216"/>
      <c r="AL12" s="1210"/>
    </row>
    <row r="13" spans="1:45" ht="12" customHeight="1" x14ac:dyDescent="0.2">
      <c r="A13" s="1210"/>
      <c r="B13" s="3022"/>
      <c r="C13" s="4574"/>
      <c r="D13" s="4575"/>
      <c r="E13" s="4576"/>
      <c r="F13" s="4577"/>
      <c r="G13" s="4491"/>
      <c r="H13" s="4491"/>
      <c r="I13" s="4578"/>
      <c r="J13" s="3013"/>
      <c r="K13" s="1300" t="s">
        <v>1924</v>
      </c>
      <c r="L13" s="4558" t="s">
        <v>1925</v>
      </c>
      <c r="M13" s="4558"/>
      <c r="N13" s="4558"/>
      <c r="O13" s="4558"/>
      <c r="P13" s="2764">
        <f>IF(Q13=0,20,"-")</f>
        <v>20</v>
      </c>
      <c r="Q13" s="2765"/>
      <c r="R13" s="3009" t="b">
        <f t="shared" ref="R13:R62" si="1">P13="-"</f>
        <v>0</v>
      </c>
      <c r="S13" s="2544"/>
      <c r="T13" s="2544"/>
      <c r="U13" s="615"/>
      <c r="V13" s="4574" t="s">
        <v>1926</v>
      </c>
      <c r="W13" s="4601"/>
      <c r="X13" s="4609"/>
      <c r="Y13" s="4606"/>
      <c r="Z13" s="746"/>
      <c r="AA13" s="4596"/>
      <c r="AB13" s="4597"/>
      <c r="AC13" s="4598"/>
      <c r="AD13" s="4599"/>
      <c r="AE13" s="4599"/>
      <c r="AF13" s="4599"/>
      <c r="AG13" s="4599"/>
      <c r="AH13" s="4599"/>
      <c r="AI13" s="4599"/>
      <c r="AJ13" s="4600"/>
      <c r="AK13" s="1216"/>
      <c r="AL13" s="1210"/>
    </row>
    <row r="14" spans="1:45" ht="12" customHeight="1" x14ac:dyDescent="0.2">
      <c r="A14" s="1210"/>
      <c r="B14" s="3022"/>
      <c r="C14" s="4563" t="s">
        <v>1813</v>
      </c>
      <c r="D14" s="4565">
        <f>PDs!$AA34</f>
        <v>0</v>
      </c>
      <c r="E14" s="4567">
        <f>IF(OR(Tablas!$G$375&gt;0,Tablas!$G$17378&gt;0),"-",PDs!$AA28)</f>
        <v>0</v>
      </c>
      <c r="F14" s="4569"/>
      <c r="G14" s="4501"/>
      <c r="H14" s="4501"/>
      <c r="I14" s="4570"/>
      <c r="J14" s="3013"/>
      <c r="K14" s="1300" t="s">
        <v>1927</v>
      </c>
      <c r="L14" s="1301" t="s">
        <v>1928</v>
      </c>
      <c r="M14" s="4540" t="s">
        <v>1929</v>
      </c>
      <c r="N14" s="4540"/>
      <c r="O14" s="4540"/>
      <c r="P14" s="2764">
        <f>IF(Q14=0,10,"-")</f>
        <v>10</v>
      </c>
      <c r="Q14" s="2765"/>
      <c r="R14" s="3009" t="b">
        <f t="shared" si="1"/>
        <v>0</v>
      </c>
      <c r="S14" s="2544"/>
      <c r="T14" s="2544"/>
      <c r="U14" s="615"/>
      <c r="V14" s="4574"/>
      <c r="W14" s="4601"/>
      <c r="X14" s="4609"/>
      <c r="Y14" s="4606"/>
      <c r="Z14" s="1273"/>
      <c r="AA14" s="4596"/>
      <c r="AB14" s="4597"/>
      <c r="AC14" s="4598"/>
      <c r="AD14" s="4599"/>
      <c r="AE14" s="4599"/>
      <c r="AF14" s="4599"/>
      <c r="AG14" s="4599"/>
      <c r="AH14" s="4599"/>
      <c r="AI14" s="4599"/>
      <c r="AJ14" s="4600"/>
      <c r="AK14" s="1216"/>
      <c r="AL14" s="1210"/>
    </row>
    <row r="15" spans="1:45" ht="12" customHeight="1" x14ac:dyDescent="0.2">
      <c r="A15" s="1210"/>
      <c r="B15" s="3022"/>
      <c r="C15" s="4563"/>
      <c r="D15" s="4565"/>
      <c r="E15" s="4567"/>
      <c r="F15" s="4569"/>
      <c r="G15" s="4501"/>
      <c r="H15" s="4501"/>
      <c r="I15" s="4570"/>
      <c r="J15" s="3013"/>
      <c r="K15" s="1300" t="s">
        <v>1924</v>
      </c>
      <c r="L15" s="4540" t="s">
        <v>1930</v>
      </c>
      <c r="M15" s="4540"/>
      <c r="N15" s="4540"/>
      <c r="O15" s="4540"/>
      <c r="P15" s="2764">
        <f>IF(Q15=0,40,"-")</f>
        <v>40</v>
      </c>
      <c r="Q15" s="2765"/>
      <c r="R15" s="3009" t="b">
        <f t="shared" si="1"/>
        <v>0</v>
      </c>
      <c r="S15" s="2544"/>
      <c r="T15" s="2544"/>
      <c r="U15" s="615"/>
      <c r="V15" s="4574" t="s">
        <v>1931</v>
      </c>
      <c r="W15" s="4601"/>
      <c r="X15" s="4609"/>
      <c r="Y15" s="4606"/>
      <c r="Z15" s="1302"/>
      <c r="AA15" s="4596"/>
      <c r="AB15" s="4597"/>
      <c r="AC15" s="4598"/>
      <c r="AD15" s="4599"/>
      <c r="AE15" s="4599"/>
      <c r="AF15" s="4599"/>
      <c r="AG15" s="4599"/>
      <c r="AH15" s="4599"/>
      <c r="AI15" s="4599"/>
      <c r="AJ15" s="4600"/>
      <c r="AK15" s="1216"/>
      <c r="AL15" s="1210"/>
    </row>
    <row r="16" spans="1:45" ht="12" customHeight="1" x14ac:dyDescent="0.2">
      <c r="A16" s="1210"/>
      <c r="B16" s="3022"/>
      <c r="C16" s="4574" t="s">
        <v>1690</v>
      </c>
      <c r="D16" s="4575">
        <f>PDs!$AA35</f>
        <v>0</v>
      </c>
      <c r="E16" s="4576">
        <f>IF(OR(Tablas!$G$375&gt;0,Tablas!$G$17378&gt;0),"-",PDs!$AA29)</f>
        <v>0</v>
      </c>
      <c r="F16" s="4577"/>
      <c r="G16" s="4491"/>
      <c r="H16" s="4491"/>
      <c r="I16" s="4578"/>
      <c r="J16" s="3013"/>
      <c r="K16" s="1300" t="s">
        <v>1924</v>
      </c>
      <c r="L16" s="4540" t="s">
        <v>1932</v>
      </c>
      <c r="M16" s="4540"/>
      <c r="N16" s="4540"/>
      <c r="O16" s="4540"/>
      <c r="P16" s="2764">
        <f>IF(Q16=0,10,"-")</f>
        <v>10</v>
      </c>
      <c r="Q16" s="2765"/>
      <c r="R16" s="3009" t="b">
        <f t="shared" si="1"/>
        <v>0</v>
      </c>
      <c r="S16" s="2544"/>
      <c r="T16" s="2544"/>
      <c r="U16" s="615"/>
      <c r="V16" s="4574"/>
      <c r="W16" s="4601"/>
      <c r="X16" s="4609"/>
      <c r="Y16" s="4606"/>
      <c r="Z16" s="1302"/>
      <c r="AA16" s="4596"/>
      <c r="AB16" s="4597"/>
      <c r="AC16" s="4598"/>
      <c r="AD16" s="4599"/>
      <c r="AE16" s="4599"/>
      <c r="AF16" s="4599"/>
      <c r="AG16" s="4599"/>
      <c r="AH16" s="4599"/>
      <c r="AI16" s="4599"/>
      <c r="AJ16" s="4600"/>
      <c r="AK16" s="1216"/>
      <c r="AL16" s="1210"/>
      <c r="AO16" s="741"/>
      <c r="AP16" s="741"/>
      <c r="AQ16" s="741"/>
      <c r="AR16" s="741"/>
      <c r="AS16" s="741"/>
    </row>
    <row r="17" spans="1:47" ht="12" customHeight="1" x14ac:dyDescent="0.2">
      <c r="A17" s="1210"/>
      <c r="B17" s="3022"/>
      <c r="C17" s="4574"/>
      <c r="D17" s="4575"/>
      <c r="E17" s="4576"/>
      <c r="F17" s="4577"/>
      <c r="G17" s="4491"/>
      <c r="H17" s="4491"/>
      <c r="I17" s="4578"/>
      <c r="J17" s="3013"/>
      <c r="K17" s="1300" t="s">
        <v>1927</v>
      </c>
      <c r="L17" s="1303" t="s">
        <v>1924</v>
      </c>
      <c r="M17" s="4558" t="s">
        <v>1933</v>
      </c>
      <c r="N17" s="4558"/>
      <c r="O17" s="4558"/>
      <c r="P17" s="2764">
        <f>IF(Q17=0,30,"-")</f>
        <v>30</v>
      </c>
      <c r="Q17" s="2765"/>
      <c r="R17" s="3009" t="b">
        <f t="shared" si="1"/>
        <v>0</v>
      </c>
      <c r="S17" s="2544"/>
      <c r="T17" s="2544"/>
      <c r="U17" s="615"/>
      <c r="V17" s="4574" t="s">
        <v>1934</v>
      </c>
      <c r="W17" s="4601"/>
      <c r="X17" s="4609"/>
      <c r="Y17" s="4606"/>
      <c r="Z17" s="1304"/>
      <c r="AA17" s="4596"/>
      <c r="AB17" s="4597"/>
      <c r="AC17" s="4598"/>
      <c r="AD17" s="4599"/>
      <c r="AE17" s="4599"/>
      <c r="AF17" s="4599"/>
      <c r="AG17" s="4599"/>
      <c r="AH17" s="4599"/>
      <c r="AI17" s="4599"/>
      <c r="AJ17" s="4600"/>
      <c r="AK17" s="1216"/>
      <c r="AL17" s="1210"/>
      <c r="AO17" s="741"/>
      <c r="AP17" s="741"/>
      <c r="AQ17" s="741"/>
      <c r="AR17" s="741"/>
      <c r="AS17" s="741"/>
    </row>
    <row r="18" spans="1:47" ht="12" customHeight="1" x14ac:dyDescent="0.2">
      <c r="A18" s="1210"/>
      <c r="B18" s="3022"/>
      <c r="C18" s="4563" t="s">
        <v>1695</v>
      </c>
      <c r="D18" s="4565">
        <f>PDs!$AA36</f>
        <v>0</v>
      </c>
      <c r="E18" s="4567">
        <f>IF(OR(Tablas!$G$375&gt;0,Tablas!$G$17378&gt;0),"-",PDs!$AA30)</f>
        <v>0</v>
      </c>
      <c r="F18" s="4569"/>
      <c r="G18" s="4501"/>
      <c r="H18" s="4501"/>
      <c r="I18" s="4570"/>
      <c r="J18" s="3013"/>
      <c r="K18" s="1300" t="s">
        <v>1927</v>
      </c>
      <c r="L18" s="1303" t="s">
        <v>1927</v>
      </c>
      <c r="M18" s="1303" t="s">
        <v>1935</v>
      </c>
      <c r="N18" s="4608" t="s">
        <v>1936</v>
      </c>
      <c r="O18" s="4608"/>
      <c r="P18" s="2764">
        <f>IF(Q18=0,20,"-")</f>
        <v>20</v>
      </c>
      <c r="Q18" s="2765"/>
      <c r="R18" s="3009" t="b">
        <f t="shared" si="1"/>
        <v>0</v>
      </c>
      <c r="S18" s="2544"/>
      <c r="T18" s="2544"/>
      <c r="U18" s="615"/>
      <c r="V18" s="4574"/>
      <c r="W18" s="4601"/>
      <c r="X18" s="4609"/>
      <c r="Y18" s="4606"/>
      <c r="Z18" s="1305"/>
      <c r="AA18" s="4596"/>
      <c r="AB18" s="4597"/>
      <c r="AC18" s="4598"/>
      <c r="AD18" s="4599"/>
      <c r="AE18" s="4599"/>
      <c r="AF18" s="4599"/>
      <c r="AG18" s="4599"/>
      <c r="AH18" s="4599"/>
      <c r="AI18" s="4599"/>
      <c r="AJ18" s="4600"/>
      <c r="AK18" s="1216"/>
      <c r="AL18" s="1210"/>
      <c r="AO18" s="741"/>
      <c r="AP18" s="741"/>
      <c r="AQ18" s="741"/>
      <c r="AR18" s="741"/>
      <c r="AS18" s="741"/>
    </row>
    <row r="19" spans="1:47" ht="12" customHeight="1" x14ac:dyDescent="0.2">
      <c r="A19" s="1210"/>
      <c r="B19" s="3022"/>
      <c r="C19" s="4563"/>
      <c r="D19" s="4565"/>
      <c r="E19" s="4567"/>
      <c r="F19" s="4569"/>
      <c r="G19" s="4501"/>
      <c r="H19" s="4501"/>
      <c r="I19" s="4570"/>
      <c r="J19" s="3013"/>
      <c r="K19" s="1300" t="s">
        <v>1927</v>
      </c>
      <c r="L19" s="1303" t="s">
        <v>1924</v>
      </c>
      <c r="M19" s="4558" t="s">
        <v>1937</v>
      </c>
      <c r="N19" s="4558"/>
      <c r="O19" s="4558"/>
      <c r="P19" s="2764">
        <f>IF(Q19=0,30,"-")</f>
        <v>30</v>
      </c>
      <c r="Q19" s="2765"/>
      <c r="R19" s="3009" t="b">
        <f t="shared" si="1"/>
        <v>0</v>
      </c>
      <c r="S19" s="2544"/>
      <c r="T19" s="2544"/>
      <c r="U19" s="615"/>
      <c r="V19" s="4574" t="s">
        <v>1938</v>
      </c>
      <c r="W19" s="4601"/>
      <c r="X19" s="4604"/>
      <c r="Y19" s="4606"/>
      <c r="Z19" s="1305"/>
      <c r="AA19" s="4596"/>
      <c r="AB19" s="4597"/>
      <c r="AC19" s="4598"/>
      <c r="AD19" s="4599"/>
      <c r="AE19" s="4599"/>
      <c r="AF19" s="4599"/>
      <c r="AG19" s="4599"/>
      <c r="AH19" s="4599"/>
      <c r="AI19" s="4599"/>
      <c r="AJ19" s="4600"/>
      <c r="AK19" s="1216"/>
      <c r="AL19" s="1210"/>
      <c r="AM19" s="1255"/>
      <c r="AO19" s="741"/>
      <c r="AP19" s="741"/>
      <c r="AQ19" s="741"/>
      <c r="AR19" s="741"/>
      <c r="AS19" s="741"/>
    </row>
    <row r="20" spans="1:47" ht="12" customHeight="1" thickBot="1" x14ac:dyDescent="0.25">
      <c r="A20" s="1210"/>
      <c r="B20" s="3022"/>
      <c r="C20" s="4574" t="s">
        <v>1703</v>
      </c>
      <c r="D20" s="4575">
        <f>PDs!$AA37</f>
        <v>0</v>
      </c>
      <c r="E20" s="4576">
        <f>IF(OR(Tablas!$G$375&gt;0,Tablas!$G$17378&gt;0),"-",PDs!$AA31)</f>
        <v>0</v>
      </c>
      <c r="F20" s="4577"/>
      <c r="G20" s="4491"/>
      <c r="H20" s="4491"/>
      <c r="I20" s="4578"/>
      <c r="J20" s="3013"/>
      <c r="K20" s="1300" t="s">
        <v>1927</v>
      </c>
      <c r="L20" s="1303" t="s">
        <v>1927</v>
      </c>
      <c r="M20" s="1303" t="s">
        <v>1924</v>
      </c>
      <c r="N20" s="4540" t="s">
        <v>1939</v>
      </c>
      <c r="O20" s="4540"/>
      <c r="P20" s="2764">
        <f>IF(Q20=0,30,"-")</f>
        <v>30</v>
      </c>
      <c r="Q20" s="2765"/>
      <c r="R20" s="3009" t="b">
        <f t="shared" si="1"/>
        <v>0</v>
      </c>
      <c r="S20" s="2544"/>
      <c r="T20" s="2544"/>
      <c r="U20" s="615"/>
      <c r="V20" s="4602"/>
      <c r="W20" s="4603"/>
      <c r="X20" s="4605"/>
      <c r="Y20" s="4607"/>
      <c r="Z20" s="1305"/>
      <c r="AA20" s="4593"/>
      <c r="AB20" s="4594"/>
      <c r="AC20" s="4595"/>
      <c r="AD20" s="4579"/>
      <c r="AE20" s="4579"/>
      <c r="AF20" s="4579"/>
      <c r="AG20" s="4579"/>
      <c r="AH20" s="4579"/>
      <c r="AI20" s="4579"/>
      <c r="AJ20" s="4580"/>
      <c r="AK20" s="1216"/>
      <c r="AL20" s="1210"/>
      <c r="AM20" s="1269"/>
      <c r="AN20" s="1258"/>
      <c r="AO20" s="1258"/>
      <c r="AP20" s="1258"/>
      <c r="AQ20" s="1258"/>
      <c r="AR20" s="1258"/>
      <c r="AS20" s="1258"/>
      <c r="AT20" s="1258"/>
      <c r="AU20" s="1258"/>
    </row>
    <row r="21" spans="1:47" ht="12" customHeight="1" thickBot="1" x14ac:dyDescent="0.25">
      <c r="A21" s="1210"/>
      <c r="B21" s="3022"/>
      <c r="C21" s="4574"/>
      <c r="D21" s="4575"/>
      <c r="E21" s="4576"/>
      <c r="F21" s="4577"/>
      <c r="G21" s="4491"/>
      <c r="H21" s="4491"/>
      <c r="I21" s="4578"/>
      <c r="J21" s="3013"/>
      <c r="K21" s="1300" t="s">
        <v>1927</v>
      </c>
      <c r="L21" s="1303" t="s">
        <v>1927</v>
      </c>
      <c r="M21" s="1303" t="s">
        <v>1927</v>
      </c>
      <c r="N21" s="4558" t="s">
        <v>1940</v>
      </c>
      <c r="O21" s="4558"/>
      <c r="P21" s="2764">
        <f>IF(Q21=0,40,"-")</f>
        <v>40</v>
      </c>
      <c r="Q21" s="2765"/>
      <c r="R21" s="3009" t="b">
        <f t="shared" si="1"/>
        <v>0</v>
      </c>
      <c r="S21" s="2544"/>
      <c r="T21" s="2544"/>
      <c r="U21" s="615"/>
      <c r="AK21" s="1216"/>
      <c r="AL21" s="1210"/>
      <c r="AM21" s="1269"/>
      <c r="AN21" s="1258"/>
      <c r="AO21" s="1258"/>
      <c r="AP21" s="1258"/>
      <c r="AQ21" s="1258"/>
      <c r="AR21" s="1258"/>
      <c r="AS21" s="1258"/>
      <c r="AT21" s="1258"/>
      <c r="AU21" s="1258"/>
    </row>
    <row r="22" spans="1:47" ht="12" customHeight="1" x14ac:dyDescent="0.2">
      <c r="A22" s="1210"/>
      <c r="B22" s="3022"/>
      <c r="C22" s="4563" t="s">
        <v>1704</v>
      </c>
      <c r="D22" s="4565">
        <f>PDs!$AA38</f>
        <v>0</v>
      </c>
      <c r="E22" s="4567">
        <f>IF(OR(Tablas!$G$375&gt;0,Tablas!$G$17378&gt;0),"-",PDs!$AA32)</f>
        <v>0</v>
      </c>
      <c r="F22" s="4569"/>
      <c r="G22" s="4501"/>
      <c r="H22" s="4501"/>
      <c r="I22" s="4570"/>
      <c r="J22" s="3013"/>
      <c r="K22" s="1300" t="s">
        <v>1927</v>
      </c>
      <c r="L22" s="1303" t="s">
        <v>1927</v>
      </c>
      <c r="M22" s="1303" t="s">
        <v>1935</v>
      </c>
      <c r="N22" s="4540" t="s">
        <v>1941</v>
      </c>
      <c r="O22" s="4540"/>
      <c r="P22" s="2764">
        <f>IF(Q22=0,30,"-")</f>
        <v>30</v>
      </c>
      <c r="Q22" s="2765"/>
      <c r="R22" s="3009" t="b">
        <f t="shared" si="1"/>
        <v>0</v>
      </c>
      <c r="S22" s="2544"/>
      <c r="T22" s="2544"/>
      <c r="U22" s="615"/>
      <c r="V22" s="4221" t="s">
        <v>1912</v>
      </c>
      <c r="W22" s="4222"/>
      <c r="X22" s="4222"/>
      <c r="Y22" s="4222"/>
      <c r="Z22" s="4222"/>
      <c r="AA22" s="4223"/>
      <c r="AB22" s="1337" t="s">
        <v>1815</v>
      </c>
      <c r="AD22" s="4221" t="s">
        <v>1912</v>
      </c>
      <c r="AE22" s="4222"/>
      <c r="AF22" s="4222"/>
      <c r="AG22" s="4222"/>
      <c r="AH22" s="4222"/>
      <c r="AI22" s="4223"/>
      <c r="AJ22" s="1337" t="s">
        <v>1815</v>
      </c>
      <c r="AK22" s="1216"/>
      <c r="AL22" s="1210"/>
      <c r="AM22" s="1269"/>
      <c r="AN22" s="1258"/>
      <c r="AO22" s="1258"/>
      <c r="AP22" s="1258"/>
      <c r="AQ22" s="1258"/>
      <c r="AR22" s="1258"/>
      <c r="AS22" s="1258"/>
      <c r="AT22" s="1258"/>
      <c r="AU22" s="1258"/>
    </row>
    <row r="23" spans="1:47" ht="12" customHeight="1" x14ac:dyDescent="0.2">
      <c r="A23" s="1210"/>
      <c r="B23" s="3022"/>
      <c r="C23" s="4564"/>
      <c r="D23" s="4566"/>
      <c r="E23" s="4568"/>
      <c r="F23" s="4571"/>
      <c r="G23" s="4572"/>
      <c r="H23" s="4572"/>
      <c r="I23" s="4573"/>
      <c r="J23" s="3013"/>
      <c r="K23" s="1300" t="s">
        <v>1927</v>
      </c>
      <c r="L23" s="1303" t="s">
        <v>1927</v>
      </c>
      <c r="M23" s="1306"/>
      <c r="N23" s="4558" t="s">
        <v>1942</v>
      </c>
      <c r="O23" s="4558"/>
      <c r="P23" s="2764">
        <f>IF(Q23=0,40,"-")</f>
        <v>40</v>
      </c>
      <c r="Q23" s="2765"/>
      <c r="R23" s="3009" t="b">
        <f t="shared" si="1"/>
        <v>0</v>
      </c>
      <c r="S23" s="2544"/>
      <c r="T23" s="2544"/>
      <c r="U23" s="1307">
        <f>IF(V23=0,0,1)</f>
        <v>0</v>
      </c>
      <c r="V23" s="4559"/>
      <c r="W23" s="4560"/>
      <c r="X23" s="4560"/>
      <c r="Y23" s="4560"/>
      <c r="Z23" s="4560"/>
      <c r="AA23" s="4561"/>
      <c r="AB23" s="4562" t="str">
        <f>IF(V23="","",VLOOKUP(V23,'Tablas Técnicas'!$AD$5:$AI$188,3,FALSE))</f>
        <v/>
      </c>
      <c r="AD23" s="4559"/>
      <c r="AE23" s="4560"/>
      <c r="AF23" s="4560"/>
      <c r="AG23" s="4560"/>
      <c r="AH23" s="4560"/>
      <c r="AI23" s="4561"/>
      <c r="AJ23" s="4562"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22"/>
      <c r="C24" s="3014" t="s">
        <v>1943</v>
      </c>
      <c r="D24" s="4581">
        <f>D12+D14+D16+D18+D20+D22</f>
        <v>0</v>
      </c>
      <c r="E24" s="4583">
        <f>IF(OR(Tablas!$G$375&gt;0,Tablas!$H$2008&gt;0),((PDs!AA31*6)+(PDs!V27+PDs!V28+PDs!V29+PDs!V30+PDs!V31+PDs!V32)),(E12+E14+E16+E18+E20+E22))</f>
        <v>0</v>
      </c>
      <c r="F24" s="4585"/>
      <c r="G24" s="4586"/>
      <c r="H24" s="4586"/>
      <c r="I24" s="4587"/>
      <c r="J24" s="3013"/>
      <c r="K24" s="1300" t="s">
        <v>1927</v>
      </c>
      <c r="L24" s="1303" t="s">
        <v>1935</v>
      </c>
      <c r="M24" s="4540" t="s">
        <v>1944</v>
      </c>
      <c r="N24" s="4540"/>
      <c r="O24" s="4540"/>
      <c r="P24" s="2764">
        <f>IF(Q24=0,20,"-")</f>
        <v>20</v>
      </c>
      <c r="Q24" s="2765"/>
      <c r="R24" s="3009" t="b">
        <f t="shared" si="1"/>
        <v>0</v>
      </c>
      <c r="S24" s="2544"/>
      <c r="T24" s="2544"/>
      <c r="U24" s="1307"/>
      <c r="V24" s="4591" t="str">
        <f>IF(V23="","",VLOOKUP(V23,'Tablas Técnicas'!$AD$5:$AI$188,4,FALSE))</f>
        <v/>
      </c>
      <c r="W24" s="4592"/>
      <c r="X24" s="4592"/>
      <c r="Y24" s="4592"/>
      <c r="Z24" s="1363" t="s">
        <v>1630</v>
      </c>
      <c r="AA24" s="1467" t="str">
        <f>IF(V23="","",VLOOKUP(V23,'Tablas Técnicas'!$AD$5:$AI$188,2,FALSE))</f>
        <v/>
      </c>
      <c r="AB24" s="4493"/>
      <c r="AD24" s="4591" t="str">
        <f>IF(AD23="","",VLOOKUP(AD23,'Tablas Técnicas'!$AD$5:$AI$188,4,FALSE))</f>
        <v/>
      </c>
      <c r="AE24" s="4592"/>
      <c r="AF24" s="4592"/>
      <c r="AG24" s="4592"/>
      <c r="AH24" s="1342" t="s">
        <v>1630</v>
      </c>
      <c r="AI24" s="1344" t="str">
        <f>IF(AD23="","",VLOOKUP(AD23,'Tablas Técnicas'!$AD$5:$AI$188,2,FALSE))</f>
        <v/>
      </c>
      <c r="AJ24" s="4493"/>
      <c r="AK24" s="1216"/>
      <c r="AL24" s="1210"/>
      <c r="AM24" s="1258"/>
      <c r="AN24" s="1258"/>
      <c r="AO24" s="1258"/>
      <c r="AP24" s="1258"/>
      <c r="AQ24" s="1258"/>
      <c r="AR24" s="1258"/>
      <c r="AS24" s="1258"/>
      <c r="AT24" s="1258"/>
      <c r="AU24" s="1258"/>
    </row>
    <row r="25" spans="1:47" ht="12" customHeight="1" thickBot="1" x14ac:dyDescent="0.25">
      <c r="A25" s="1210"/>
      <c r="B25" s="3022"/>
      <c r="C25" s="1308" t="s">
        <v>1661</v>
      </c>
      <c r="D25" s="4582"/>
      <c r="E25" s="4584"/>
      <c r="F25" s="4588"/>
      <c r="G25" s="4589"/>
      <c r="H25" s="4589"/>
      <c r="I25" s="4590"/>
      <c r="J25" s="3013"/>
      <c r="K25" s="1300" t="s">
        <v>1924</v>
      </c>
      <c r="L25" s="4540" t="s">
        <v>1945</v>
      </c>
      <c r="M25" s="4540"/>
      <c r="N25" s="4540"/>
      <c r="O25" s="4540"/>
      <c r="P25" s="2764">
        <f>IF(Q25=0,50,"-")</f>
        <v>50</v>
      </c>
      <c r="Q25" s="2765"/>
      <c r="R25" s="3009" t="b">
        <f t="shared" si="1"/>
        <v>0</v>
      </c>
      <c r="S25" s="2544"/>
      <c r="T25" s="2544"/>
      <c r="U25" s="1307">
        <f t="shared" ref="U25:U63" si="2">IF(V25=0,0,1)</f>
        <v>0</v>
      </c>
      <c r="V25" s="4500"/>
      <c r="W25" s="4501"/>
      <c r="X25" s="4501"/>
      <c r="Y25" s="4501"/>
      <c r="Z25" s="4501"/>
      <c r="AA25" s="4502"/>
      <c r="AB25" s="4503" t="str">
        <f>IF(V25="","",VLOOKUP(V25,'Tablas Técnicas'!$AD$5:$AI$188,3,FALSE))</f>
        <v/>
      </c>
      <c r="AD25" s="4500"/>
      <c r="AE25" s="4501"/>
      <c r="AF25" s="4501"/>
      <c r="AG25" s="4501"/>
      <c r="AH25" s="4501"/>
      <c r="AI25" s="4502"/>
      <c r="AJ25" s="4503"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22"/>
      <c r="C26" s="741"/>
      <c r="D26" s="741"/>
      <c r="E26" s="741"/>
      <c r="F26" s="741"/>
      <c r="G26" s="741"/>
      <c r="H26" s="741"/>
      <c r="I26" s="741"/>
      <c r="J26" s="3013"/>
      <c r="K26" s="1300" t="s">
        <v>1935</v>
      </c>
      <c r="L26" s="4540" t="s">
        <v>1946</v>
      </c>
      <c r="M26" s="4540"/>
      <c r="N26" s="4540"/>
      <c r="O26" s="4540"/>
      <c r="P26" s="2764">
        <f>IF(Q26=0,20,"-")</f>
        <v>20</v>
      </c>
      <c r="Q26" s="2765"/>
      <c r="R26" s="3009" t="b">
        <f t="shared" si="1"/>
        <v>0</v>
      </c>
      <c r="S26" s="2544"/>
      <c r="T26" s="2544"/>
      <c r="U26" s="1307"/>
      <c r="V26" s="4504" t="str">
        <f>IF(V25="","",VLOOKUP(V25,'Tablas Técnicas'!$AD$5:$AI$188,4,FALSE))</f>
        <v/>
      </c>
      <c r="W26" s="4505"/>
      <c r="X26" s="4505"/>
      <c r="Y26" s="4505"/>
      <c r="Z26" s="1273" t="s">
        <v>1630</v>
      </c>
      <c r="AA26" s="1309" t="str">
        <f>IF(V25="","",VLOOKUP(V25,'Tablas Técnicas'!$AD$5:$AI$188,2,FALSE))</f>
        <v/>
      </c>
      <c r="AB26" s="4503"/>
      <c r="AD26" s="4504" t="str">
        <f>IF(AD25="","",VLOOKUP(AD25,'Tablas Técnicas'!$AD$5:$AI$188,4,FALSE))</f>
        <v/>
      </c>
      <c r="AE26" s="4505"/>
      <c r="AF26" s="4505"/>
      <c r="AG26" s="4505"/>
      <c r="AH26" s="1273" t="s">
        <v>1630</v>
      </c>
      <c r="AI26" s="1309" t="str">
        <f>IF(AD25="","",VLOOKUP(AD25,'Tablas Técnicas'!$AD$5:$AI$188,2,FALSE))</f>
        <v/>
      </c>
      <c r="AJ26" s="4503"/>
      <c r="AK26" s="1216"/>
      <c r="AL26" s="1210"/>
      <c r="AM26" s="1258"/>
      <c r="AN26" s="1258"/>
      <c r="AO26" s="1258"/>
      <c r="AP26" s="1258"/>
      <c r="AQ26" s="1258"/>
      <c r="AR26" s="1258"/>
      <c r="AS26" s="1258"/>
      <c r="AT26" s="1258"/>
      <c r="AU26" s="1258"/>
    </row>
    <row r="27" spans="1:47" ht="12" customHeight="1" thickBot="1" x14ac:dyDescent="0.25">
      <c r="A27" s="1210"/>
      <c r="B27" s="3022"/>
      <c r="C27" s="4286" t="s">
        <v>1947</v>
      </c>
      <c r="D27" s="4287"/>
      <c r="E27" s="4287"/>
      <c r="F27" s="4288"/>
      <c r="G27" s="741"/>
      <c r="H27" s="4544" t="s">
        <v>1948</v>
      </c>
      <c r="I27" s="4545"/>
      <c r="J27" s="3013"/>
      <c r="K27" s="4497" t="s">
        <v>1949</v>
      </c>
      <c r="L27" s="4499"/>
      <c r="M27" s="4499"/>
      <c r="N27" s="4499"/>
      <c r="O27" s="4499"/>
      <c r="P27" s="2764">
        <f>IF(Q27=0,10,"-")</f>
        <v>10</v>
      </c>
      <c r="Q27" s="2765"/>
      <c r="R27" s="3009" t="b">
        <f t="shared" si="1"/>
        <v>0</v>
      </c>
      <c r="S27" s="2544"/>
      <c r="T27" s="2544"/>
      <c r="U27" s="1307">
        <f t="shared" si="2"/>
        <v>0</v>
      </c>
      <c r="V27" s="4490"/>
      <c r="W27" s="4491"/>
      <c r="X27" s="4491"/>
      <c r="Y27" s="4491"/>
      <c r="Z27" s="4491"/>
      <c r="AA27" s="4492"/>
      <c r="AB27" s="4493" t="str">
        <f>IF(V27="","",VLOOKUP(V27,'Tablas Técnicas'!$AD$5:$AI$188,3,FALSE))</f>
        <v/>
      </c>
      <c r="AD27" s="4490"/>
      <c r="AE27" s="4491"/>
      <c r="AF27" s="4491"/>
      <c r="AG27" s="4491"/>
      <c r="AH27" s="4491"/>
      <c r="AI27" s="4492"/>
      <c r="AJ27" s="4493"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22"/>
      <c r="C28" s="4552" t="s">
        <v>1950</v>
      </c>
      <c r="D28" s="4553"/>
      <c r="E28" s="4554" t="s">
        <v>1951</v>
      </c>
      <c r="F28" s="4555"/>
      <c r="G28" s="3015">
        <f>Tablas!$H$945</f>
        <v>0</v>
      </c>
      <c r="H28" s="4556"/>
      <c r="I28" s="4557"/>
      <c r="J28" s="3013"/>
      <c r="K28" s="1300" t="s">
        <v>1935</v>
      </c>
      <c r="L28" s="4540" t="s">
        <v>1952</v>
      </c>
      <c r="M28" s="4540"/>
      <c r="N28" s="4540"/>
      <c r="O28" s="4540"/>
      <c r="P28" s="2764">
        <f>IF(Q28=0,20,"-")</f>
        <v>20</v>
      </c>
      <c r="Q28" s="2765"/>
      <c r="R28" s="3009" t="b">
        <f t="shared" si="1"/>
        <v>0</v>
      </c>
      <c r="S28" s="2544"/>
      <c r="T28" s="2544"/>
      <c r="U28" s="1307"/>
      <c r="V28" s="4194" t="str">
        <f>IF(V27="","",VLOOKUP(V27,'Tablas Técnicas'!$AD$5:$AI$188,4,FALSE))</f>
        <v/>
      </c>
      <c r="W28" s="4260"/>
      <c r="X28" s="4260"/>
      <c r="Y28" s="4260"/>
      <c r="Z28" s="1342" t="s">
        <v>1630</v>
      </c>
      <c r="AA28" s="1344" t="str">
        <f>IF(V27="","",VLOOKUP(V27,'Tablas Técnicas'!$AD$5:$AI$188,2,FALSE))</f>
        <v/>
      </c>
      <c r="AB28" s="4493"/>
      <c r="AD28" s="4194" t="str">
        <f>IF(AD27="","",VLOOKUP(AD27,'Tablas Técnicas'!$AD$5:$AI$188,4,FALSE))</f>
        <v/>
      </c>
      <c r="AE28" s="4260"/>
      <c r="AF28" s="4260"/>
      <c r="AG28" s="4260"/>
      <c r="AH28" s="1342" t="s">
        <v>1630</v>
      </c>
      <c r="AI28" s="1344" t="str">
        <f>IF(AD27="","",VLOOKUP(AD27,'Tablas Técnicas'!$AD$5:$AI$188,2,FALSE))</f>
        <v/>
      </c>
      <c r="AJ28" s="4493"/>
      <c r="AK28" s="1216"/>
      <c r="AL28" s="1210"/>
      <c r="AM28" s="1258"/>
      <c r="AN28" s="1258"/>
      <c r="AO28" s="1258"/>
      <c r="AP28" s="1258"/>
      <c r="AQ28" s="1258"/>
      <c r="AR28" s="1258"/>
      <c r="AS28" s="1258"/>
      <c r="AT28" s="1258"/>
      <c r="AU28" s="1258"/>
    </row>
    <row r="29" spans="1:47" ht="12" customHeight="1" x14ac:dyDescent="0.2">
      <c r="A29" s="1210"/>
      <c r="B29" s="3022"/>
      <c r="C29" s="4546">
        <f>CM_final</f>
        <v>10</v>
      </c>
      <c r="D29" s="4547"/>
      <c r="E29" s="4547">
        <f>SUM(Q10:Q64)+SUM(I43:I64)+IF(I40="",0,I40)+IF(I41="",0,I41)+SUM(PDs!$AA$78:$AA$82)+IF(X11=0,0,30)+IF(X13=0,0,30)+IF(X15=0,0,30)+IF(X17=0,0,30)+IF(X19=0,0,30)+IF(Y11=0,0,60)+IF(Y13=0,0,60)+IF(Y15=0,0,60)+IF(Y17=0,0,60)+IF(Y19=0,0,60)+IF(H28=0,0,5)+IF(H29=0,0,5)+IF(H30=0,0,10)+IF(H31=0,0,10)+IF(H32=0,0,15)+IF(H33=0,0,15)+IF(H34=0,0,20)+IF(H35=0,0,20)+IF(H36=0,0,25)+IF(H37=0,0,25)+SUM(AB23:AB64)+SUM(AJ23:AJ64)</f>
        <v>0</v>
      </c>
      <c r="F29" s="4550"/>
      <c r="G29" s="741"/>
      <c r="H29" s="4534"/>
      <c r="I29" s="4535"/>
      <c r="J29" s="3013"/>
      <c r="K29" s="1310"/>
      <c r="L29" s="1303" t="s">
        <v>1924</v>
      </c>
      <c r="M29" s="4540" t="s">
        <v>1953</v>
      </c>
      <c r="N29" s="4540"/>
      <c r="O29" s="4540"/>
      <c r="P29" s="2764">
        <f>IF(Q29=0,10,"-")</f>
        <v>10</v>
      </c>
      <c r="Q29" s="2765"/>
      <c r="R29" s="3009" t="b">
        <f t="shared" si="1"/>
        <v>0</v>
      </c>
      <c r="S29" s="2544"/>
      <c r="T29" s="2544"/>
      <c r="U29" s="1307">
        <f t="shared" si="2"/>
        <v>0</v>
      </c>
      <c r="V29" s="4500"/>
      <c r="W29" s="4501"/>
      <c r="X29" s="4501"/>
      <c r="Y29" s="4501"/>
      <c r="Z29" s="4501"/>
      <c r="AA29" s="4502"/>
      <c r="AB29" s="4503" t="str">
        <f>IF(V29="","",VLOOKUP(V29,'Tablas Técnicas'!$AD$5:$AI$188,3,FALSE))</f>
        <v/>
      </c>
      <c r="AD29" s="4500"/>
      <c r="AE29" s="4501"/>
      <c r="AF29" s="4501"/>
      <c r="AG29" s="4501"/>
      <c r="AH29" s="4501"/>
      <c r="AI29" s="4502"/>
      <c r="AJ29" s="4503"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22"/>
      <c r="C30" s="4548"/>
      <c r="D30" s="4549"/>
      <c r="E30" s="4549"/>
      <c r="F30" s="4551"/>
      <c r="G30" s="741"/>
      <c r="H30" s="4531"/>
      <c r="I30" s="4532"/>
      <c r="J30" s="3013"/>
      <c r="K30" s="1310"/>
      <c r="L30" s="1303" t="s">
        <v>1924</v>
      </c>
      <c r="M30" s="4540" t="s">
        <v>1954</v>
      </c>
      <c r="N30" s="4540"/>
      <c r="O30" s="4540"/>
      <c r="P30" s="2764">
        <f>IF(Q30=0,20,"-")</f>
        <v>20</v>
      </c>
      <c r="Q30" s="2765"/>
      <c r="R30" s="3009" t="b">
        <f t="shared" si="1"/>
        <v>0</v>
      </c>
      <c r="S30" s="2544"/>
      <c r="T30" s="2544"/>
      <c r="U30" s="1307"/>
      <c r="V30" s="4504" t="str">
        <f>IF(V29="","",VLOOKUP(V29,'Tablas Técnicas'!$AD$5:$AI$188,4,FALSE))</f>
        <v/>
      </c>
      <c r="W30" s="4505"/>
      <c r="X30" s="4505"/>
      <c r="Y30" s="4505"/>
      <c r="Z30" s="1273" t="s">
        <v>1630</v>
      </c>
      <c r="AA30" s="1309" t="str">
        <f>IF(V29="","",VLOOKUP(V29,'Tablas Técnicas'!$AD$5:$AI$188,2,FALSE))</f>
        <v/>
      </c>
      <c r="AB30" s="4503"/>
      <c r="AD30" s="4504" t="str">
        <f>IF(AD29="","",VLOOKUP(AD29,'Tablas Técnicas'!$AD$5:$AI$188,4,FALSE))</f>
        <v/>
      </c>
      <c r="AE30" s="4505"/>
      <c r="AF30" s="4505"/>
      <c r="AG30" s="4505"/>
      <c r="AH30" s="1273" t="s">
        <v>1630</v>
      </c>
      <c r="AI30" s="1309" t="str">
        <f>IF(AD29="","",VLOOKUP(AD29,'Tablas Técnicas'!$AD$5:$AI$188,2,FALSE))</f>
        <v/>
      </c>
      <c r="AJ30" s="4503"/>
      <c r="AK30" s="1216"/>
      <c r="AL30" s="1210"/>
      <c r="AM30" s="1258"/>
      <c r="AN30" s="1258"/>
      <c r="AO30" s="1258"/>
      <c r="AP30" s="1258"/>
      <c r="AQ30" s="1258"/>
      <c r="AR30" s="1258"/>
      <c r="AS30" s="1258"/>
      <c r="AT30" s="1258"/>
      <c r="AU30" s="1258"/>
    </row>
    <row r="31" spans="1:47" ht="12" customHeight="1" thickBot="1" x14ac:dyDescent="0.25">
      <c r="A31" s="1210"/>
      <c r="B31" s="3022"/>
      <c r="C31" s="4541" t="str">
        <f>IF(E29&gt;C29,"Exceso de CM",IF(Tablas!$X$21,IF(E29&gt;C29*VLOOKUP(Nivel_Sobrenatural,Tablas!$S$9:$X$12,4,FALSE),"Exceso de CM inicial",""),""))</f>
        <v/>
      </c>
      <c r="D31" s="4542"/>
      <c r="E31" s="4542"/>
      <c r="F31" s="4543"/>
      <c r="G31" s="741"/>
      <c r="H31" s="4531"/>
      <c r="I31" s="4532"/>
      <c r="J31" s="3013"/>
      <c r="K31" s="1310"/>
      <c r="L31" s="1303" t="s">
        <v>1935</v>
      </c>
      <c r="M31" s="4540" t="s">
        <v>1955</v>
      </c>
      <c r="N31" s="4540"/>
      <c r="O31" s="4540"/>
      <c r="P31" s="2764">
        <f>IF(Q31=0,20,"-")</f>
        <v>20</v>
      </c>
      <c r="Q31" s="2765"/>
      <c r="R31" s="3009" t="b">
        <f t="shared" si="1"/>
        <v>0</v>
      </c>
      <c r="S31" s="2544"/>
      <c r="T31" s="2544"/>
      <c r="U31" s="1307">
        <f t="shared" si="2"/>
        <v>0</v>
      </c>
      <c r="V31" s="4490"/>
      <c r="W31" s="4491"/>
      <c r="X31" s="4491"/>
      <c r="Y31" s="4491"/>
      <c r="Z31" s="4491"/>
      <c r="AA31" s="4492"/>
      <c r="AB31" s="4493" t="str">
        <f>IF(V31="","",VLOOKUP(V31,'Tablas Técnicas'!$AD$5:$AI$188,3,FALSE))</f>
        <v/>
      </c>
      <c r="AD31" s="4490"/>
      <c r="AE31" s="4491"/>
      <c r="AF31" s="4491"/>
      <c r="AG31" s="4491"/>
      <c r="AH31" s="4491"/>
      <c r="AI31" s="4492"/>
      <c r="AJ31" s="4493"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22"/>
      <c r="C32" s="741"/>
      <c r="D32" s="741"/>
      <c r="E32" s="741"/>
      <c r="F32" s="741"/>
      <c r="G32" s="741"/>
      <c r="H32" s="4534"/>
      <c r="I32" s="4535"/>
      <c r="J32" s="3013"/>
      <c r="K32" s="4497" t="s">
        <v>1956</v>
      </c>
      <c r="L32" s="4498"/>
      <c r="M32" s="4498"/>
      <c r="N32" s="4498"/>
      <c r="O32" s="4498"/>
      <c r="P32" s="2764">
        <f>IF(Q32=0,10,"-")</f>
        <v>10</v>
      </c>
      <c r="Q32" s="2765"/>
      <c r="R32" s="3009" t="b">
        <f t="shared" si="1"/>
        <v>0</v>
      </c>
      <c r="S32" s="2544"/>
      <c r="T32" s="2544"/>
      <c r="U32" s="1307"/>
      <c r="V32" s="4194" t="str">
        <f>IF(V31="","",VLOOKUP(V31,'Tablas Técnicas'!$AD$5:$AI$188,4,FALSE))</f>
        <v/>
      </c>
      <c r="W32" s="4260"/>
      <c r="X32" s="4260"/>
      <c r="Y32" s="4260"/>
      <c r="Z32" s="1342" t="s">
        <v>1630</v>
      </c>
      <c r="AA32" s="1344" t="str">
        <f>IF(V31="","",VLOOKUP(V31,'Tablas Técnicas'!$AD$5:$AI$188,2,FALSE))</f>
        <v/>
      </c>
      <c r="AB32" s="4493"/>
      <c r="AD32" s="4194" t="str">
        <f>IF(AD31="","",VLOOKUP(AD31,'Tablas Técnicas'!$AD$5:$AI$188,4,FALSE))</f>
        <v/>
      </c>
      <c r="AE32" s="4260"/>
      <c r="AF32" s="4260"/>
      <c r="AG32" s="4260"/>
      <c r="AH32" s="1342" t="s">
        <v>1630</v>
      </c>
      <c r="AI32" s="1344" t="str">
        <f>IF(AD31="","",VLOOKUP(AD31,'Tablas Técnicas'!$AD$5:$AI$188,2,FALSE))</f>
        <v/>
      </c>
      <c r="AJ32" s="4493"/>
      <c r="AK32" s="1216"/>
      <c r="AL32" s="1210"/>
      <c r="AM32" s="1258"/>
      <c r="AN32" s="1258"/>
      <c r="AO32" s="1258"/>
      <c r="AP32" s="1258"/>
      <c r="AQ32" s="1258"/>
      <c r="AR32" s="1258"/>
      <c r="AS32" s="1258"/>
      <c r="AT32" s="1258"/>
      <c r="AU32" s="1258"/>
    </row>
    <row r="33" spans="1:50" ht="12" customHeight="1" thickBot="1" x14ac:dyDescent="0.25">
      <c r="A33" s="1210"/>
      <c r="B33" s="3022"/>
      <c r="C33" s="4286" t="s">
        <v>1957</v>
      </c>
      <c r="D33" s="4287"/>
      <c r="E33" s="4287"/>
      <c r="F33" s="4288"/>
      <c r="G33" s="741"/>
      <c r="H33" s="4534"/>
      <c r="I33" s="4535"/>
      <c r="J33" s="3013"/>
      <c r="K33" s="1300" t="s">
        <v>1924</v>
      </c>
      <c r="L33" s="4499" t="s">
        <v>1958</v>
      </c>
      <c r="M33" s="4498"/>
      <c r="N33" s="4498"/>
      <c r="O33" s="4498"/>
      <c r="P33" s="2764">
        <f t="shared" ref="P33:P40" si="3">IF(Q33=0,10,"-")</f>
        <v>10</v>
      </c>
      <c r="Q33" s="2765"/>
      <c r="R33" s="3009" t="b">
        <f t="shared" si="1"/>
        <v>0</v>
      </c>
      <c r="S33" s="2544"/>
      <c r="T33" s="2544"/>
      <c r="U33" s="1307">
        <f t="shared" si="2"/>
        <v>0</v>
      </c>
      <c r="V33" s="4500"/>
      <c r="W33" s="4501"/>
      <c r="X33" s="4501"/>
      <c r="Y33" s="4501"/>
      <c r="Z33" s="4501"/>
      <c r="AA33" s="4502"/>
      <c r="AB33" s="4503" t="str">
        <f>IF(V33="","",VLOOKUP(V33,'Tablas Técnicas'!$AD$5:$AI$188,3,FALSE))</f>
        <v/>
      </c>
      <c r="AD33" s="4500"/>
      <c r="AE33" s="4501"/>
      <c r="AF33" s="4501"/>
      <c r="AG33" s="4501"/>
      <c r="AH33" s="4501"/>
      <c r="AI33" s="4502"/>
      <c r="AJ33" s="4503"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22"/>
      <c r="C34" s="4536" t="s">
        <v>1687</v>
      </c>
      <c r="D34" s="4537"/>
      <c r="E34" s="2766" t="s">
        <v>1731</v>
      </c>
      <c r="F34" s="1311" t="s">
        <v>1661</v>
      </c>
      <c r="G34" s="741"/>
      <c r="H34" s="4531"/>
      <c r="I34" s="4532"/>
      <c r="J34" s="3013"/>
      <c r="K34" s="1300" t="s">
        <v>1959</v>
      </c>
      <c r="L34" s="1303" t="s">
        <v>1935</v>
      </c>
      <c r="M34" s="4499" t="s">
        <v>1960</v>
      </c>
      <c r="N34" s="4499"/>
      <c r="O34" s="4499"/>
      <c r="P34" s="2764">
        <f t="shared" si="3"/>
        <v>10</v>
      </c>
      <c r="Q34" s="2765"/>
      <c r="R34" s="3009" t="b">
        <f t="shared" si="1"/>
        <v>0</v>
      </c>
      <c r="S34" s="2544"/>
      <c r="T34" s="2544"/>
      <c r="U34" s="1307"/>
      <c r="V34" s="4504" t="str">
        <f>IF(V33="","",VLOOKUP(V33,'Tablas Técnicas'!$AD$5:$AI$188,4,FALSE))</f>
        <v/>
      </c>
      <c r="W34" s="4505"/>
      <c r="X34" s="4505"/>
      <c r="Y34" s="4505"/>
      <c r="Z34" s="1273" t="s">
        <v>1630</v>
      </c>
      <c r="AA34" s="1309" t="str">
        <f>IF(V33="","",VLOOKUP(V33,'Tablas Técnicas'!$AD$5:$AI$188,2,FALSE))</f>
        <v/>
      </c>
      <c r="AB34" s="4503"/>
      <c r="AD34" s="4504" t="str">
        <f>IF(AD33="","",VLOOKUP(AD33,'Tablas Técnicas'!$AD$5:$AI$188,4,FALSE))</f>
        <v/>
      </c>
      <c r="AE34" s="4505"/>
      <c r="AF34" s="4505"/>
      <c r="AG34" s="4505"/>
      <c r="AH34" s="1273" t="s">
        <v>1630</v>
      </c>
      <c r="AI34" s="1309" t="str">
        <f>IF(AD33="","",VLOOKUP(AD33,'Tablas Técnicas'!$AD$5:$AI$188,2,FALSE))</f>
        <v/>
      </c>
      <c r="AJ34" s="4503"/>
      <c r="AK34" s="1216"/>
      <c r="AL34" s="1210"/>
      <c r="AM34" s="1258"/>
      <c r="AN34" s="1258"/>
      <c r="AO34" s="1258"/>
      <c r="AP34" s="1258"/>
      <c r="AQ34" s="1258"/>
      <c r="AR34" s="1258"/>
      <c r="AS34" s="1258"/>
      <c r="AT34" s="1258"/>
      <c r="AU34" s="1258"/>
    </row>
    <row r="35" spans="1:50" ht="12" customHeight="1" x14ac:dyDescent="0.2">
      <c r="A35" s="1210"/>
      <c r="B35" s="3022"/>
      <c r="C35" s="4529" t="s">
        <v>1961</v>
      </c>
      <c r="D35" s="4530"/>
      <c r="E35" s="3016"/>
      <c r="F35" s="1312" t="str">
        <f>IF(Ki!P13="-",TRUNC((Ki!C29+Advertir_final)/2+E35+Tablas!$CD$225+IF(Tablas!$G$379&gt;0,10*PDs!$X$15,0),0),"-")</f>
        <v>-</v>
      </c>
      <c r="G35" s="741"/>
      <c r="H35" s="4531"/>
      <c r="I35" s="4532"/>
      <c r="J35" s="3017"/>
      <c r="K35" s="1300" t="s">
        <v>1959</v>
      </c>
      <c r="L35" s="1313"/>
      <c r="M35" s="1303" t="s">
        <v>1935</v>
      </c>
      <c r="N35" s="4533" t="s">
        <v>1962</v>
      </c>
      <c r="O35" s="4533"/>
      <c r="P35" s="2764">
        <f t="shared" si="3"/>
        <v>10</v>
      </c>
      <c r="Q35" s="2765"/>
      <c r="R35" s="3009" t="b">
        <f t="shared" si="1"/>
        <v>0</v>
      </c>
      <c r="S35" s="2544"/>
      <c r="T35" s="2544"/>
      <c r="U35" s="1307">
        <f t="shared" si="2"/>
        <v>0</v>
      </c>
      <c r="V35" s="4490"/>
      <c r="W35" s="4491"/>
      <c r="X35" s="4491"/>
      <c r="Y35" s="4491"/>
      <c r="Z35" s="4491"/>
      <c r="AA35" s="4492"/>
      <c r="AB35" s="4493" t="str">
        <f>IF(V35="","",VLOOKUP(V35,'Tablas Técnicas'!$AD$5:$AI$188,3,FALSE))</f>
        <v/>
      </c>
      <c r="AD35" s="4490"/>
      <c r="AE35" s="4491"/>
      <c r="AF35" s="4491"/>
      <c r="AG35" s="4491"/>
      <c r="AH35" s="4491"/>
      <c r="AI35" s="4492"/>
      <c r="AJ35" s="4493"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22"/>
      <c r="C36" s="4538" t="s">
        <v>1963</v>
      </c>
      <c r="D36" s="4539"/>
      <c r="E36" s="3018"/>
      <c r="F36" s="730" t="str">
        <f>IF(OR(Ki!P50="-",Raza="D'Anjayni",Raza="Nephilim D'Anjayni"),TRUNC((Ocultarse_final+Ki!$C$29)/2+E36+IF(Raza="D'Anjayni",50,0)+IF(Raza="Nephilim D'Anjayni",30,0)+Tablas!$CE$225+IF(Tablas!$G$374&gt;0,10*PDs!$X$15,0),0),"-")</f>
        <v>-</v>
      </c>
      <c r="G36" s="741"/>
      <c r="H36" s="4534"/>
      <c r="I36" s="4535"/>
      <c r="J36" s="3017"/>
      <c r="K36" s="1300" t="s">
        <v>1924</v>
      </c>
      <c r="L36" s="4499" t="s">
        <v>1964</v>
      </c>
      <c r="M36" s="4498"/>
      <c r="N36" s="4498"/>
      <c r="O36" s="4498"/>
      <c r="P36" s="2764">
        <f t="shared" si="3"/>
        <v>10</v>
      </c>
      <c r="Q36" s="2765"/>
      <c r="R36" s="3009" t="b">
        <f t="shared" si="1"/>
        <v>0</v>
      </c>
      <c r="S36" s="2544"/>
      <c r="T36" s="2544"/>
      <c r="U36" s="1307"/>
      <c r="V36" s="4194" t="str">
        <f>IF(V35="","",VLOOKUP(V35,'Tablas Técnicas'!$AD$5:$AI$188,4,FALSE))</f>
        <v/>
      </c>
      <c r="W36" s="4260"/>
      <c r="X36" s="4260"/>
      <c r="Y36" s="4260"/>
      <c r="Z36" s="1342" t="s">
        <v>1630</v>
      </c>
      <c r="AA36" s="1344" t="str">
        <f>IF(V35="","",VLOOKUP(V35,'Tablas Técnicas'!$AD$5:$AI$188,2,FALSE))</f>
        <v/>
      </c>
      <c r="AB36" s="4493"/>
      <c r="AD36" s="4194" t="str">
        <f>IF(AD35="","",VLOOKUP(AD35,'Tablas Técnicas'!$AD$5:$AI$188,4,FALSE))</f>
        <v/>
      </c>
      <c r="AE36" s="4260"/>
      <c r="AF36" s="4260"/>
      <c r="AG36" s="4260"/>
      <c r="AH36" s="1342" t="s">
        <v>1630</v>
      </c>
      <c r="AI36" s="1344" t="str">
        <f>IF(AD35="","",VLOOKUP(AD35,'Tablas Técnicas'!$AD$5:$AI$188,2,FALSE))</f>
        <v/>
      </c>
      <c r="AJ36" s="4493"/>
      <c r="AK36" s="1216"/>
      <c r="AL36" s="1210"/>
      <c r="AM36" s="1258"/>
      <c r="AN36" s="1258"/>
      <c r="AO36" s="1258"/>
      <c r="AP36" s="1258"/>
      <c r="AQ36" s="1258"/>
      <c r="AR36" s="1258"/>
      <c r="AS36" s="1258"/>
      <c r="AT36" s="1258"/>
      <c r="AU36" s="1258"/>
    </row>
    <row r="37" spans="1:50" ht="12" customHeight="1" thickBot="1" x14ac:dyDescent="0.25">
      <c r="A37" s="1210"/>
      <c r="B37" s="3022"/>
      <c r="C37" s="4524"/>
      <c r="D37" s="4525"/>
      <c r="E37" s="4525"/>
      <c r="F37" s="4526"/>
      <c r="G37" s="741"/>
      <c r="H37" s="4527"/>
      <c r="I37" s="4528"/>
      <c r="J37" s="3017"/>
      <c r="K37" s="1300" t="s">
        <v>1959</v>
      </c>
      <c r="L37" s="1303" t="s">
        <v>1924</v>
      </c>
      <c r="M37" s="4499" t="s">
        <v>1965</v>
      </c>
      <c r="N37" s="4499"/>
      <c r="O37" s="4499"/>
      <c r="P37" s="2764">
        <f t="shared" si="3"/>
        <v>10</v>
      </c>
      <c r="Q37" s="2765"/>
      <c r="R37" s="3009" t="b">
        <f t="shared" si="1"/>
        <v>0</v>
      </c>
      <c r="S37" s="2544"/>
      <c r="T37" s="2544"/>
      <c r="U37" s="1307">
        <f t="shared" si="2"/>
        <v>0</v>
      </c>
      <c r="V37" s="4500"/>
      <c r="W37" s="4501"/>
      <c r="X37" s="4501"/>
      <c r="Y37" s="4501"/>
      <c r="Z37" s="4501"/>
      <c r="AA37" s="4502"/>
      <c r="AB37" s="4503" t="str">
        <f>IF(V37="","",VLOOKUP(V37,'Tablas Técnicas'!$AD$5:$AI$188,3,FALSE))</f>
        <v/>
      </c>
      <c r="AD37" s="4500"/>
      <c r="AE37" s="4501"/>
      <c r="AF37" s="4501"/>
      <c r="AG37" s="4501"/>
      <c r="AH37" s="4501"/>
      <c r="AI37" s="4502"/>
      <c r="AJ37" s="4503"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22"/>
      <c r="C38" s="741"/>
      <c r="D38" s="741"/>
      <c r="E38" s="741"/>
      <c r="F38" s="741"/>
      <c r="G38" s="741"/>
      <c r="H38" s="741"/>
      <c r="I38" s="741"/>
      <c r="J38" s="3017"/>
      <c r="K38" s="1300" t="s">
        <v>1959</v>
      </c>
      <c r="L38" s="1303" t="s">
        <v>1924</v>
      </c>
      <c r="M38" s="4499" t="s">
        <v>1966</v>
      </c>
      <c r="N38" s="4499"/>
      <c r="O38" s="4499"/>
      <c r="P38" s="2764">
        <f t="shared" si="3"/>
        <v>10</v>
      </c>
      <c r="Q38" s="2765"/>
      <c r="R38" s="3009" t="b">
        <f t="shared" si="1"/>
        <v>0</v>
      </c>
      <c r="S38" s="2544"/>
      <c r="T38" s="2544"/>
      <c r="U38" s="1307"/>
      <c r="V38" s="4504" t="str">
        <f>IF(V37="","",VLOOKUP(V37,'Tablas Técnicas'!$AD$5:$AI$188,4,FALSE))</f>
        <v/>
      </c>
      <c r="W38" s="4505"/>
      <c r="X38" s="4505"/>
      <c r="Y38" s="4505"/>
      <c r="Z38" s="1273" t="s">
        <v>1630</v>
      </c>
      <c r="AA38" s="1309" t="str">
        <f>IF(V37="","",VLOOKUP(V37,'Tablas Técnicas'!$AD$5:$AI$188,2,FALSE))</f>
        <v/>
      </c>
      <c r="AB38" s="4503"/>
      <c r="AD38" s="4504" t="str">
        <f>IF(AD37="","",VLOOKUP(AD37,'Tablas Técnicas'!$AD$5:$AI$188,4,FALSE))</f>
        <v/>
      </c>
      <c r="AE38" s="4505"/>
      <c r="AF38" s="4505"/>
      <c r="AG38" s="4505"/>
      <c r="AH38" s="1273" t="s">
        <v>1630</v>
      </c>
      <c r="AI38" s="1309" t="str">
        <f>IF(AD37="","",VLOOKUP(AD37,'Tablas Técnicas'!$AD$5:$AI$188,2,FALSE))</f>
        <v/>
      </c>
      <c r="AJ38" s="4503"/>
      <c r="AK38" s="1216"/>
      <c r="AL38" s="1210"/>
      <c r="AM38" s="1258"/>
      <c r="AN38" s="1258"/>
      <c r="AO38" s="1258"/>
      <c r="AP38" s="1258"/>
      <c r="AQ38" s="1258"/>
      <c r="AR38" s="1258"/>
      <c r="AS38" s="1258"/>
      <c r="AT38" s="1258"/>
      <c r="AU38" s="1258"/>
      <c r="AW38" s="1276"/>
    </row>
    <row r="39" spans="1:50" ht="12" customHeight="1" thickBot="1" x14ac:dyDescent="0.25">
      <c r="A39" s="1210"/>
      <c r="B39" s="3022"/>
      <c r="C39" s="4520" t="s">
        <v>1967</v>
      </c>
      <c r="D39" s="4521"/>
      <c r="E39" s="4521"/>
      <c r="F39" s="4522"/>
      <c r="G39" s="4523" t="s">
        <v>1968</v>
      </c>
      <c r="H39" s="4523"/>
      <c r="I39" s="1315">
        <f>IF(Tablas!$G$535&gt;0,2,1)-IF(Ki!C40="",0,1)-IF(Ki!C41="",0,1)</f>
        <v>1</v>
      </c>
      <c r="J39" s="3017"/>
      <c r="K39" s="1300" t="s">
        <v>1959</v>
      </c>
      <c r="L39" s="1303" t="s">
        <v>1924</v>
      </c>
      <c r="M39" s="4499" t="str">
        <f>"Alcance incrementado"</f>
        <v>Alcance incrementado</v>
      </c>
      <c r="N39" s="4499"/>
      <c r="O39" s="4499"/>
      <c r="P39" s="2764">
        <f t="shared" si="3"/>
        <v>10</v>
      </c>
      <c r="Q39" s="2765"/>
      <c r="R39" s="3009" t="b">
        <f t="shared" si="1"/>
        <v>0</v>
      </c>
      <c r="S39" s="2544"/>
      <c r="T39" s="2544"/>
      <c r="U39" s="1307">
        <f t="shared" si="2"/>
        <v>0</v>
      </c>
      <c r="V39" s="4490"/>
      <c r="W39" s="4491"/>
      <c r="X39" s="4491"/>
      <c r="Y39" s="4491"/>
      <c r="Z39" s="4491"/>
      <c r="AA39" s="4492"/>
      <c r="AB39" s="4493" t="str">
        <f>IF(V39="","",VLOOKUP(V39,'Tablas Técnicas'!$AD$5:$AI$188,3,FALSE))</f>
        <v/>
      </c>
      <c r="AD39" s="4490"/>
      <c r="AE39" s="4491"/>
      <c r="AF39" s="4491"/>
      <c r="AG39" s="4491"/>
      <c r="AH39" s="4491"/>
      <c r="AI39" s="4492"/>
      <c r="AJ39" s="4493"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22"/>
      <c r="C40" s="4517"/>
      <c r="D40" s="4518"/>
      <c r="E40" s="4518"/>
      <c r="F40" s="4518"/>
      <c r="G40" s="4518"/>
      <c r="H40" s="4519"/>
      <c r="I40" s="1316" t="str">
        <f>IF(C40=0,"",VLOOKUP(C40,Tablas!$D$1013:$M$1019,2))</f>
        <v/>
      </c>
      <c r="J40" s="3017"/>
      <c r="K40" s="1300" t="s">
        <v>1959</v>
      </c>
      <c r="L40" s="1303" t="s">
        <v>1935</v>
      </c>
      <c r="M40" s="4499" t="s">
        <v>1969</v>
      </c>
      <c r="N40" s="4499"/>
      <c r="O40" s="4499"/>
      <c r="P40" s="2764">
        <f t="shared" si="3"/>
        <v>10</v>
      </c>
      <c r="Q40" s="2765"/>
      <c r="R40" s="3009" t="b">
        <f t="shared" si="1"/>
        <v>0</v>
      </c>
      <c r="S40" s="2544"/>
      <c r="T40" s="2544"/>
      <c r="U40" s="1307"/>
      <c r="V40" s="4194" t="str">
        <f>IF(V39="","",VLOOKUP(V39,'Tablas Técnicas'!$AD$5:$AI$188,4,FALSE))</f>
        <v/>
      </c>
      <c r="W40" s="4260"/>
      <c r="X40" s="4260"/>
      <c r="Y40" s="4260"/>
      <c r="Z40" s="1342" t="s">
        <v>1630</v>
      </c>
      <c r="AA40" s="1344" t="str">
        <f>IF(V39="","",VLOOKUP(V39,'Tablas Técnicas'!$AD$5:$AI$188,2,FALSE))</f>
        <v/>
      </c>
      <c r="AB40" s="4493"/>
      <c r="AD40" s="4194" t="str">
        <f>IF(AD39="","",VLOOKUP(AD39,'Tablas Técnicas'!$AD$5:$AI$188,4,FALSE))</f>
        <v/>
      </c>
      <c r="AE40" s="4260"/>
      <c r="AF40" s="4260"/>
      <c r="AG40" s="4260"/>
      <c r="AH40" s="1342" t="s">
        <v>1630</v>
      </c>
      <c r="AI40" s="1344" t="str">
        <f>IF(AD39="","",VLOOKUP(AD39,'Tablas Técnicas'!$AD$5:$AI$188,2,FALSE))</f>
        <v/>
      </c>
      <c r="AJ40" s="4493"/>
      <c r="AK40" s="1216"/>
      <c r="AL40" s="1210"/>
      <c r="AM40" s="1258"/>
      <c r="AN40" s="1258"/>
      <c r="AO40" s="1258"/>
      <c r="AP40" s="1258"/>
      <c r="AQ40" s="1258"/>
      <c r="AR40" s="1258"/>
      <c r="AS40" s="1258"/>
      <c r="AT40" s="1258"/>
      <c r="AU40" s="1258"/>
      <c r="AW40" s="1277"/>
      <c r="AX40" s="1277"/>
    </row>
    <row r="41" spans="1:50" ht="12" customHeight="1" thickBot="1" x14ac:dyDescent="0.25">
      <c r="A41" s="1210"/>
      <c r="B41" s="3022"/>
      <c r="C41" s="4515"/>
      <c r="D41" s="4516"/>
      <c r="E41" s="4516"/>
      <c r="F41" s="4516"/>
      <c r="G41" s="4516"/>
      <c r="H41" s="4516"/>
      <c r="I41" s="1317" t="str">
        <f>IF(C41=0,"",VLOOKUP(C41,Tablas!$D$1013:$M$1019,2))</f>
        <v/>
      </c>
      <c r="J41" s="3017"/>
      <c r="K41" s="1300" t="s">
        <v>1924</v>
      </c>
      <c r="L41" s="4499" t="s">
        <v>1970</v>
      </c>
      <c r="M41" s="4498"/>
      <c r="N41" s="4498"/>
      <c r="O41" s="4498"/>
      <c r="P41" s="2764">
        <f>IF(Q41=0,20,"-")</f>
        <v>20</v>
      </c>
      <c r="Q41" s="2765"/>
      <c r="R41" s="3009" t="b">
        <f t="shared" si="1"/>
        <v>0</v>
      </c>
      <c r="S41" s="2544"/>
      <c r="T41" s="2544"/>
      <c r="U41" s="1307">
        <f t="shared" si="2"/>
        <v>0</v>
      </c>
      <c r="V41" s="4500"/>
      <c r="W41" s="4501"/>
      <c r="X41" s="4501"/>
      <c r="Y41" s="4501"/>
      <c r="Z41" s="4501"/>
      <c r="AA41" s="4502"/>
      <c r="AB41" s="4503" t="str">
        <f>IF(V41="","",VLOOKUP(V41,'Tablas Técnicas'!$AD$5:$AI$188,3,FALSE))</f>
        <v/>
      </c>
      <c r="AD41" s="4500"/>
      <c r="AE41" s="4501"/>
      <c r="AF41" s="4501"/>
      <c r="AG41" s="4501"/>
      <c r="AH41" s="4501"/>
      <c r="AI41" s="4502"/>
      <c r="AJ41" s="4503"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22"/>
      <c r="C42" s="741"/>
      <c r="D42" s="741"/>
      <c r="E42" s="741"/>
      <c r="F42" s="741"/>
      <c r="G42" s="741"/>
      <c r="H42" s="741"/>
      <c r="I42" s="741"/>
      <c r="J42" s="3019"/>
      <c r="K42" s="1300" t="s">
        <v>1924</v>
      </c>
      <c r="L42" s="4499" t="s">
        <v>1971</v>
      </c>
      <c r="M42" s="4498"/>
      <c r="N42" s="4498"/>
      <c r="O42" s="4498"/>
      <c r="P42" s="2764">
        <f>IF(Q42=0,30,"-")</f>
        <v>30</v>
      </c>
      <c r="Q42" s="2765"/>
      <c r="R42" s="3009" t="b">
        <f t="shared" si="1"/>
        <v>0</v>
      </c>
      <c r="S42" s="2544"/>
      <c r="T42" s="2544"/>
      <c r="U42" s="1307"/>
      <c r="V42" s="4504" t="str">
        <f>IF(V41="","",VLOOKUP(V41,'Tablas Técnicas'!$AD$5:$AI$188,4,FALSE))</f>
        <v/>
      </c>
      <c r="W42" s="4505"/>
      <c r="X42" s="4505"/>
      <c r="Y42" s="4505"/>
      <c r="Z42" s="1273" t="s">
        <v>1630</v>
      </c>
      <c r="AA42" s="1309" t="str">
        <f>IF(V41="","",VLOOKUP(V41,'Tablas Técnicas'!$AD$5:$AI$188,2,FALSE))</f>
        <v/>
      </c>
      <c r="AB42" s="4503"/>
      <c r="AD42" s="4504" t="str">
        <f>IF(AD41="","",VLOOKUP(AD41,'Tablas Técnicas'!$AD$5:$AI$188,4,FALSE))</f>
        <v/>
      </c>
      <c r="AE42" s="4505"/>
      <c r="AF42" s="4505"/>
      <c r="AG42" s="4505"/>
      <c r="AH42" s="1273" t="s">
        <v>1630</v>
      </c>
      <c r="AI42" s="1309" t="str">
        <f>IF(AD41="","",VLOOKUP(AD41,'Tablas Técnicas'!$AD$5:$AI$188,2,FALSE))</f>
        <v/>
      </c>
      <c r="AJ42" s="4503"/>
      <c r="AK42" s="1216"/>
      <c r="AL42" s="1210"/>
      <c r="AM42" s="1258"/>
      <c r="AN42" s="1258"/>
      <c r="AO42" s="1258"/>
      <c r="AP42" s="1258"/>
      <c r="AQ42" s="1258"/>
      <c r="AR42" s="1258"/>
      <c r="AS42" s="1258"/>
      <c r="AT42" s="1258"/>
      <c r="AU42" s="1258"/>
      <c r="AW42" s="1295"/>
      <c r="AX42" s="1295"/>
    </row>
    <row r="43" spans="1:50" ht="12" customHeight="1" x14ac:dyDescent="0.2">
      <c r="A43" s="1210"/>
      <c r="B43" s="3022"/>
      <c r="C43" s="4507" t="s">
        <v>1972</v>
      </c>
      <c r="D43" s="4508"/>
      <c r="E43" s="4508"/>
      <c r="F43" s="4508"/>
      <c r="G43" s="4508"/>
      <c r="H43" s="4511">
        <f>IF(I43=0,70,"-")</f>
        <v>70</v>
      </c>
      <c r="I43" s="4513"/>
      <c r="J43" s="3019"/>
      <c r="K43" s="1300" t="s">
        <v>1935</v>
      </c>
      <c r="L43" s="4499" t="s">
        <v>1973</v>
      </c>
      <c r="M43" s="4498"/>
      <c r="N43" s="4498"/>
      <c r="O43" s="4498"/>
      <c r="P43" s="2764">
        <f>IF(Q43=0,10,"-")</f>
        <v>10</v>
      </c>
      <c r="Q43" s="2765"/>
      <c r="R43" s="3009" t="b">
        <f t="shared" si="1"/>
        <v>0</v>
      </c>
      <c r="S43" s="2544"/>
      <c r="T43" s="2544"/>
      <c r="U43" s="1307">
        <f t="shared" si="2"/>
        <v>0</v>
      </c>
      <c r="V43" s="4490"/>
      <c r="W43" s="4491"/>
      <c r="X43" s="4491"/>
      <c r="Y43" s="4491"/>
      <c r="Z43" s="4491"/>
      <c r="AA43" s="4492"/>
      <c r="AB43" s="4493" t="str">
        <f>IF(V43="","",VLOOKUP(V43,'Tablas Técnicas'!$AD$5:$AI$188,3,FALSE))</f>
        <v/>
      </c>
      <c r="AD43" s="4490"/>
      <c r="AE43" s="4491"/>
      <c r="AF43" s="4491"/>
      <c r="AG43" s="4491"/>
      <c r="AH43" s="4491"/>
      <c r="AI43" s="4492"/>
      <c r="AJ43" s="4493" t="str">
        <f>IF(AD43="","",VLOOKUP(AD43,'Tablas Técnicas'!$AD$5:$AI$188,3,FALSE))</f>
        <v/>
      </c>
      <c r="AK43" s="1216"/>
      <c r="AL43" s="1210"/>
      <c r="AM43" s="1258"/>
      <c r="AN43" s="1258"/>
      <c r="AO43" s="1258"/>
      <c r="AP43" s="1258"/>
      <c r="AQ43" s="1258"/>
      <c r="AR43" s="1258"/>
      <c r="AS43" s="1258"/>
      <c r="AT43" s="1258"/>
      <c r="AU43" s="1258"/>
      <c r="AW43" s="4506"/>
      <c r="AX43" s="741"/>
    </row>
    <row r="44" spans="1:50" ht="12" customHeight="1" thickBot="1" x14ac:dyDescent="0.25">
      <c r="A44" s="1210"/>
      <c r="B44" s="3022"/>
      <c r="C44" s="4509"/>
      <c r="D44" s="4510"/>
      <c r="E44" s="4510"/>
      <c r="F44" s="4510"/>
      <c r="G44" s="4510"/>
      <c r="H44" s="4512"/>
      <c r="I44" s="4514"/>
      <c r="J44" s="3019"/>
      <c r="K44" s="4497" t="s">
        <v>1974</v>
      </c>
      <c r="L44" s="4498"/>
      <c r="M44" s="4498"/>
      <c r="N44" s="4498"/>
      <c r="O44" s="4498"/>
      <c r="P44" s="2764">
        <f t="shared" ref="P44:P53" si="4">IF(Q44=0,10,"-")</f>
        <v>10</v>
      </c>
      <c r="Q44" s="2765"/>
      <c r="R44" s="3009" t="b">
        <f t="shared" si="1"/>
        <v>0</v>
      </c>
      <c r="S44" s="2544"/>
      <c r="T44" s="2544"/>
      <c r="U44" s="1307"/>
      <c r="V44" s="4194" t="str">
        <f>IF(V43="","",VLOOKUP(V43,'Tablas Técnicas'!$AD$5:$AI$188,4,FALSE))</f>
        <v/>
      </c>
      <c r="W44" s="4260"/>
      <c r="X44" s="4260"/>
      <c r="Y44" s="4260"/>
      <c r="Z44" s="1342" t="s">
        <v>1630</v>
      </c>
      <c r="AA44" s="1344" t="str">
        <f>IF(V43="","",VLOOKUP(V43,'Tablas Técnicas'!$AD$5:$AI$188,2,FALSE))</f>
        <v/>
      </c>
      <c r="AB44" s="4493"/>
      <c r="AD44" s="4194" t="str">
        <f>IF(AD43="","",VLOOKUP(AD43,'Tablas Técnicas'!$AD$5:$AI$188,4,FALSE))</f>
        <v/>
      </c>
      <c r="AE44" s="4260"/>
      <c r="AF44" s="4260"/>
      <c r="AG44" s="4260"/>
      <c r="AH44" s="1342" t="s">
        <v>1630</v>
      </c>
      <c r="AI44" s="1344" t="str">
        <f>IF(AD43="","",VLOOKUP(AD43,'Tablas Técnicas'!$AD$5:$AI$188,2,FALSE))</f>
        <v/>
      </c>
      <c r="AJ44" s="4493"/>
      <c r="AK44" s="1216"/>
      <c r="AL44" s="1210"/>
      <c r="AM44" s="1258"/>
      <c r="AN44" s="1258"/>
      <c r="AO44" s="1258"/>
      <c r="AP44" s="1258"/>
      <c r="AQ44" s="1258"/>
      <c r="AR44" s="1258"/>
      <c r="AS44" s="1258"/>
      <c r="AT44" s="1258"/>
      <c r="AU44" s="1258"/>
      <c r="AW44" s="4506"/>
      <c r="AX44" s="1318"/>
    </row>
    <row r="45" spans="1:50" ht="12" customHeight="1" x14ac:dyDescent="0.2">
      <c r="A45" s="1210"/>
      <c r="B45" s="3009" t="b">
        <f t="shared" ref="B45:B62" si="5">H45="-"</f>
        <v>0</v>
      </c>
      <c r="C45" s="4497" t="s">
        <v>1975</v>
      </c>
      <c r="D45" s="4498"/>
      <c r="E45" s="4498"/>
      <c r="F45" s="4498"/>
      <c r="G45" s="4498"/>
      <c r="H45" s="2764">
        <f>IF(I45=0,20,"-")</f>
        <v>20</v>
      </c>
      <c r="I45" s="2765"/>
      <c r="J45" s="741"/>
      <c r="K45" s="1300" t="s">
        <v>1924</v>
      </c>
      <c r="L45" s="4499" t="s">
        <v>1976</v>
      </c>
      <c r="M45" s="4498"/>
      <c r="N45" s="4498"/>
      <c r="O45" s="4498"/>
      <c r="P45" s="2764">
        <f t="shared" si="4"/>
        <v>10</v>
      </c>
      <c r="Q45" s="2765"/>
      <c r="R45" s="3009" t="b">
        <f t="shared" si="1"/>
        <v>0</v>
      </c>
      <c r="S45" s="2544"/>
      <c r="T45" s="2544"/>
      <c r="U45" s="1307">
        <f t="shared" si="2"/>
        <v>0</v>
      </c>
      <c r="V45" s="4500"/>
      <c r="W45" s="4501"/>
      <c r="X45" s="4501"/>
      <c r="Y45" s="4501"/>
      <c r="Z45" s="4501"/>
      <c r="AA45" s="4502"/>
      <c r="AB45" s="4503" t="str">
        <f>IF(V45="","",VLOOKUP(V45,'Tablas Técnicas'!$AD$5:$AI$188,3,FALSE))</f>
        <v/>
      </c>
      <c r="AD45" s="4500"/>
      <c r="AE45" s="4501"/>
      <c r="AF45" s="4501"/>
      <c r="AG45" s="4501"/>
      <c r="AH45" s="4501"/>
      <c r="AI45" s="4502"/>
      <c r="AJ45" s="4503"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9" t="b">
        <f t="shared" si="5"/>
        <v>0</v>
      </c>
      <c r="C46" s="1300" t="s">
        <v>1935</v>
      </c>
      <c r="D46" s="4499" t="s">
        <v>1977</v>
      </c>
      <c r="E46" s="4498"/>
      <c r="F46" s="4498"/>
      <c r="G46" s="4498"/>
      <c r="H46" s="2764">
        <f>IF(I46=0,30,"-")</f>
        <v>30</v>
      </c>
      <c r="I46" s="2765"/>
      <c r="J46" s="741"/>
      <c r="K46" s="1300" t="s">
        <v>1959</v>
      </c>
      <c r="L46" s="1303" t="s">
        <v>1924</v>
      </c>
      <c r="M46" s="4499" t="s">
        <v>1978</v>
      </c>
      <c r="N46" s="4499"/>
      <c r="O46" s="4499"/>
      <c r="P46" s="2764">
        <f t="shared" si="4"/>
        <v>10</v>
      </c>
      <c r="Q46" s="2765"/>
      <c r="R46" s="3009" t="b">
        <f t="shared" si="1"/>
        <v>0</v>
      </c>
      <c r="S46" s="2544"/>
      <c r="T46" s="2544"/>
      <c r="U46" s="1307"/>
      <c r="V46" s="4504" t="str">
        <f>IF(V45="","",VLOOKUP(V45,'Tablas Técnicas'!$AD$5:$AI$188,4,FALSE))</f>
        <v/>
      </c>
      <c r="W46" s="4505"/>
      <c r="X46" s="4505"/>
      <c r="Y46" s="4505"/>
      <c r="Z46" s="1273" t="s">
        <v>1630</v>
      </c>
      <c r="AA46" s="1309" t="str">
        <f>IF(V45="","",VLOOKUP(V45,'Tablas Técnicas'!$AD$5:$AI$188,2,FALSE))</f>
        <v/>
      </c>
      <c r="AB46" s="4503"/>
      <c r="AD46" s="4504" t="str">
        <f>IF(AD45="","",VLOOKUP(AD45,'Tablas Técnicas'!$AD$5:$AI$188,4,FALSE))</f>
        <v/>
      </c>
      <c r="AE46" s="4505"/>
      <c r="AF46" s="4505"/>
      <c r="AG46" s="4505"/>
      <c r="AH46" s="1273" t="s">
        <v>1630</v>
      </c>
      <c r="AI46" s="1309" t="str">
        <f>IF(AD45="","",VLOOKUP(AD45,'Tablas Técnicas'!$AD$5:$AI$188,2,FALSE))</f>
        <v/>
      </c>
      <c r="AJ46" s="4503"/>
      <c r="AK46" s="1216"/>
      <c r="AL46" s="1210"/>
      <c r="AM46" s="1258"/>
      <c r="AN46" s="1258"/>
      <c r="AO46" s="1258"/>
      <c r="AP46" s="1258"/>
      <c r="AQ46" s="1258"/>
      <c r="AR46" s="1258"/>
      <c r="AS46" s="1258"/>
      <c r="AT46" s="1258"/>
      <c r="AU46" s="1258"/>
    </row>
    <row r="47" spans="1:50" ht="12" customHeight="1" x14ac:dyDescent="0.2">
      <c r="A47" s="1210"/>
      <c r="B47" s="3009" t="b">
        <f t="shared" si="5"/>
        <v>0</v>
      </c>
      <c r="C47" s="4497" t="s">
        <v>1979</v>
      </c>
      <c r="D47" s="4499"/>
      <c r="E47" s="4499"/>
      <c r="F47" s="4499"/>
      <c r="G47" s="4499"/>
      <c r="H47" s="2764">
        <f>IF(I47=0,30,"-")</f>
        <v>30</v>
      </c>
      <c r="I47" s="2765"/>
      <c r="J47" s="741"/>
      <c r="K47" s="1300" t="s">
        <v>1959</v>
      </c>
      <c r="L47" s="1303" t="s">
        <v>1935</v>
      </c>
      <c r="M47" s="4499" t="s">
        <v>1980</v>
      </c>
      <c r="N47" s="4499"/>
      <c r="O47" s="4499"/>
      <c r="P47" s="2764">
        <f t="shared" si="4"/>
        <v>10</v>
      </c>
      <c r="Q47" s="2765"/>
      <c r="R47" s="3009" t="b">
        <f t="shared" si="1"/>
        <v>0</v>
      </c>
      <c r="S47" s="2544"/>
      <c r="T47" s="2544"/>
      <c r="U47" s="1307">
        <f t="shared" si="2"/>
        <v>0</v>
      </c>
      <c r="V47" s="4490"/>
      <c r="W47" s="4491"/>
      <c r="X47" s="4491"/>
      <c r="Y47" s="4491"/>
      <c r="Z47" s="4491"/>
      <c r="AA47" s="4492"/>
      <c r="AB47" s="4493" t="str">
        <f>IF(V47="","",VLOOKUP(V47,'Tablas Técnicas'!$AD$5:$AI$188,3,FALSE))</f>
        <v/>
      </c>
      <c r="AD47" s="4490"/>
      <c r="AE47" s="4491"/>
      <c r="AF47" s="4491"/>
      <c r="AG47" s="4491"/>
      <c r="AH47" s="4491"/>
      <c r="AI47" s="4492"/>
      <c r="AJ47" s="4493"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9" t="b">
        <f t="shared" si="5"/>
        <v>0</v>
      </c>
      <c r="C48" s="1300" t="s">
        <v>1935</v>
      </c>
      <c r="D48" s="4499" t="s">
        <v>1981</v>
      </c>
      <c r="E48" s="4499"/>
      <c r="F48" s="4499"/>
      <c r="G48" s="4499"/>
      <c r="H48" s="2764">
        <f>IF(I48=0,20,"-")</f>
        <v>20</v>
      </c>
      <c r="I48" s="2765"/>
      <c r="J48" s="741"/>
      <c r="K48" s="1300" t="s">
        <v>1935</v>
      </c>
      <c r="L48" s="4499" t="s">
        <v>1982</v>
      </c>
      <c r="M48" s="4498"/>
      <c r="N48" s="4498"/>
      <c r="O48" s="4498"/>
      <c r="P48" s="2764">
        <f t="shared" si="4"/>
        <v>10</v>
      </c>
      <c r="Q48" s="2765"/>
      <c r="R48" s="3009" t="b">
        <f t="shared" si="1"/>
        <v>0</v>
      </c>
      <c r="S48" s="2544"/>
      <c r="T48" s="2544"/>
      <c r="U48" s="1307"/>
      <c r="V48" s="4194" t="str">
        <f>IF(V47="","",VLOOKUP(V47,'Tablas Técnicas'!$AD$5:$AI$188,4,FALSE))</f>
        <v/>
      </c>
      <c r="W48" s="4260"/>
      <c r="X48" s="4260"/>
      <c r="Y48" s="4260"/>
      <c r="Z48" s="1342" t="s">
        <v>1630</v>
      </c>
      <c r="AA48" s="1344" t="str">
        <f>IF(V47="","",VLOOKUP(V47,'Tablas Técnicas'!$AD$5:$AI$188,2,FALSE))</f>
        <v/>
      </c>
      <c r="AB48" s="4493"/>
      <c r="AD48" s="4194" t="str">
        <f>IF(AD47="","",VLOOKUP(AD47,'Tablas Técnicas'!$AD$5:$AI$188,4,FALSE))</f>
        <v/>
      </c>
      <c r="AE48" s="4260"/>
      <c r="AF48" s="4260"/>
      <c r="AG48" s="4260"/>
      <c r="AH48" s="1342" t="s">
        <v>1630</v>
      </c>
      <c r="AI48" s="1344" t="str">
        <f>IF(AD47="","",VLOOKUP(AD47,'Tablas Técnicas'!$AD$5:$AI$188,2,FALSE))</f>
        <v/>
      </c>
      <c r="AJ48" s="4493"/>
      <c r="AK48" s="1216"/>
      <c r="AL48" s="1210"/>
      <c r="AM48" s="1258"/>
      <c r="AN48" s="1258"/>
      <c r="AO48" s="1258"/>
      <c r="AP48" s="1258"/>
      <c r="AQ48" s="1258"/>
      <c r="AR48" s="1258"/>
      <c r="AS48" s="1258"/>
      <c r="AT48" s="1258"/>
      <c r="AU48" s="1258"/>
    </row>
    <row r="49" spans="1:47" ht="12" customHeight="1" x14ac:dyDescent="0.2">
      <c r="A49" s="1210"/>
      <c r="B49" s="3009" t="b">
        <f t="shared" si="5"/>
        <v>0</v>
      </c>
      <c r="C49" s="4497" t="s">
        <v>1983</v>
      </c>
      <c r="D49" s="4499"/>
      <c r="E49" s="4499"/>
      <c r="F49" s="4499"/>
      <c r="G49" s="4499"/>
      <c r="H49" s="2764">
        <f>IF(I49=0,30,"-")</f>
        <v>30</v>
      </c>
      <c r="I49" s="2765"/>
      <c r="J49" s="741"/>
      <c r="K49" s="4497" t="s">
        <v>1984</v>
      </c>
      <c r="L49" s="4498"/>
      <c r="M49" s="4498"/>
      <c r="N49" s="4498"/>
      <c r="O49" s="4498"/>
      <c r="P49" s="2764">
        <f t="shared" si="4"/>
        <v>10</v>
      </c>
      <c r="Q49" s="2765"/>
      <c r="R49" s="3009" t="b">
        <f t="shared" si="1"/>
        <v>0</v>
      </c>
      <c r="S49" s="2544"/>
      <c r="T49" s="2544"/>
      <c r="U49" s="1307">
        <f t="shared" si="2"/>
        <v>0</v>
      </c>
      <c r="V49" s="4500"/>
      <c r="W49" s="4501"/>
      <c r="X49" s="4501"/>
      <c r="Y49" s="4501"/>
      <c r="Z49" s="4501"/>
      <c r="AA49" s="4502"/>
      <c r="AB49" s="4503" t="str">
        <f>IF(V49="","",VLOOKUP(V49,'Tablas Técnicas'!$AD$5:$AI$188,3,FALSE))</f>
        <v/>
      </c>
      <c r="AD49" s="4500"/>
      <c r="AE49" s="4501"/>
      <c r="AF49" s="4501"/>
      <c r="AG49" s="4501"/>
      <c r="AH49" s="4501"/>
      <c r="AI49" s="4502"/>
      <c r="AJ49" s="4503"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9" t="b">
        <f t="shared" si="5"/>
        <v>0</v>
      </c>
      <c r="C50" s="1300" t="s">
        <v>1935</v>
      </c>
      <c r="D50" s="4499" t="s">
        <v>1985</v>
      </c>
      <c r="E50" s="4499"/>
      <c r="F50" s="4499"/>
      <c r="G50" s="4499"/>
      <c r="H50" s="2764">
        <f>IF(I50=0,20,"-")</f>
        <v>20</v>
      </c>
      <c r="I50" s="2765"/>
      <c r="J50" s="741"/>
      <c r="K50" s="1300" t="s">
        <v>1924</v>
      </c>
      <c r="L50" s="4499" t="s">
        <v>1986</v>
      </c>
      <c r="M50" s="4498"/>
      <c r="N50" s="4498"/>
      <c r="O50" s="4498"/>
      <c r="P50" s="2764">
        <f t="shared" si="4"/>
        <v>10</v>
      </c>
      <c r="Q50" s="2765"/>
      <c r="R50" s="3009" t="b">
        <f t="shared" si="1"/>
        <v>0</v>
      </c>
      <c r="S50" s="2544"/>
      <c r="T50" s="2544"/>
      <c r="U50" s="1307"/>
      <c r="V50" s="4504" t="str">
        <f>IF(V49="","",VLOOKUP(V49,'Tablas Técnicas'!$AD$5:$AI$188,4,FALSE))</f>
        <v/>
      </c>
      <c r="W50" s="4505"/>
      <c r="X50" s="4505"/>
      <c r="Y50" s="4505"/>
      <c r="Z50" s="1273" t="s">
        <v>1630</v>
      </c>
      <c r="AA50" s="1309" t="str">
        <f>IF(V49="","",VLOOKUP(V49,'Tablas Técnicas'!$AD$5:$AI$188,2,FALSE))</f>
        <v/>
      </c>
      <c r="AB50" s="4503"/>
      <c r="AD50" s="4504" t="str">
        <f>IF(AD49="","",VLOOKUP(AD49,'Tablas Técnicas'!$AD$5:$AI$188,4,FALSE))</f>
        <v/>
      </c>
      <c r="AE50" s="4505"/>
      <c r="AF50" s="4505"/>
      <c r="AG50" s="4505"/>
      <c r="AH50" s="1273" t="s">
        <v>1630</v>
      </c>
      <c r="AI50" s="1309" t="str">
        <f>IF(AD49="","",VLOOKUP(AD49,'Tablas Técnicas'!$AD$5:$AI$188,2,FALSE))</f>
        <v/>
      </c>
      <c r="AJ50" s="4503"/>
      <c r="AK50" s="1216"/>
      <c r="AL50" s="1210"/>
      <c r="AM50" s="1258"/>
      <c r="AN50" s="1258"/>
      <c r="AO50" s="1258"/>
      <c r="AP50" s="1258"/>
      <c r="AQ50" s="1258"/>
      <c r="AR50" s="1258"/>
      <c r="AS50" s="1258"/>
      <c r="AT50" s="1258"/>
      <c r="AU50" s="1258"/>
    </row>
    <row r="51" spans="1:47" ht="12" customHeight="1" x14ac:dyDescent="0.2">
      <c r="A51" s="1210"/>
      <c r="B51" s="3009" t="b">
        <f t="shared" si="5"/>
        <v>0</v>
      </c>
      <c r="C51" s="4497" t="s">
        <v>1987</v>
      </c>
      <c r="D51" s="4499"/>
      <c r="E51" s="4499"/>
      <c r="F51" s="4499"/>
      <c r="G51" s="4499"/>
      <c r="H51" s="2764">
        <f>IF(I51=0,30,"-")</f>
        <v>30</v>
      </c>
      <c r="I51" s="2765"/>
      <c r="J51" s="741"/>
      <c r="K51" s="1300" t="s">
        <v>1959</v>
      </c>
      <c r="L51" s="1303" t="s">
        <v>1924</v>
      </c>
      <c r="M51" s="4499" t="s">
        <v>1988</v>
      </c>
      <c r="N51" s="4499"/>
      <c r="O51" s="4499"/>
      <c r="P51" s="2764">
        <f t="shared" si="4"/>
        <v>10</v>
      </c>
      <c r="Q51" s="2765"/>
      <c r="R51" s="3009" t="b">
        <f t="shared" si="1"/>
        <v>0</v>
      </c>
      <c r="S51" s="2544"/>
      <c r="T51" s="2544"/>
      <c r="U51" s="1307">
        <f t="shared" si="2"/>
        <v>0</v>
      </c>
      <c r="V51" s="4490"/>
      <c r="W51" s="4491"/>
      <c r="X51" s="4491"/>
      <c r="Y51" s="4491"/>
      <c r="Z51" s="4491"/>
      <c r="AA51" s="4492"/>
      <c r="AB51" s="4493" t="str">
        <f>IF(V51="","",VLOOKUP(V51,'Tablas Técnicas'!$AD$5:$AI$188,3,FALSE))</f>
        <v/>
      </c>
      <c r="AD51" s="4490"/>
      <c r="AE51" s="4491"/>
      <c r="AF51" s="4491"/>
      <c r="AG51" s="4491"/>
      <c r="AH51" s="4491"/>
      <c r="AI51" s="4492"/>
      <c r="AJ51" s="4493"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9" t="b">
        <f t="shared" si="5"/>
        <v>0</v>
      </c>
      <c r="C52" s="1300" t="s">
        <v>1935</v>
      </c>
      <c r="D52" s="4499" t="s">
        <v>1989</v>
      </c>
      <c r="E52" s="4499"/>
      <c r="F52" s="4499"/>
      <c r="G52" s="4499"/>
      <c r="H52" s="2764">
        <f>IF(I52=0,20,"-")</f>
        <v>20</v>
      </c>
      <c r="I52" s="2765"/>
      <c r="J52" s="741"/>
      <c r="K52" s="1300" t="s">
        <v>1959</v>
      </c>
      <c r="L52" s="1303" t="s">
        <v>1935</v>
      </c>
      <c r="M52" s="4499" t="s">
        <v>1990</v>
      </c>
      <c r="N52" s="4499"/>
      <c r="O52" s="4499"/>
      <c r="P52" s="2764">
        <f t="shared" si="4"/>
        <v>10</v>
      </c>
      <c r="Q52" s="2765"/>
      <c r="R52" s="3009" t="b">
        <f t="shared" si="1"/>
        <v>0</v>
      </c>
      <c r="S52" s="2544"/>
      <c r="T52" s="2544"/>
      <c r="U52" s="1307"/>
      <c r="V52" s="4194" t="str">
        <f>IF(V51="","",VLOOKUP(V51,'Tablas Técnicas'!$AD$5:$AI$188,4,FALSE))</f>
        <v/>
      </c>
      <c r="W52" s="4260"/>
      <c r="X52" s="4260"/>
      <c r="Y52" s="4260"/>
      <c r="Z52" s="1342" t="s">
        <v>1630</v>
      </c>
      <c r="AA52" s="1344" t="str">
        <f>IF(V51="","",VLOOKUP(V51,'Tablas Técnicas'!$AD$5:$AI$188,2,FALSE))</f>
        <v/>
      </c>
      <c r="AB52" s="4493"/>
      <c r="AD52" s="4194" t="str">
        <f>IF(AD51="","",VLOOKUP(AD51,'Tablas Técnicas'!$AD$5:$AI$188,4,FALSE))</f>
        <v/>
      </c>
      <c r="AE52" s="4260"/>
      <c r="AF52" s="4260"/>
      <c r="AG52" s="4260"/>
      <c r="AH52" s="1342" t="s">
        <v>1630</v>
      </c>
      <c r="AI52" s="1344" t="str">
        <f>IF(AD51="","",VLOOKUP(AD51,'Tablas Técnicas'!$AD$5:$AI$188,2,FALSE))</f>
        <v/>
      </c>
      <c r="AJ52" s="4493"/>
      <c r="AK52" s="1216"/>
      <c r="AL52" s="1210"/>
      <c r="AM52" s="1258"/>
      <c r="AN52" s="1258"/>
      <c r="AO52" s="1258"/>
      <c r="AP52" s="1258"/>
      <c r="AQ52" s="1258"/>
      <c r="AR52" s="1258"/>
      <c r="AS52" s="1258"/>
      <c r="AT52" s="1258"/>
      <c r="AU52" s="1258"/>
    </row>
    <row r="53" spans="1:47" ht="12" customHeight="1" x14ac:dyDescent="0.2">
      <c r="A53" s="1210"/>
      <c r="B53" s="3009" t="b">
        <f t="shared" si="5"/>
        <v>0</v>
      </c>
      <c r="C53" s="4497" t="s">
        <v>1991</v>
      </c>
      <c r="D53" s="4498"/>
      <c r="E53" s="4498"/>
      <c r="F53" s="4498"/>
      <c r="G53" s="4498"/>
      <c r="H53" s="2764">
        <f>IF(I53=0,30,"-")</f>
        <v>30</v>
      </c>
      <c r="I53" s="2765"/>
      <c r="J53" s="741"/>
      <c r="K53" s="1300" t="s">
        <v>1924</v>
      </c>
      <c r="L53" s="4499" t="s">
        <v>1992</v>
      </c>
      <c r="M53" s="4498"/>
      <c r="N53" s="4498"/>
      <c r="O53" s="4498"/>
      <c r="P53" s="2764">
        <f t="shared" si="4"/>
        <v>10</v>
      </c>
      <c r="Q53" s="2765"/>
      <c r="R53" s="3009" t="b">
        <f t="shared" si="1"/>
        <v>0</v>
      </c>
      <c r="S53" s="2544"/>
      <c r="T53" s="2544"/>
      <c r="U53" s="1307">
        <f t="shared" si="2"/>
        <v>0</v>
      </c>
      <c r="V53" s="4500"/>
      <c r="W53" s="4501"/>
      <c r="X53" s="4501"/>
      <c r="Y53" s="4501"/>
      <c r="Z53" s="4501"/>
      <c r="AA53" s="4502"/>
      <c r="AB53" s="4503" t="str">
        <f>IF(V53="","",VLOOKUP(V53,'Tablas Técnicas'!$AD$5:$AI$188,3,FALSE))</f>
        <v/>
      </c>
      <c r="AD53" s="4500"/>
      <c r="AE53" s="4501"/>
      <c r="AF53" s="4501"/>
      <c r="AG53" s="4501"/>
      <c r="AH53" s="4501"/>
      <c r="AI53" s="4502"/>
      <c r="AJ53" s="4503"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9" t="b">
        <f t="shared" si="5"/>
        <v>0</v>
      </c>
      <c r="C54" s="4497" t="s">
        <v>1993</v>
      </c>
      <c r="D54" s="4498"/>
      <c r="E54" s="4498"/>
      <c r="F54" s="4498"/>
      <c r="G54" s="4498"/>
      <c r="H54" s="2764">
        <f>IF(I54=0,30,"-")</f>
        <v>30</v>
      </c>
      <c r="I54" s="2765"/>
      <c r="J54" s="741"/>
      <c r="K54" s="1300" t="s">
        <v>1959</v>
      </c>
      <c r="L54" s="1303" t="s">
        <v>1924</v>
      </c>
      <c r="M54" s="4499" t="s">
        <v>1994</v>
      </c>
      <c r="N54" s="4499"/>
      <c r="O54" s="4499"/>
      <c r="P54" s="2764">
        <f>IF(Q54=0,20,"-")</f>
        <v>20</v>
      </c>
      <c r="Q54" s="2765"/>
      <c r="R54" s="3009" t="b">
        <f t="shared" si="1"/>
        <v>0</v>
      </c>
      <c r="S54" s="2544"/>
      <c r="T54" s="2544"/>
      <c r="U54" s="1307"/>
      <c r="V54" s="4504" t="str">
        <f>IF(V53="","",VLOOKUP(V53,'Tablas Técnicas'!$AD$5:$AI$188,4,FALSE))</f>
        <v/>
      </c>
      <c r="W54" s="4505"/>
      <c r="X54" s="4505"/>
      <c r="Y54" s="4505"/>
      <c r="Z54" s="1273" t="s">
        <v>1630</v>
      </c>
      <c r="AA54" s="1309" t="str">
        <f>IF(V53="","",VLOOKUP(V53,'Tablas Técnicas'!$AD$5:$AI$188,2,FALSE))</f>
        <v/>
      </c>
      <c r="AB54" s="4503"/>
      <c r="AD54" s="4504" t="str">
        <f>IF(AD53="","",VLOOKUP(AD53,'Tablas Técnicas'!$AD$5:$AI$188,4,FALSE))</f>
        <v/>
      </c>
      <c r="AE54" s="4505"/>
      <c r="AF54" s="4505"/>
      <c r="AG54" s="4505"/>
      <c r="AH54" s="1273" t="s">
        <v>1630</v>
      </c>
      <c r="AI54" s="1309" t="str">
        <f>IF(AD53="","",VLOOKUP(AD53,'Tablas Técnicas'!$AD$5:$AI$188,2,FALSE))</f>
        <v/>
      </c>
      <c r="AJ54" s="4503"/>
      <c r="AK54" s="1216"/>
      <c r="AL54" s="1210"/>
      <c r="AM54" s="1258"/>
      <c r="AN54" s="1258"/>
      <c r="AO54" s="1258"/>
      <c r="AP54" s="1258"/>
      <c r="AQ54" s="1258"/>
      <c r="AR54" s="1258"/>
      <c r="AS54" s="1258"/>
      <c r="AT54" s="1258"/>
      <c r="AU54" s="1258"/>
    </row>
    <row r="55" spans="1:47" ht="12" customHeight="1" x14ac:dyDescent="0.2">
      <c r="A55" s="1210"/>
      <c r="B55" s="3009" t="b">
        <f t="shared" si="5"/>
        <v>0</v>
      </c>
      <c r="C55" s="1300" t="s">
        <v>1935</v>
      </c>
      <c r="D55" s="4499" t="s">
        <v>1995</v>
      </c>
      <c r="E55" s="4498"/>
      <c r="F55" s="4498"/>
      <c r="G55" s="4498"/>
      <c r="H55" s="2764">
        <f>IF(I55=0,30,"-")</f>
        <v>30</v>
      </c>
      <c r="I55" s="2765"/>
      <c r="J55" s="741"/>
      <c r="K55" s="1300" t="s">
        <v>1959</v>
      </c>
      <c r="L55" s="1303" t="s">
        <v>1924</v>
      </c>
      <c r="M55" s="4499" t="s">
        <v>1996</v>
      </c>
      <c r="N55" s="4499"/>
      <c r="O55" s="4499"/>
      <c r="P55" s="2764">
        <f>IF(Q55=0,20,"-")</f>
        <v>20</v>
      </c>
      <c r="Q55" s="2765"/>
      <c r="R55" s="3009" t="b">
        <f t="shared" si="1"/>
        <v>0</v>
      </c>
      <c r="S55" s="2544"/>
      <c r="T55" s="2544"/>
      <c r="U55" s="1307">
        <f t="shared" si="2"/>
        <v>0</v>
      </c>
      <c r="V55" s="4490"/>
      <c r="W55" s="4491"/>
      <c r="X55" s="4491"/>
      <c r="Y55" s="4491"/>
      <c r="Z55" s="4491"/>
      <c r="AA55" s="4492"/>
      <c r="AB55" s="4493" t="str">
        <f>IF(V55="","",VLOOKUP(V55,'Tablas Técnicas'!$AD$5:$AI$188,3,FALSE))</f>
        <v/>
      </c>
      <c r="AD55" s="4490"/>
      <c r="AE55" s="4491"/>
      <c r="AF55" s="4491"/>
      <c r="AG55" s="4491"/>
      <c r="AH55" s="4491"/>
      <c r="AI55" s="4492"/>
      <c r="AJ55" s="4493"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9" t="b">
        <f t="shared" si="5"/>
        <v>0</v>
      </c>
      <c r="C56" s="4497" t="s">
        <v>1997</v>
      </c>
      <c r="D56" s="4498"/>
      <c r="E56" s="4498"/>
      <c r="F56" s="4498"/>
      <c r="G56" s="4498"/>
      <c r="H56" s="2764">
        <f>IF(I56=0,10,"-")</f>
        <v>10</v>
      </c>
      <c r="I56" s="2765"/>
      <c r="J56" s="741"/>
      <c r="K56" s="1300" t="s">
        <v>1959</v>
      </c>
      <c r="L56" s="1303" t="s">
        <v>1935</v>
      </c>
      <c r="M56" s="4499" t="s">
        <v>1998</v>
      </c>
      <c r="N56" s="4499"/>
      <c r="O56" s="4499"/>
      <c r="P56" s="2764">
        <f>IF(Q56=0,20,"-")</f>
        <v>20</v>
      </c>
      <c r="Q56" s="2765"/>
      <c r="R56" s="3009" t="b">
        <f t="shared" si="1"/>
        <v>0</v>
      </c>
      <c r="S56" s="2544"/>
      <c r="T56" s="2544"/>
      <c r="U56" s="1307"/>
      <c r="V56" s="4194" t="str">
        <f>IF(V55="","",VLOOKUP(V55,'Tablas Técnicas'!$AD$5:$AI$188,4,FALSE))</f>
        <v/>
      </c>
      <c r="W56" s="4260"/>
      <c r="X56" s="4260"/>
      <c r="Y56" s="4260"/>
      <c r="Z56" s="1342" t="s">
        <v>1630</v>
      </c>
      <c r="AA56" s="1344" t="str">
        <f>IF(V55="","",VLOOKUP(V55,'Tablas Técnicas'!$AD$5:$AI$188,2,FALSE))</f>
        <v/>
      </c>
      <c r="AB56" s="4493"/>
      <c r="AD56" s="4194" t="str">
        <f>IF(AD55="","",VLOOKUP(AD55,'Tablas Técnicas'!$AD$5:$AI$188,4,FALSE))</f>
        <v/>
      </c>
      <c r="AE56" s="4260"/>
      <c r="AF56" s="4260"/>
      <c r="AG56" s="4260"/>
      <c r="AH56" s="1342" t="s">
        <v>1630</v>
      </c>
      <c r="AI56" s="1344" t="str">
        <f>IF(AD55="","",VLOOKUP(AD55,'Tablas Técnicas'!$AD$5:$AI$188,2,FALSE))</f>
        <v/>
      </c>
      <c r="AJ56" s="4493"/>
      <c r="AK56" s="1216"/>
      <c r="AL56" s="1210"/>
      <c r="AM56" s="1258"/>
      <c r="AN56" s="1258"/>
      <c r="AO56" s="1258"/>
      <c r="AP56" s="1258"/>
      <c r="AQ56" s="1258"/>
      <c r="AR56" s="1258"/>
      <c r="AS56" s="1258"/>
      <c r="AT56" s="1258"/>
      <c r="AU56" s="1258"/>
    </row>
    <row r="57" spans="1:47" ht="12" customHeight="1" x14ac:dyDescent="0.2">
      <c r="A57" s="1210"/>
      <c r="B57" s="3009" t="b">
        <f t="shared" si="5"/>
        <v>0</v>
      </c>
      <c r="C57" s="1300" t="s">
        <v>1924</v>
      </c>
      <c r="D57" s="4499" t="s">
        <v>1999</v>
      </c>
      <c r="E57" s="4498"/>
      <c r="F57" s="4498"/>
      <c r="G57" s="4498"/>
      <c r="H57" s="2764">
        <f>IF(I57=0,10,"-")</f>
        <v>10</v>
      </c>
      <c r="I57" s="2765"/>
      <c r="J57" s="741"/>
      <c r="K57" s="1300" t="s">
        <v>1924</v>
      </c>
      <c r="L57" s="4499" t="s">
        <v>2000</v>
      </c>
      <c r="M57" s="4498"/>
      <c r="N57" s="4498"/>
      <c r="O57" s="4498"/>
      <c r="P57" s="2764">
        <f>IF(Q57=0,20,"-")</f>
        <v>20</v>
      </c>
      <c r="Q57" s="2765"/>
      <c r="R57" s="3009" t="b">
        <f t="shared" si="1"/>
        <v>0</v>
      </c>
      <c r="S57" s="2544"/>
      <c r="T57" s="2544"/>
      <c r="U57" s="1307">
        <f t="shared" si="2"/>
        <v>0</v>
      </c>
      <c r="V57" s="4500"/>
      <c r="W57" s="4501"/>
      <c r="X57" s="4501"/>
      <c r="Y57" s="4501"/>
      <c r="Z57" s="4501"/>
      <c r="AA57" s="4502"/>
      <c r="AB57" s="4503" t="str">
        <f>IF(V57="","",VLOOKUP(V57,'Tablas Técnicas'!$AD$5:$AI$188,3,FALSE))</f>
        <v/>
      </c>
      <c r="AD57" s="4500"/>
      <c r="AE57" s="4501"/>
      <c r="AF57" s="4501"/>
      <c r="AG57" s="4501"/>
      <c r="AH57" s="4501"/>
      <c r="AI57" s="4502"/>
      <c r="AJ57" s="4503"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9" t="b">
        <f t="shared" si="5"/>
        <v>0</v>
      </c>
      <c r="C58" s="1300" t="s">
        <v>1924</v>
      </c>
      <c r="D58" s="4499" t="s">
        <v>2001</v>
      </c>
      <c r="E58" s="4498"/>
      <c r="F58" s="4498"/>
      <c r="G58" s="4498"/>
      <c r="H58" s="2764">
        <f>IF(I58=0,20,"-")</f>
        <v>20</v>
      </c>
      <c r="I58" s="2765"/>
      <c r="J58" s="741"/>
      <c r="K58" s="1300" t="s">
        <v>1959</v>
      </c>
      <c r="L58" s="1303" t="s">
        <v>1924</v>
      </c>
      <c r="M58" s="4499" t="s">
        <v>2002</v>
      </c>
      <c r="N58" s="4499"/>
      <c r="O58" s="4499"/>
      <c r="P58" s="2764">
        <f>IF(Q58=0,20,"-")</f>
        <v>20</v>
      </c>
      <c r="Q58" s="2765"/>
      <c r="R58" s="3009" t="b">
        <f t="shared" si="1"/>
        <v>0</v>
      </c>
      <c r="S58" s="2544"/>
      <c r="T58" s="2544"/>
      <c r="U58" s="1307"/>
      <c r="V58" s="4504" t="str">
        <f>IF(V57="","",VLOOKUP(V57,'Tablas Técnicas'!$AD$5:$AI$188,4,FALSE))</f>
        <v/>
      </c>
      <c r="W58" s="4505"/>
      <c r="X58" s="4505"/>
      <c r="Y58" s="4505"/>
      <c r="Z58" s="1273" t="s">
        <v>1630</v>
      </c>
      <c r="AA58" s="1309" t="str">
        <f>IF(V57="","",VLOOKUP(V57,'Tablas Técnicas'!$AD$5:$AI$188,2,FALSE))</f>
        <v/>
      </c>
      <c r="AB58" s="4503"/>
      <c r="AD58" s="4504" t="str">
        <f>IF(AD57="","",VLOOKUP(AD57,'Tablas Técnicas'!$AD$5:$AI$188,4,FALSE))</f>
        <v/>
      </c>
      <c r="AE58" s="4505"/>
      <c r="AF58" s="4505"/>
      <c r="AG58" s="4505"/>
      <c r="AH58" s="1273" t="s">
        <v>1630</v>
      </c>
      <c r="AI58" s="1309" t="str">
        <f>IF(AD57="","",VLOOKUP(AD57,'Tablas Técnicas'!$AD$5:$AI$188,2,FALSE))</f>
        <v/>
      </c>
      <c r="AJ58" s="4503"/>
      <c r="AK58" s="1216"/>
      <c r="AL58" s="1210"/>
      <c r="AM58" s="1258"/>
      <c r="AN58" s="1258"/>
      <c r="AO58" s="1258"/>
      <c r="AP58" s="1258"/>
      <c r="AQ58" s="1258"/>
      <c r="AR58" s="1258"/>
      <c r="AS58" s="1258"/>
      <c r="AT58" s="1258"/>
      <c r="AU58" s="1258"/>
    </row>
    <row r="59" spans="1:47" ht="12" customHeight="1" x14ac:dyDescent="0.2">
      <c r="A59" s="1210"/>
      <c r="B59" s="3009" t="b">
        <f t="shared" si="5"/>
        <v>0</v>
      </c>
      <c r="C59" s="1300" t="s">
        <v>1935</v>
      </c>
      <c r="D59" s="4499" t="s">
        <v>2003</v>
      </c>
      <c r="E59" s="4498"/>
      <c r="F59" s="4498"/>
      <c r="G59" s="4498"/>
      <c r="H59" s="2764">
        <f>IF(I59=0,20,"-")</f>
        <v>20</v>
      </c>
      <c r="I59" s="2765"/>
      <c r="J59" s="741"/>
      <c r="K59" s="1300" t="s">
        <v>1959</v>
      </c>
      <c r="L59" s="1303" t="s">
        <v>1935</v>
      </c>
      <c r="M59" s="4499" t="s">
        <v>2004</v>
      </c>
      <c r="N59" s="4499"/>
      <c r="O59" s="4499"/>
      <c r="P59" s="2764">
        <f>IF(Q59=0,10,"-")</f>
        <v>10</v>
      </c>
      <c r="Q59" s="2765"/>
      <c r="R59" s="3009" t="b">
        <f t="shared" si="1"/>
        <v>0</v>
      </c>
      <c r="S59" s="2544"/>
      <c r="T59" s="2544"/>
      <c r="U59" s="1307">
        <f t="shared" si="2"/>
        <v>0</v>
      </c>
      <c r="V59" s="4490"/>
      <c r="W59" s="4491"/>
      <c r="X59" s="4491"/>
      <c r="Y59" s="4491"/>
      <c r="Z59" s="4491"/>
      <c r="AA59" s="4492"/>
      <c r="AB59" s="4493" t="str">
        <f>IF(V59="","",VLOOKUP(V59,'Tablas Técnicas'!$AD$5:$AI$188,3,FALSE))</f>
        <v/>
      </c>
      <c r="AD59" s="4490"/>
      <c r="AE59" s="4491"/>
      <c r="AF59" s="4491"/>
      <c r="AG59" s="4491"/>
      <c r="AH59" s="4491"/>
      <c r="AI59" s="4492"/>
      <c r="AJ59" s="4493"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9" t="b">
        <f t="shared" si="5"/>
        <v>0</v>
      </c>
      <c r="C60" s="1319"/>
      <c r="D60" s="1303" t="s">
        <v>1935</v>
      </c>
      <c r="E60" s="4499" t="s">
        <v>2005</v>
      </c>
      <c r="F60" s="4499"/>
      <c r="G60" s="4499"/>
      <c r="H60" s="2764">
        <f>IF(I60=0,40,"-")</f>
        <v>40</v>
      </c>
      <c r="I60" s="2765"/>
      <c r="J60" s="741"/>
      <c r="K60" s="1300" t="s">
        <v>1935</v>
      </c>
      <c r="L60" s="4499" t="s">
        <v>2006</v>
      </c>
      <c r="M60" s="4499"/>
      <c r="N60" s="4499"/>
      <c r="O60" s="4499"/>
      <c r="P60" s="2764">
        <f>IF(Q60=0,20,"-")</f>
        <v>20</v>
      </c>
      <c r="Q60" s="2765"/>
      <c r="R60" s="3009" t="b">
        <f t="shared" si="1"/>
        <v>0</v>
      </c>
      <c r="S60" s="2544"/>
      <c r="T60" s="2544"/>
      <c r="U60" s="1307"/>
      <c r="V60" s="4194" t="str">
        <f>IF(V59="","",VLOOKUP(V59,'Tablas Técnicas'!$AD$5:$AI$188,4,FALSE))</f>
        <v/>
      </c>
      <c r="W60" s="4260"/>
      <c r="X60" s="4260"/>
      <c r="Y60" s="4260"/>
      <c r="Z60" s="1342" t="s">
        <v>1630</v>
      </c>
      <c r="AA60" s="1344" t="str">
        <f>IF(V59="","",VLOOKUP(V59,'Tablas Técnicas'!$AD$5:$AI$188,2,FALSE))</f>
        <v/>
      </c>
      <c r="AB60" s="4493"/>
      <c r="AD60" s="4194" t="str">
        <f>IF(AD59="","",VLOOKUP(AD59,'Tablas Técnicas'!$AD$5:$AI$188,4,FALSE))</f>
        <v/>
      </c>
      <c r="AE60" s="4260"/>
      <c r="AF60" s="4260"/>
      <c r="AG60" s="4260"/>
      <c r="AH60" s="1342" t="s">
        <v>1630</v>
      </c>
      <c r="AI60" s="1344" t="str">
        <f>IF(AD59="","",VLOOKUP(AD59,'Tablas Técnicas'!$AD$5:$AI$188,2,FALSE))</f>
        <v/>
      </c>
      <c r="AJ60" s="4493"/>
      <c r="AK60" s="1216"/>
      <c r="AL60" s="1210"/>
      <c r="AM60" s="1258"/>
      <c r="AN60" s="1258"/>
      <c r="AO60" s="1258"/>
      <c r="AP60" s="1258"/>
      <c r="AQ60" s="1258"/>
      <c r="AR60" s="1258"/>
      <c r="AS60" s="1258"/>
      <c r="AT60" s="1258"/>
      <c r="AU60" s="1258"/>
    </row>
    <row r="61" spans="1:47" ht="12" customHeight="1" x14ac:dyDescent="0.2">
      <c r="A61" s="1210"/>
      <c r="B61" s="3009" t="b">
        <f t="shared" si="5"/>
        <v>0</v>
      </c>
      <c r="C61" s="4497" t="s">
        <v>2007</v>
      </c>
      <c r="D61" s="4498"/>
      <c r="E61" s="4498"/>
      <c r="F61" s="4498"/>
      <c r="G61" s="4498"/>
      <c r="H61" s="2764">
        <f>IF(I61=0,30,"-")</f>
        <v>30</v>
      </c>
      <c r="I61" s="2765"/>
      <c r="J61" s="741"/>
      <c r="K61" s="1320"/>
      <c r="L61" s="1303" t="s">
        <v>1935</v>
      </c>
      <c r="M61" s="4499" t="s">
        <v>2008</v>
      </c>
      <c r="N61" s="4499"/>
      <c r="O61" s="4499"/>
      <c r="P61" s="2764">
        <f>IF(Q61=0,20,"-")</f>
        <v>20</v>
      </c>
      <c r="Q61" s="2765"/>
      <c r="R61" s="3009" t="b">
        <f t="shared" si="1"/>
        <v>0</v>
      </c>
      <c r="S61" s="2544"/>
      <c r="T61" s="2544"/>
      <c r="U61" s="1307">
        <f t="shared" si="2"/>
        <v>0</v>
      </c>
      <c r="V61" s="4500"/>
      <c r="W61" s="4501"/>
      <c r="X61" s="4501"/>
      <c r="Y61" s="4501"/>
      <c r="Z61" s="4501"/>
      <c r="AA61" s="4502"/>
      <c r="AB61" s="4503" t="str">
        <f>IF(V61="","",VLOOKUP(V61,'Tablas Técnicas'!$AD$5:$AI$188,3,FALSE))</f>
        <v/>
      </c>
      <c r="AD61" s="4500"/>
      <c r="AE61" s="4501"/>
      <c r="AF61" s="4501"/>
      <c r="AG61" s="4501"/>
      <c r="AH61" s="4501"/>
      <c r="AI61" s="4502"/>
      <c r="AJ61" s="4503"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9" t="b">
        <f t="shared" si="5"/>
        <v>0</v>
      </c>
      <c r="C62" s="4497" t="s">
        <v>2009</v>
      </c>
      <c r="D62" s="4498"/>
      <c r="E62" s="4498"/>
      <c r="F62" s="4498"/>
      <c r="G62" s="4498"/>
      <c r="H62" s="2764">
        <f>IF(I62=0,10,"-")</f>
        <v>10</v>
      </c>
      <c r="I62" s="2765"/>
      <c r="J62" s="741"/>
      <c r="K62" s="4497" t="s">
        <v>2010</v>
      </c>
      <c r="L62" s="4498"/>
      <c r="M62" s="4498"/>
      <c r="N62" s="4498"/>
      <c r="O62" s="4498"/>
      <c r="P62" s="2764">
        <f>IF(Q62=0,50,"-")</f>
        <v>50</v>
      </c>
      <c r="Q62" s="2765"/>
      <c r="R62" s="3009" t="b">
        <f t="shared" si="1"/>
        <v>0</v>
      </c>
      <c r="S62" s="2544"/>
      <c r="T62" s="2544"/>
      <c r="U62" s="1307"/>
      <c r="V62" s="4504" t="str">
        <f>IF(V61="","",VLOOKUP(V61,'Tablas Técnicas'!$AD$5:$AI$188,4,FALSE))</f>
        <v/>
      </c>
      <c r="W62" s="4505"/>
      <c r="X62" s="4505"/>
      <c r="Y62" s="4505"/>
      <c r="Z62" s="1273" t="s">
        <v>1630</v>
      </c>
      <c r="AA62" s="1309" t="str">
        <f>IF(V61="","",VLOOKUP(V61,'Tablas Técnicas'!$AD$5:$AI$188,2,FALSE))</f>
        <v/>
      </c>
      <c r="AB62" s="4503"/>
      <c r="AD62" s="4504" t="str">
        <f>IF(AD61="","",VLOOKUP(AD61,'Tablas Técnicas'!$AD$5:$AI$188,4,FALSE))</f>
        <v/>
      </c>
      <c r="AE62" s="4505"/>
      <c r="AF62" s="4505"/>
      <c r="AG62" s="4505"/>
      <c r="AH62" s="1273" t="s">
        <v>1630</v>
      </c>
      <c r="AI62" s="1309" t="str">
        <f>IF(AD61="","",VLOOKUP(AD61,'Tablas Técnicas'!$AD$5:$AI$188,2,FALSE))</f>
        <v/>
      </c>
      <c r="AJ62" s="4503"/>
      <c r="AK62" s="1216"/>
      <c r="AL62" s="1210"/>
      <c r="AM62" s="1258"/>
      <c r="AN62" s="1258"/>
      <c r="AO62" s="1258"/>
      <c r="AP62" s="1258"/>
      <c r="AQ62" s="1258"/>
      <c r="AR62" s="1258"/>
      <c r="AS62" s="1258"/>
      <c r="AT62" s="1258"/>
      <c r="AU62" s="1258"/>
    </row>
    <row r="63" spans="1:47" ht="12" customHeight="1" x14ac:dyDescent="0.2">
      <c r="A63" s="1210"/>
      <c r="B63" s="3023">
        <f>IF(COUNTIF(HabilidadesEsenciales_Adquiridas,"Inhumanidad")+COUNTIF(Principal!V30:AE35,"Inhumanidad")&gt;0,1,0)</f>
        <v>0</v>
      </c>
      <c r="C63" s="4497" t="s">
        <v>2011</v>
      </c>
      <c r="D63" s="4498"/>
      <c r="E63" s="4498"/>
      <c r="F63" s="4498"/>
      <c r="G63" s="4498"/>
      <c r="H63" s="2764">
        <f>IF(I63=0,20,"-")</f>
        <v>20</v>
      </c>
      <c r="I63" s="2765"/>
      <c r="J63" s="741"/>
      <c r="K63" s="4497" t="s">
        <v>2011</v>
      </c>
      <c r="L63" s="4499"/>
      <c r="M63" s="4499"/>
      <c r="N63" s="4499"/>
      <c r="O63" s="4499"/>
      <c r="P63" s="2764">
        <f>IF(Q63=0,30,"-")</f>
        <v>30</v>
      </c>
      <c r="Q63" s="2765"/>
      <c r="R63" s="3009" t="b">
        <f>OR(Ki!$P63="-",Ki!$H63="-",Tablas!$H$1880&gt;0,Raza=Tablas!$J$124,Tablas!$P$258&gt;0,Tablas!$P$259&gt;0)</f>
        <v>0</v>
      </c>
      <c r="S63" s="2544"/>
      <c r="T63" s="2544"/>
      <c r="U63" s="1307">
        <f t="shared" si="2"/>
        <v>0</v>
      </c>
      <c r="V63" s="4490"/>
      <c r="W63" s="4491"/>
      <c r="X63" s="4491"/>
      <c r="Y63" s="4491"/>
      <c r="Z63" s="4491"/>
      <c r="AA63" s="4492"/>
      <c r="AB63" s="4493" t="str">
        <f>IF(V63="","",VLOOKUP(V63,'Tablas Técnicas'!$AD$5:$AI$188,3,FALSE))</f>
        <v/>
      </c>
      <c r="AD63" s="4490"/>
      <c r="AE63" s="4491"/>
      <c r="AF63" s="4491"/>
      <c r="AG63" s="4491"/>
      <c r="AH63" s="4491"/>
      <c r="AI63" s="4492"/>
      <c r="AJ63" s="4493"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23">
        <f>IF(COUNTIF(HabilidadesEsenciales_Adquiridas,"Zen")+COUNTIF(Principal!V30:AE35,"Zen")&gt;0,1,0)</f>
        <v>0</v>
      </c>
      <c r="C64" s="1321" t="s">
        <v>1935</v>
      </c>
      <c r="D64" s="4495" t="s">
        <v>2012</v>
      </c>
      <c r="E64" s="4496"/>
      <c r="F64" s="4496"/>
      <c r="G64" s="4496"/>
      <c r="H64" s="1322">
        <f>IF(I64=0,40,"-")</f>
        <v>40</v>
      </c>
      <c r="I64" s="2767"/>
      <c r="J64" s="741"/>
      <c r="K64" s="1321" t="s">
        <v>1935</v>
      </c>
      <c r="L64" s="4495" t="s">
        <v>2012</v>
      </c>
      <c r="M64" s="4495"/>
      <c r="N64" s="4495"/>
      <c r="O64" s="4495"/>
      <c r="P64" s="1322">
        <f t="shared" ref="P64" si="6">IF(Q64=0,50,"-")</f>
        <v>50</v>
      </c>
      <c r="Q64" s="2767"/>
      <c r="R64" s="3009" t="b">
        <f>OR(Ki!$P64="-",Ki!$H64="-",Tablas!$H$1881&gt;0)</f>
        <v>0</v>
      </c>
      <c r="S64" s="2544"/>
      <c r="T64" s="2544"/>
      <c r="U64" s="1323"/>
      <c r="V64" s="4200" t="str">
        <f>IF(V63="","",VLOOKUP(V63,'Tablas Técnicas'!$AD$5:$AI$188,4,FALSE))</f>
        <v/>
      </c>
      <c r="W64" s="4251"/>
      <c r="X64" s="4251"/>
      <c r="Y64" s="4251"/>
      <c r="Z64" s="1324" t="s">
        <v>1630</v>
      </c>
      <c r="AA64" s="1345" t="str">
        <f>IF(V63="","",VLOOKUP(V63,'Tablas Técnicas'!$AD$5:$AI$188,2,FALSE))</f>
        <v/>
      </c>
      <c r="AB64" s="4494"/>
      <c r="AD64" s="4200" t="str">
        <f>IF(AD63="","",VLOOKUP(AD63,'Tablas Técnicas'!$AD$5:$AI$188,4,FALSE))</f>
        <v/>
      </c>
      <c r="AE64" s="4251"/>
      <c r="AF64" s="4251"/>
      <c r="AG64" s="4251"/>
      <c r="AH64" s="1324" t="s">
        <v>1630</v>
      </c>
      <c r="AI64" s="1345" t="str">
        <f>IF(AD63="","",VLOOKUP(AD63,'Tablas Técnicas'!$AD$5:$AI$188,2,FALSE))</f>
        <v/>
      </c>
      <c r="AJ64" s="4494"/>
      <c r="AK64" s="1216"/>
      <c r="AL64" s="1210"/>
      <c r="AM64" s="1258"/>
      <c r="AN64" s="1258"/>
      <c r="AO64" s="1258"/>
      <c r="AP64" s="1258"/>
      <c r="AQ64" s="1258"/>
      <c r="AR64" s="1258"/>
      <c r="AS64" s="1258"/>
      <c r="AT64" s="1258"/>
      <c r="AU64" s="1258"/>
    </row>
    <row r="65" spans="1:47" ht="12" customHeight="1" thickBot="1" x14ac:dyDescent="0.25">
      <c r="A65" s="1210"/>
      <c r="B65" s="3024"/>
      <c r="C65" s="1253"/>
      <c r="D65" s="1253"/>
      <c r="E65" s="1253"/>
      <c r="F65" s="1253"/>
      <c r="G65" s="1253"/>
      <c r="H65" s="1253"/>
      <c r="I65" s="1253"/>
      <c r="J65" s="2617"/>
      <c r="K65" s="1253"/>
      <c r="L65" s="1253"/>
      <c r="M65" s="1253"/>
      <c r="N65" s="1253"/>
      <c r="O65" s="1253"/>
      <c r="P65" s="1253"/>
      <c r="Q65" s="1253"/>
      <c r="R65" s="3010"/>
      <c r="S65" s="2544"/>
      <c r="T65" s="2544"/>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20"/>
      <c r="C66" s="1210"/>
      <c r="D66" s="1210"/>
      <c r="E66" s="1210"/>
      <c r="F66" s="1210"/>
      <c r="G66" s="1210"/>
      <c r="H66" s="1210"/>
      <c r="I66" s="1210"/>
      <c r="J66" s="2618"/>
      <c r="K66" s="1210"/>
      <c r="L66" s="1210"/>
      <c r="M66" s="1210"/>
      <c r="N66" s="1210"/>
      <c r="O66" s="1210"/>
      <c r="P66" s="1210"/>
      <c r="Q66" s="1210"/>
      <c r="R66" s="3011"/>
      <c r="S66" s="2544"/>
      <c r="T66" s="2544"/>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5"/>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5"/>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5"/>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5"/>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5"/>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5"/>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5"/>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5"/>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5"/>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5"/>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5"/>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5"/>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5"/>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5"/>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5"/>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5"/>
      <c r="C83" s="641"/>
      <c r="D83" s="702"/>
      <c r="E83" s="1325"/>
      <c r="F83" s="1327"/>
      <c r="G83" s="702"/>
      <c r="H83" s="702"/>
      <c r="I83" s="702"/>
      <c r="J83" s="702"/>
      <c r="K83" s="702"/>
      <c r="L83" s="702"/>
      <c r="M83" s="702"/>
      <c r="N83" s="702"/>
      <c r="O83" s="702"/>
    </row>
    <row r="84" spans="1:47" ht="12" customHeight="1" x14ac:dyDescent="0.2">
      <c r="A84" s="702"/>
      <c r="B84" s="3025"/>
      <c r="C84" s="641"/>
      <c r="D84" s="702"/>
      <c r="E84" s="1325"/>
      <c r="F84" s="1327"/>
      <c r="G84" s="702"/>
      <c r="H84" s="702"/>
      <c r="I84" s="702"/>
      <c r="J84" s="702"/>
      <c r="K84" s="702"/>
      <c r="L84" s="702"/>
      <c r="M84" s="702"/>
      <c r="N84" s="702"/>
      <c r="O84" s="702"/>
    </row>
    <row r="85" spans="1:47" ht="12" customHeight="1" x14ac:dyDescent="0.2">
      <c r="A85" s="702"/>
      <c r="B85" s="3025"/>
      <c r="C85" s="641"/>
      <c r="D85" s="702"/>
      <c r="E85" s="1327"/>
      <c r="F85" s="1327"/>
      <c r="G85" s="702"/>
      <c r="H85" s="702"/>
      <c r="I85" s="702"/>
      <c r="J85" s="702"/>
      <c r="K85" s="702"/>
      <c r="L85" s="702"/>
      <c r="M85" s="702"/>
      <c r="N85" s="702"/>
      <c r="O85" s="702"/>
    </row>
    <row r="86" spans="1:47" ht="12" customHeight="1" x14ac:dyDescent="0.2">
      <c r="A86" s="702"/>
      <c r="B86" s="3025"/>
      <c r="C86" s="1325"/>
      <c r="D86" s="702"/>
      <c r="E86" s="1325"/>
      <c r="F86" s="1327"/>
      <c r="G86" s="702"/>
      <c r="H86" s="702"/>
      <c r="I86" s="702"/>
      <c r="J86" s="702"/>
      <c r="K86" s="702"/>
      <c r="L86" s="702"/>
      <c r="M86" s="702"/>
      <c r="N86" s="702"/>
      <c r="O86" s="702"/>
      <c r="P86" s="702"/>
      <c r="Q86" s="702"/>
      <c r="U86" s="702"/>
    </row>
    <row r="87" spans="1:47" ht="12" customHeight="1" x14ac:dyDescent="0.2">
      <c r="A87" s="702"/>
      <c r="B87" s="3025"/>
      <c r="C87" s="641"/>
      <c r="D87" s="702"/>
      <c r="E87" s="1325"/>
      <c r="F87" s="1327"/>
      <c r="G87" s="702"/>
      <c r="H87" s="702"/>
      <c r="I87" s="702"/>
      <c r="J87" s="702"/>
      <c r="K87" s="702"/>
      <c r="L87" s="702"/>
      <c r="M87" s="702"/>
      <c r="N87" s="702"/>
      <c r="O87" s="702"/>
      <c r="P87" s="702"/>
      <c r="Q87" s="702"/>
      <c r="U87" s="702"/>
    </row>
    <row r="88" spans="1:47" ht="12" customHeight="1" x14ac:dyDescent="0.2">
      <c r="A88" s="702"/>
      <c r="B88" s="3025"/>
      <c r="C88" s="641"/>
      <c r="D88" s="702"/>
      <c r="E88" s="1325"/>
      <c r="F88" s="1327"/>
      <c r="G88" s="702"/>
      <c r="H88" s="702"/>
      <c r="I88" s="702"/>
      <c r="J88" s="702"/>
      <c r="K88" s="702"/>
      <c r="L88" s="702"/>
      <c r="M88" s="702"/>
      <c r="N88" s="702"/>
      <c r="O88" s="702"/>
      <c r="P88" s="702"/>
      <c r="Q88" s="702"/>
      <c r="U88" s="702"/>
    </row>
    <row r="89" spans="1:47" ht="12" customHeight="1" x14ac:dyDescent="0.2">
      <c r="A89" s="702"/>
      <c r="B89" s="3025"/>
      <c r="C89" s="641"/>
      <c r="D89" s="702"/>
      <c r="E89" s="1269"/>
      <c r="F89" s="702"/>
      <c r="G89" s="702"/>
      <c r="H89" s="702"/>
      <c r="I89" s="702"/>
      <c r="J89" s="702"/>
      <c r="K89" s="702"/>
      <c r="L89" s="702"/>
      <c r="M89" s="702"/>
      <c r="N89" s="702"/>
      <c r="O89" s="702"/>
    </row>
    <row r="90" spans="1:47" ht="12" customHeight="1" x14ac:dyDescent="0.2">
      <c r="A90" s="702"/>
      <c r="B90" s="3025"/>
      <c r="C90" s="641"/>
      <c r="D90" s="702"/>
      <c r="E90" s="702"/>
      <c r="F90" s="702"/>
      <c r="G90" s="702"/>
      <c r="H90" s="702"/>
      <c r="I90" s="702"/>
      <c r="J90" s="702"/>
      <c r="K90" s="702"/>
      <c r="L90" s="702"/>
      <c r="M90" s="702"/>
      <c r="N90" s="702"/>
      <c r="O90" s="702"/>
    </row>
    <row r="91" spans="1:47" ht="12" customHeight="1" x14ac:dyDescent="0.2">
      <c r="A91" s="702"/>
      <c r="B91" s="3025"/>
      <c r="C91" s="641"/>
      <c r="D91" s="702"/>
      <c r="E91" s="702"/>
      <c r="F91" s="702"/>
      <c r="G91" s="702"/>
      <c r="H91" s="702"/>
      <c r="I91" s="702"/>
      <c r="J91" s="702"/>
      <c r="K91" s="702"/>
      <c r="L91" s="702"/>
      <c r="M91" s="702"/>
      <c r="N91" s="702"/>
      <c r="O91" s="702"/>
    </row>
    <row r="92" spans="1:47" ht="12" customHeight="1" x14ac:dyDescent="0.2">
      <c r="A92" s="702"/>
      <c r="B92" s="3025"/>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5"/>
      <c r="C93" s="641"/>
      <c r="D93" s="702"/>
      <c r="E93" s="702"/>
      <c r="F93" s="702"/>
      <c r="G93" s="702"/>
      <c r="H93" s="702"/>
      <c r="I93" s="702"/>
      <c r="J93" s="702"/>
      <c r="K93" s="702"/>
      <c r="L93" s="702"/>
      <c r="M93" s="702"/>
      <c r="N93" s="702"/>
      <c r="O93" s="702"/>
    </row>
    <row r="94" spans="1:47" ht="12" customHeight="1" x14ac:dyDescent="0.2">
      <c r="A94" s="702"/>
      <c r="B94" s="3025"/>
      <c r="C94" s="641"/>
      <c r="D94" s="657"/>
      <c r="E94" s="1327"/>
      <c r="F94" s="657"/>
      <c r="G94" s="657"/>
      <c r="H94" s="657"/>
      <c r="I94" s="702"/>
      <c r="J94" s="702"/>
      <c r="K94" s="702"/>
      <c r="L94" s="702"/>
      <c r="M94" s="702"/>
      <c r="N94" s="702"/>
      <c r="O94" s="702"/>
    </row>
    <row r="95" spans="1:47" ht="12" customHeight="1" x14ac:dyDescent="0.2">
      <c r="A95" s="702"/>
      <c r="B95" s="3025"/>
      <c r="C95" s="641"/>
      <c r="D95" s="657"/>
      <c r="E95" s="1325"/>
      <c r="F95" s="657"/>
      <c r="G95" s="657"/>
      <c r="H95" s="657"/>
      <c r="I95" s="702"/>
      <c r="J95" s="702"/>
      <c r="K95" s="702"/>
      <c r="L95" s="702"/>
      <c r="M95" s="702"/>
      <c r="N95" s="702"/>
      <c r="O95" s="702"/>
    </row>
    <row r="96" spans="1:47" ht="12" customHeight="1" x14ac:dyDescent="0.2">
      <c r="A96" s="702"/>
      <c r="B96" s="3025"/>
      <c r="C96" s="641"/>
      <c r="D96" s="657"/>
      <c r="E96" s="1325"/>
      <c r="F96" s="702"/>
      <c r="G96" s="1279"/>
      <c r="H96" s="702"/>
      <c r="I96" s="702"/>
      <c r="J96" s="702"/>
      <c r="K96" s="702"/>
      <c r="L96" s="702"/>
      <c r="M96" s="702"/>
      <c r="N96" s="702"/>
      <c r="O96" s="702"/>
    </row>
    <row r="97" spans="1:15" ht="12" customHeight="1" x14ac:dyDescent="0.2">
      <c r="A97" s="702"/>
      <c r="B97" s="3025"/>
      <c r="C97" s="641"/>
      <c r="D97" s="657"/>
      <c r="E97" s="1325"/>
      <c r="F97" s="702"/>
      <c r="G97" s="657"/>
      <c r="H97" s="702"/>
      <c r="I97" s="702"/>
      <c r="J97" s="702"/>
      <c r="K97" s="702"/>
      <c r="L97" s="702"/>
      <c r="M97" s="702"/>
      <c r="N97" s="702"/>
      <c r="O97" s="702"/>
    </row>
    <row r="98" spans="1:15" ht="12" customHeight="1" x14ac:dyDescent="0.2">
      <c r="A98" s="702"/>
      <c r="B98" s="3025"/>
      <c r="C98" s="641"/>
      <c r="D98" s="657"/>
      <c r="E98" s="1325"/>
      <c r="F98" s="702"/>
      <c r="G98" s="657"/>
      <c r="H98" s="702"/>
      <c r="I98" s="702"/>
      <c r="J98" s="702"/>
      <c r="K98" s="702"/>
      <c r="L98" s="702"/>
      <c r="M98" s="702"/>
      <c r="N98" s="702"/>
      <c r="O98" s="702"/>
    </row>
    <row r="99" spans="1:15" ht="12" customHeight="1" x14ac:dyDescent="0.2">
      <c r="A99" s="702"/>
      <c r="B99" s="3025"/>
      <c r="C99" s="1325"/>
      <c r="D99" s="657"/>
      <c r="E99" s="1325"/>
      <c r="F99" s="702"/>
      <c r="G99" s="657"/>
      <c r="H99" s="702"/>
      <c r="I99" s="702"/>
      <c r="J99" s="702"/>
      <c r="K99" s="702"/>
      <c r="L99" s="702"/>
      <c r="M99" s="702"/>
      <c r="N99" s="702"/>
      <c r="O99" s="702"/>
    </row>
    <row r="100" spans="1:15" ht="12" customHeight="1" x14ac:dyDescent="0.2">
      <c r="A100" s="702"/>
      <c r="B100" s="3025"/>
      <c r="C100" s="641"/>
      <c r="D100" s="657"/>
      <c r="E100" s="657"/>
      <c r="F100" s="657"/>
      <c r="G100" s="1331"/>
      <c r="H100" s="702"/>
      <c r="I100" s="702"/>
      <c r="J100" s="702"/>
      <c r="K100" s="702"/>
      <c r="L100" s="702"/>
      <c r="M100" s="702"/>
      <c r="N100" s="702"/>
      <c r="O100" s="702"/>
    </row>
    <row r="101" spans="1:15" ht="12" customHeight="1" x14ac:dyDescent="0.2">
      <c r="A101" s="702"/>
      <c r="B101" s="3025"/>
      <c r="C101" s="1325"/>
      <c r="D101" s="657"/>
      <c r="E101" s="657"/>
      <c r="F101" s="657"/>
      <c r="G101" s="657"/>
      <c r="H101" s="702"/>
      <c r="I101" s="702"/>
      <c r="J101" s="702"/>
      <c r="K101" s="702"/>
      <c r="L101" s="702"/>
      <c r="M101" s="702"/>
      <c r="N101" s="702"/>
      <c r="O101" s="702"/>
    </row>
    <row r="102" spans="1:15" ht="12" customHeight="1" x14ac:dyDescent="0.2">
      <c r="A102" s="702"/>
      <c r="B102" s="3025"/>
      <c r="C102" s="1325"/>
      <c r="D102" s="657"/>
      <c r="E102" s="657"/>
      <c r="F102" s="657"/>
      <c r="G102" s="657"/>
      <c r="H102" s="702"/>
      <c r="I102" s="702"/>
      <c r="J102" s="702"/>
      <c r="K102" s="702"/>
      <c r="L102" s="702"/>
      <c r="M102" s="702"/>
      <c r="N102" s="702"/>
      <c r="O102" s="702"/>
    </row>
    <row r="103" spans="1:15" ht="12" customHeight="1" x14ac:dyDescent="0.2">
      <c r="A103" s="702"/>
      <c r="B103" s="3025"/>
      <c r="C103" s="1325"/>
      <c r="D103" s="657"/>
      <c r="E103" s="657"/>
      <c r="F103" s="657"/>
      <c r="G103" s="657"/>
      <c r="H103" s="702"/>
      <c r="I103" s="702"/>
      <c r="J103" s="702"/>
      <c r="K103" s="702"/>
      <c r="L103" s="702"/>
      <c r="M103" s="702"/>
      <c r="N103" s="702"/>
      <c r="O103" s="702"/>
    </row>
    <row r="104" spans="1:15" ht="12" customHeight="1" x14ac:dyDescent="0.2">
      <c r="A104" s="702"/>
      <c r="B104" s="3025"/>
      <c r="C104" s="641"/>
      <c r="D104" s="657"/>
      <c r="E104" s="1270"/>
      <c r="F104" s="657"/>
      <c r="G104" s="657"/>
      <c r="H104" s="702"/>
      <c r="I104" s="702"/>
      <c r="J104" s="702"/>
      <c r="K104" s="702"/>
      <c r="L104" s="702"/>
      <c r="M104" s="702"/>
      <c r="N104" s="702"/>
      <c r="O104" s="702"/>
    </row>
    <row r="105" spans="1:15" ht="12" customHeight="1" x14ac:dyDescent="0.2">
      <c r="A105" s="702"/>
      <c r="B105" s="3025"/>
      <c r="C105" s="1325"/>
      <c r="D105" s="657"/>
      <c r="E105" s="1332"/>
      <c r="F105" s="657"/>
      <c r="G105" s="657"/>
      <c r="H105" s="702"/>
      <c r="I105" s="702"/>
      <c r="J105" s="702"/>
      <c r="K105" s="702"/>
      <c r="L105" s="702"/>
      <c r="M105" s="702"/>
      <c r="N105" s="702"/>
      <c r="O105" s="702"/>
    </row>
    <row r="106" spans="1:15" ht="12" customHeight="1" x14ac:dyDescent="0.2">
      <c r="A106" s="702"/>
      <c r="B106" s="3025"/>
      <c r="C106" s="641"/>
      <c r="D106" s="657"/>
      <c r="E106" s="1333"/>
      <c r="F106" s="657"/>
      <c r="G106" s="657"/>
      <c r="H106" s="702"/>
      <c r="I106" s="702"/>
      <c r="J106" s="702"/>
      <c r="K106" s="702"/>
      <c r="L106" s="702"/>
      <c r="M106" s="702"/>
      <c r="N106" s="702"/>
      <c r="O106" s="702"/>
    </row>
    <row r="107" spans="1:15" ht="12" customHeight="1" x14ac:dyDescent="0.2">
      <c r="A107" s="702"/>
      <c r="B107" s="3025"/>
      <c r="C107" s="1325"/>
      <c r="D107" s="657"/>
      <c r="E107" s="657"/>
      <c r="F107" s="657"/>
      <c r="G107" s="657"/>
      <c r="H107" s="702"/>
      <c r="I107" s="702"/>
      <c r="J107" s="702"/>
      <c r="K107" s="702"/>
      <c r="L107" s="702"/>
      <c r="M107" s="702"/>
      <c r="N107" s="702"/>
      <c r="O107" s="702"/>
    </row>
    <row r="108" spans="1:15" ht="12" customHeight="1" x14ac:dyDescent="0.2">
      <c r="A108" s="702"/>
      <c r="B108" s="3025"/>
      <c r="C108" s="641"/>
      <c r="D108" s="657"/>
      <c r="E108" s="657"/>
      <c r="F108" s="657"/>
      <c r="G108" s="657"/>
      <c r="H108" s="702"/>
      <c r="I108" s="702"/>
      <c r="J108" s="702"/>
      <c r="K108" s="702"/>
      <c r="L108" s="702"/>
      <c r="M108" s="702"/>
      <c r="N108" s="702"/>
      <c r="O108" s="702"/>
    </row>
    <row r="109" spans="1:15" ht="12" customHeight="1" x14ac:dyDescent="0.2">
      <c r="A109" s="702"/>
      <c r="B109" s="3025"/>
      <c r="C109" s="1325"/>
      <c r="D109" s="657"/>
      <c r="E109" s="1256"/>
      <c r="F109" s="657"/>
      <c r="G109" s="657"/>
      <c r="H109" s="702"/>
      <c r="I109" s="702"/>
      <c r="J109" s="702"/>
      <c r="K109" s="702"/>
      <c r="L109" s="702"/>
      <c r="M109" s="702"/>
      <c r="N109" s="702"/>
      <c r="O109" s="702"/>
    </row>
    <row r="110" spans="1:15" ht="12" customHeight="1" x14ac:dyDescent="0.2">
      <c r="A110" s="702"/>
      <c r="B110" s="3025"/>
      <c r="C110" s="641"/>
      <c r="D110" s="657"/>
      <c r="E110" s="1256"/>
      <c r="F110" s="657"/>
      <c r="G110" s="657"/>
      <c r="H110" s="702"/>
      <c r="I110" s="702"/>
      <c r="J110" s="702"/>
      <c r="K110" s="702"/>
      <c r="L110" s="702"/>
      <c r="M110" s="702"/>
      <c r="N110" s="702"/>
      <c r="O110" s="702"/>
    </row>
    <row r="111" spans="1:15" ht="12" customHeight="1" x14ac:dyDescent="0.2">
      <c r="A111" s="702"/>
      <c r="B111" s="3025"/>
      <c r="C111" s="641"/>
      <c r="D111" s="657"/>
      <c r="E111" s="1256"/>
      <c r="F111" s="657"/>
      <c r="G111" s="657"/>
      <c r="H111" s="702"/>
      <c r="I111" s="702"/>
      <c r="J111" s="702"/>
      <c r="K111" s="702"/>
      <c r="L111" s="702"/>
      <c r="M111" s="702"/>
      <c r="N111" s="702"/>
      <c r="O111" s="702"/>
    </row>
    <row r="112" spans="1:15" ht="12" customHeight="1" x14ac:dyDescent="0.2">
      <c r="A112" s="702"/>
      <c r="B112" s="3025"/>
      <c r="C112" s="641"/>
      <c r="D112" s="657"/>
      <c r="E112" s="1256"/>
      <c r="F112" s="657"/>
      <c r="G112" s="657"/>
      <c r="H112" s="1334"/>
      <c r="I112" s="702"/>
      <c r="J112" s="702"/>
      <c r="K112" s="702"/>
      <c r="L112" s="702"/>
      <c r="M112" s="702"/>
      <c r="N112" s="702"/>
      <c r="O112" s="702"/>
    </row>
    <row r="113" spans="1:36" ht="12" customHeight="1" x14ac:dyDescent="0.2">
      <c r="A113" s="702"/>
      <c r="B113" s="3025"/>
      <c r="C113" s="641"/>
      <c r="D113" s="657"/>
      <c r="E113" s="1256"/>
      <c r="F113" s="657"/>
      <c r="G113" s="657"/>
      <c r="H113" s="1269"/>
      <c r="I113" s="702"/>
      <c r="J113" s="702"/>
      <c r="K113" s="702"/>
      <c r="L113" s="702"/>
      <c r="M113" s="702"/>
      <c r="N113" s="702"/>
      <c r="O113" s="702"/>
    </row>
    <row r="114" spans="1:36" ht="12" customHeight="1" x14ac:dyDescent="0.2">
      <c r="A114" s="702"/>
      <c r="B114" s="3025"/>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5"/>
      <c r="C115" s="1325"/>
      <c r="D115" s="657"/>
      <c r="E115" s="1256"/>
      <c r="F115" s="657"/>
      <c r="G115" s="657"/>
      <c r="H115" s="1269"/>
      <c r="I115" s="702"/>
      <c r="J115" s="702"/>
      <c r="K115" s="702"/>
      <c r="L115" s="702"/>
      <c r="M115" s="702"/>
      <c r="N115" s="702"/>
      <c r="O115" s="702"/>
    </row>
    <row r="116" spans="1:36" ht="12" customHeight="1" x14ac:dyDescent="0.2">
      <c r="A116" s="702"/>
      <c r="B116" s="3025"/>
      <c r="C116" s="641"/>
      <c r="D116" s="657"/>
      <c r="E116" s="1256"/>
      <c r="F116" s="657"/>
      <c r="G116" s="657"/>
      <c r="H116" s="1269"/>
      <c r="I116" s="702"/>
      <c r="J116" s="702"/>
      <c r="K116" s="702"/>
      <c r="L116" s="702"/>
      <c r="M116" s="702"/>
      <c r="N116" s="702"/>
      <c r="O116" s="702"/>
    </row>
    <row r="117" spans="1:36" ht="12" customHeight="1" x14ac:dyDescent="0.2">
      <c r="A117" s="702"/>
      <c r="B117" s="3025"/>
      <c r="C117" s="1325"/>
      <c r="D117" s="657"/>
      <c r="E117" s="1256"/>
      <c r="F117" s="657"/>
      <c r="G117" s="657"/>
      <c r="H117" s="1335"/>
      <c r="I117" s="702"/>
      <c r="J117" s="702"/>
      <c r="K117" s="702"/>
      <c r="L117" s="702"/>
      <c r="M117" s="702"/>
      <c r="N117" s="702"/>
      <c r="O117" s="702"/>
    </row>
    <row r="118" spans="1:36" ht="12" customHeight="1" x14ac:dyDescent="0.2">
      <c r="A118" s="702"/>
      <c r="B118" s="3025"/>
      <c r="C118" s="641"/>
      <c r="D118" s="657"/>
      <c r="E118" s="1256"/>
      <c r="F118" s="657"/>
      <c r="G118" s="657"/>
      <c r="H118" s="657"/>
      <c r="I118" s="702"/>
      <c r="J118" s="702"/>
      <c r="K118" s="702"/>
      <c r="L118" s="702"/>
      <c r="M118" s="702"/>
      <c r="N118" s="702"/>
      <c r="O118" s="702"/>
    </row>
    <row r="119" spans="1:36" ht="12" customHeight="1" x14ac:dyDescent="0.2">
      <c r="A119" s="702"/>
      <c r="B119" s="3025"/>
      <c r="C119" s="1325"/>
      <c r="D119" s="702"/>
      <c r="E119" s="1252"/>
      <c r="F119" s="702"/>
      <c r="G119" s="702"/>
      <c r="H119" s="702"/>
      <c r="I119" s="702"/>
      <c r="J119" s="702"/>
      <c r="K119" s="702"/>
      <c r="L119" s="702"/>
      <c r="M119" s="702"/>
      <c r="N119" s="702"/>
      <c r="O119" s="702"/>
    </row>
    <row r="120" spans="1:36" ht="12" customHeight="1" x14ac:dyDescent="0.2">
      <c r="A120" s="702"/>
      <c r="B120" s="3025"/>
      <c r="C120" s="641"/>
      <c r="D120" s="702"/>
      <c r="E120" s="1252"/>
      <c r="F120" s="702"/>
      <c r="G120" s="702"/>
      <c r="H120" s="702"/>
      <c r="I120" s="702"/>
      <c r="J120" s="702"/>
      <c r="K120" s="702"/>
      <c r="L120" s="702"/>
      <c r="M120" s="702"/>
      <c r="N120" s="702"/>
      <c r="O120" s="702"/>
    </row>
    <row r="121" spans="1:36" ht="12" customHeight="1" x14ac:dyDescent="0.2">
      <c r="A121" s="702"/>
      <c r="B121" s="3025"/>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71" priority="94" stopIfTrue="1">
      <formula>H28=0</formula>
    </cfRule>
  </conditionalFormatting>
  <conditionalFormatting sqref="Y11:Y20">
    <cfRule type="expression" dxfId="470" priority="93" stopIfTrue="1">
      <formula>X11=0</formula>
    </cfRule>
  </conditionalFormatting>
  <conditionalFormatting sqref="C56:G56">
    <cfRule type="expression" dxfId="469" priority="91" stopIfTrue="1">
      <formula>AND(NOT($H$43="-"),$H$56="-")</formula>
    </cfRule>
    <cfRule type="expression" dxfId="468" priority="92" stopIfTrue="1">
      <formula>$H$56="-"</formula>
    </cfRule>
  </conditionalFormatting>
  <conditionalFormatting sqref="D57:G57">
    <cfRule type="expression" dxfId="467" priority="90" stopIfTrue="1">
      <formula>AND(NOT($H$56="-"),$H$57="-")</formula>
    </cfRule>
  </conditionalFormatting>
  <conditionalFormatting sqref="D58:G58">
    <cfRule type="expression" dxfId="466" priority="88" stopIfTrue="1">
      <formula>AND(NOT($H$56="-"),$H$58="-")</formula>
    </cfRule>
    <cfRule type="expression" dxfId="465" priority="89" stopIfTrue="1">
      <formula>$H$58="-"</formula>
    </cfRule>
  </conditionalFormatting>
  <conditionalFormatting sqref="H28:I28">
    <cfRule type="expression" dxfId="464" priority="87" stopIfTrue="1">
      <formula>$G$28=0</formula>
    </cfRule>
  </conditionalFormatting>
  <conditionalFormatting sqref="K12:O12">
    <cfRule type="expression" dxfId="463" priority="86" stopIfTrue="1">
      <formula>AND(NOT($P$10="-"),$P$12="-")</formula>
    </cfRule>
  </conditionalFormatting>
  <conditionalFormatting sqref="L13:O13">
    <cfRule type="expression" dxfId="462" priority="84" stopIfTrue="1">
      <formula>AND(NOT($P$12="-"),$P$13="-")</formula>
    </cfRule>
    <cfRule type="expression" dxfId="461" priority="85" stopIfTrue="1">
      <formula>$P$13="-"</formula>
    </cfRule>
  </conditionalFormatting>
  <conditionalFormatting sqref="M14:O14">
    <cfRule type="expression" dxfId="460" priority="83" stopIfTrue="1">
      <formula>AND(NOT($P$13="-"),$P$14="-")</formula>
    </cfRule>
  </conditionalFormatting>
  <conditionalFormatting sqref="L15:O15">
    <cfRule type="expression" dxfId="459" priority="82" stopIfTrue="1">
      <formula>AND(NOT($P$12="-"),$P$15="-")</formula>
    </cfRule>
  </conditionalFormatting>
  <conditionalFormatting sqref="L16:O16">
    <cfRule type="expression" dxfId="458" priority="80" stopIfTrue="1">
      <formula>AND(NOT($P$12="-"),$P$16="-")</formula>
    </cfRule>
    <cfRule type="expression" dxfId="457" priority="81" stopIfTrue="1">
      <formula>$P$16="-"</formula>
    </cfRule>
  </conditionalFormatting>
  <conditionalFormatting sqref="M17:O17">
    <cfRule type="expression" dxfId="456" priority="79" stopIfTrue="1">
      <formula>AND(NOT($P$16="-"),$P$17="-")</formula>
    </cfRule>
  </conditionalFormatting>
  <conditionalFormatting sqref="N18:O18">
    <cfRule type="expression" dxfId="455" priority="78" stopIfTrue="1">
      <formula>AND(NOT($P$17="-"),$P$18="-")</formula>
    </cfRule>
  </conditionalFormatting>
  <conditionalFormatting sqref="M19:O19">
    <cfRule type="expression" dxfId="454" priority="77" stopIfTrue="1">
      <formula>AND(NOT($P$16="-"),$P$19="-")</formula>
    </cfRule>
  </conditionalFormatting>
  <conditionalFormatting sqref="N20:O20">
    <cfRule type="expression" dxfId="453" priority="76" stopIfTrue="1">
      <formula>AND(NOT($P$19="-"),$P$20="-")</formula>
    </cfRule>
  </conditionalFormatting>
  <conditionalFormatting sqref="N21:O21">
    <cfRule type="expression" dxfId="452" priority="75" stopIfTrue="1">
      <formula>AND(NOT($P$20="-"),$P$21="-")</formula>
    </cfRule>
  </conditionalFormatting>
  <conditionalFormatting sqref="N22:O22">
    <cfRule type="expression" dxfId="451" priority="74" stopIfTrue="1">
      <formula>AND(NOT($P$19="-"),$P$22="-")</formula>
    </cfRule>
  </conditionalFormatting>
  <conditionalFormatting sqref="N23:O23">
    <cfRule type="expression" dxfId="450" priority="73" stopIfTrue="1">
      <formula>AND(NOT($P$22="-"),$P$23="-")</formula>
    </cfRule>
  </conditionalFormatting>
  <conditionalFormatting sqref="M24:O24">
    <cfRule type="expression" dxfId="449" priority="72" stopIfTrue="1">
      <formula>AND(NOT($P$16="-"),$P$24="-")</formula>
    </cfRule>
  </conditionalFormatting>
  <conditionalFormatting sqref="L25:O25">
    <cfRule type="expression" dxfId="448" priority="71" stopIfTrue="1">
      <formula>AND(NOT($P$12="-"),$P$25="-")</formula>
    </cfRule>
  </conditionalFormatting>
  <conditionalFormatting sqref="L26:O26">
    <cfRule type="expression" dxfId="447" priority="70" stopIfTrue="1">
      <formula>AND(NOT($P$12="-"),$P$26="-")</formula>
    </cfRule>
  </conditionalFormatting>
  <conditionalFormatting sqref="K27:O27">
    <cfRule type="expression" dxfId="446" priority="69" stopIfTrue="1">
      <formula>AND(NOT($P$10="-"),$P$27="-")</formula>
    </cfRule>
  </conditionalFormatting>
  <conditionalFormatting sqref="L28:O28">
    <cfRule type="expression" dxfId="445" priority="68" stopIfTrue="1">
      <formula>AND(NOT($P$27="-"),$P$28="-")</formula>
    </cfRule>
  </conditionalFormatting>
  <conditionalFormatting sqref="M29:O29">
    <cfRule type="expression" dxfId="444" priority="67" stopIfTrue="1">
      <formula>AND(NOT($P$28="-"),$P$29="-")</formula>
    </cfRule>
  </conditionalFormatting>
  <conditionalFormatting sqref="M30:O30">
    <cfRule type="expression" dxfId="443" priority="66" stopIfTrue="1">
      <formula>AND(NOT($P$28="-"),$P$30="-")</formula>
    </cfRule>
  </conditionalFormatting>
  <conditionalFormatting sqref="M31:O31">
    <cfRule type="expression" dxfId="442" priority="65" stopIfTrue="1">
      <formula>AND(NOT($P$28="-"),$P$31="-")</formula>
    </cfRule>
  </conditionalFormatting>
  <conditionalFormatting sqref="K32:O32">
    <cfRule type="expression" dxfId="441" priority="64" stopIfTrue="1">
      <formula>AND(NOT($P$10="-"),$P$32="-")</formula>
    </cfRule>
  </conditionalFormatting>
  <conditionalFormatting sqref="L33:O33">
    <cfRule type="expression" dxfId="440" priority="62" stopIfTrue="1">
      <formula>AND(NOT($P$32="-"),$P$33="-")</formula>
    </cfRule>
    <cfRule type="expression" dxfId="439" priority="63" stopIfTrue="1">
      <formula>$P$33="-"</formula>
    </cfRule>
  </conditionalFormatting>
  <conditionalFormatting sqref="M37:O37">
    <cfRule type="expression" dxfId="438" priority="61" stopIfTrue="1">
      <formula>AND(NOT($P$36="-"),$P$37="-")</formula>
    </cfRule>
  </conditionalFormatting>
  <conditionalFormatting sqref="M38:O38">
    <cfRule type="expression" dxfId="437" priority="59" stopIfTrue="1">
      <formula>AND(NOT($P$36="-"),$P$38="-")</formula>
    </cfRule>
    <cfRule type="expression" dxfId="436" priority="60" stopIfTrue="1">
      <formula>$P$38="-"</formula>
    </cfRule>
  </conditionalFormatting>
  <conditionalFormatting sqref="M40:O40">
    <cfRule type="expression" dxfId="435" priority="57" stopIfTrue="1">
      <formula>AND(NOT($P$36="-"),$P$40="-")</formula>
    </cfRule>
    <cfRule type="expression" dxfId="434" priority="58" stopIfTrue="1">
      <formula>$P$40="-"</formula>
    </cfRule>
  </conditionalFormatting>
  <conditionalFormatting sqref="L41:O41">
    <cfRule type="expression" dxfId="433" priority="56" stopIfTrue="1">
      <formula>AND(NOT($P$32="-"),$P$41="-")</formula>
    </cfRule>
  </conditionalFormatting>
  <conditionalFormatting sqref="L42:O42">
    <cfRule type="expression" dxfId="432" priority="55" stopIfTrue="1">
      <formula>AND(NOT($P$32="-"),$P$42="-")</formula>
    </cfRule>
  </conditionalFormatting>
  <conditionalFormatting sqref="L43:O43">
    <cfRule type="expression" dxfId="431" priority="54" stopIfTrue="1">
      <formula>AND(NOT($P$32="-"),$P$43="-")</formula>
    </cfRule>
  </conditionalFormatting>
  <conditionalFormatting sqref="K44:O44">
    <cfRule type="expression" dxfId="430" priority="53" stopIfTrue="1">
      <formula>AND(NOT($P$10="-"),$P$44="-")</formula>
    </cfRule>
  </conditionalFormatting>
  <conditionalFormatting sqref="L45:O45">
    <cfRule type="expression" dxfId="429" priority="52" stopIfTrue="1">
      <formula>AND(NOT($P$44="-"),$P$45="-")</formula>
    </cfRule>
  </conditionalFormatting>
  <conditionalFormatting sqref="M46:O46">
    <cfRule type="expression" dxfId="428" priority="51" stopIfTrue="1">
      <formula>AND(NOT($P$45="-"),$P$46="-")</formula>
    </cfRule>
  </conditionalFormatting>
  <conditionalFormatting sqref="M47:O47">
    <cfRule type="expression" dxfId="427" priority="50" stopIfTrue="1">
      <formula>AND(NOT($P$45="-"),$P$47="-")</formula>
    </cfRule>
  </conditionalFormatting>
  <conditionalFormatting sqref="L48:O48">
    <cfRule type="expression" dxfId="426" priority="49" stopIfTrue="1">
      <formula>AND(NOT($P$44="-"),$P$48="-")</formula>
    </cfRule>
  </conditionalFormatting>
  <conditionalFormatting sqref="K49:O49">
    <cfRule type="expression" dxfId="425" priority="48" stopIfTrue="1">
      <formula>AND(NOT($P$10="-"),$P$49="-")</formula>
    </cfRule>
  </conditionalFormatting>
  <conditionalFormatting sqref="L50:O50">
    <cfRule type="expression" dxfId="424" priority="46" stopIfTrue="1">
      <formula>AND(NOT($P$49="-"),$P$50="-")</formula>
    </cfRule>
    <cfRule type="expression" dxfId="423" priority="47" stopIfTrue="1">
      <formula>$P$50="-"</formula>
    </cfRule>
  </conditionalFormatting>
  <conditionalFormatting sqref="M51:O51">
    <cfRule type="expression" dxfId="422" priority="45" stopIfTrue="1">
      <formula>AND(NOT($P$50="-"),$P$51="-")</formula>
    </cfRule>
  </conditionalFormatting>
  <conditionalFormatting sqref="M52:O52">
    <cfRule type="expression" dxfId="421" priority="44" stopIfTrue="1">
      <formula>AND(NOT($P$50="-"),$P$52="-")</formula>
    </cfRule>
  </conditionalFormatting>
  <conditionalFormatting sqref="L53:O53">
    <cfRule type="expression" dxfId="420" priority="43" stopIfTrue="1">
      <formula>AND(NOT($P$49="-"),$P$53="-")</formula>
    </cfRule>
  </conditionalFormatting>
  <conditionalFormatting sqref="M54:O54">
    <cfRule type="expression" dxfId="419" priority="42" stopIfTrue="1">
      <formula>AND(NOT($P$53="-"),$P$54="-")</formula>
    </cfRule>
  </conditionalFormatting>
  <conditionalFormatting sqref="M55:O55">
    <cfRule type="expression" dxfId="418" priority="41" stopIfTrue="1">
      <formula>AND(NOT($P$53="-"),$P$55="-")</formula>
    </cfRule>
  </conditionalFormatting>
  <conditionalFormatting sqref="M56:O56">
    <cfRule type="expression" dxfId="417" priority="40" stopIfTrue="1">
      <formula>AND(NOT($P$53="-"),$P$56="-")</formula>
    </cfRule>
  </conditionalFormatting>
  <conditionalFormatting sqref="L57:O57">
    <cfRule type="expression" dxfId="416" priority="38" stopIfTrue="1">
      <formula>AND(NOT($P$49="-"),$P$57="-")</formula>
    </cfRule>
    <cfRule type="expression" dxfId="415" priority="39" stopIfTrue="1">
      <formula>$P$57="-"</formula>
    </cfRule>
  </conditionalFormatting>
  <conditionalFormatting sqref="M58:O58">
    <cfRule type="expression" dxfId="414" priority="37" stopIfTrue="1">
      <formula>AND(NOT($P$57="-"),$P$58="-")</formula>
    </cfRule>
  </conditionalFormatting>
  <conditionalFormatting sqref="M59:O59">
    <cfRule type="expression" dxfId="413" priority="36" stopIfTrue="1">
      <formula>AND(NOT($P$57="-"),$P$59="-")</formula>
    </cfRule>
  </conditionalFormatting>
  <conditionalFormatting sqref="L60:O60">
    <cfRule type="expression" dxfId="412" priority="35" stopIfTrue="1">
      <formula>AND(NOT($P$49="-"),$P$60="-")</formula>
    </cfRule>
  </conditionalFormatting>
  <conditionalFormatting sqref="M61:O61">
    <cfRule type="expression" dxfId="411" priority="34" stopIfTrue="1">
      <formula>AND(NOT($P$60="-"),$P$61="-")</formula>
    </cfRule>
  </conditionalFormatting>
  <conditionalFormatting sqref="K62:O62">
    <cfRule type="expression" dxfId="410" priority="33" stopIfTrue="1">
      <formula>AND(NOT($P$10="-"),$P$62="-")</formula>
    </cfRule>
  </conditionalFormatting>
  <conditionalFormatting sqref="C45:G45">
    <cfRule type="expression" dxfId="409" priority="32" stopIfTrue="1">
      <formula>AND(NOT($H$43="-"),$H$45="-")</formula>
    </cfRule>
  </conditionalFormatting>
  <conditionalFormatting sqref="D46:G46">
    <cfRule type="expression" dxfId="408" priority="31" stopIfTrue="1">
      <formula>AND(NOT($H$45="-"),$H$46="-")</formula>
    </cfRule>
  </conditionalFormatting>
  <conditionalFormatting sqref="C47:G47">
    <cfRule type="expression" dxfId="407" priority="30" stopIfTrue="1">
      <formula>AND(NOT($H$43="-"),$H$47="-")</formula>
    </cfRule>
  </conditionalFormatting>
  <conditionalFormatting sqref="D48:G48">
    <cfRule type="expression" dxfId="406" priority="29" stopIfTrue="1">
      <formula>AND(NOT($H$47="-"),$H$48="-")</formula>
    </cfRule>
  </conditionalFormatting>
  <conditionalFormatting sqref="C49:G49">
    <cfRule type="expression" dxfId="405" priority="28" stopIfTrue="1">
      <formula>AND(NOT($H$43="-"),$H$49="-")</formula>
    </cfRule>
  </conditionalFormatting>
  <conditionalFormatting sqref="D50:G50">
    <cfRule type="expression" dxfId="404" priority="27" stopIfTrue="1">
      <formula>AND(NOT($H$49="-"),$H$50="-")</formula>
    </cfRule>
  </conditionalFormatting>
  <conditionalFormatting sqref="C51:G51">
    <cfRule type="expression" dxfId="403" priority="26" stopIfTrue="1">
      <formula>AND(NOT($H$43="-"),$H$51="-")</formula>
    </cfRule>
  </conditionalFormatting>
  <conditionalFormatting sqref="D52:G52">
    <cfRule type="expression" dxfId="402" priority="25" stopIfTrue="1">
      <formula>AND(NOT($H$51="-"),$H$52="-")</formula>
    </cfRule>
  </conditionalFormatting>
  <conditionalFormatting sqref="C53:G53">
    <cfRule type="expression" dxfId="401" priority="24" stopIfTrue="1">
      <formula>AND(NOT($H$43="-"),$H$53="-")</formula>
    </cfRule>
  </conditionalFormatting>
  <conditionalFormatting sqref="C54:G54">
    <cfRule type="expression" dxfId="400" priority="23" stopIfTrue="1">
      <formula>AND(NOT($H$43="-"),$H$54="-")</formula>
    </cfRule>
  </conditionalFormatting>
  <conditionalFormatting sqref="D59:G59">
    <cfRule type="expression" dxfId="399" priority="22" stopIfTrue="1">
      <formula>AND(NOT($H$56="-"),$H$59="-")</formula>
    </cfRule>
  </conditionalFormatting>
  <conditionalFormatting sqref="E60:G60">
    <cfRule type="expression" dxfId="398" priority="21" stopIfTrue="1">
      <formula>AND(NOT($H$59="-"),$H$60="-")</formula>
    </cfRule>
  </conditionalFormatting>
  <conditionalFormatting sqref="I39">
    <cfRule type="cellIs" dxfId="397" priority="20" stopIfTrue="1" operator="lessThan">
      <formula>0</formula>
    </cfRule>
  </conditionalFormatting>
  <conditionalFormatting sqref="C61:G61">
    <cfRule type="expression" dxfId="396" priority="19" stopIfTrue="1">
      <formula>AND(NOT($H$43="-"),$H$61="-")</formula>
    </cfRule>
  </conditionalFormatting>
  <conditionalFormatting sqref="C62:G62">
    <cfRule type="expression" dxfId="395" priority="18" stopIfTrue="1">
      <formula>AND(NOT($H$43="-"),$H$62="-")</formula>
    </cfRule>
  </conditionalFormatting>
  <conditionalFormatting sqref="E29:F30">
    <cfRule type="cellIs" dxfId="394" priority="17" stopIfTrue="1" operator="greaterThan">
      <formula>$C$29</formula>
    </cfRule>
  </conditionalFormatting>
  <conditionalFormatting sqref="M34:O34">
    <cfRule type="expression" dxfId="393" priority="16" stopIfTrue="1">
      <formula>AND(NOT($P$33="-"),$P$34="-")</formula>
    </cfRule>
  </conditionalFormatting>
  <conditionalFormatting sqref="N35:O35">
    <cfRule type="expression" dxfId="392" priority="14" stopIfTrue="1">
      <formula>AND(NOT($P$34="-"),$P$35="-")</formula>
    </cfRule>
    <cfRule type="expression" dxfId="391" priority="15" stopIfTrue="1">
      <formula>$P$35="-"</formula>
    </cfRule>
  </conditionalFormatting>
  <conditionalFormatting sqref="L36:O36">
    <cfRule type="expression" dxfId="390" priority="12" stopIfTrue="1">
      <formula>AND(NOT($P$32="-"),$P$36="-")</formula>
    </cfRule>
    <cfRule type="expression" dxfId="389" priority="13" stopIfTrue="1">
      <formula>AND($P$36="-",$M$39="Alcance incrementado")</formula>
    </cfRule>
  </conditionalFormatting>
  <conditionalFormatting sqref="M39:O39">
    <cfRule type="expression" dxfId="388" priority="10" stopIfTrue="1">
      <formula>AND(NOT($P$36="-"),$P$39="-")</formula>
    </cfRule>
    <cfRule type="expression" dxfId="387" priority="11" stopIfTrue="1">
      <formula>AND($P$39="-",$M$39="Aura incrementada")</formula>
    </cfRule>
  </conditionalFormatting>
  <conditionalFormatting sqref="D55:G55">
    <cfRule type="expression" dxfId="386" priority="9" stopIfTrue="1">
      <formula>AND(NOT($H$54="-"),$H$55="-")</formula>
    </cfRule>
  </conditionalFormatting>
  <conditionalFormatting sqref="K63:O63">
    <cfRule type="expression" dxfId="385" priority="4812" stopIfTrue="1">
      <formula>AND(NOT($P$10="-"),$P$63="-",NOT($B$63=1))</formula>
    </cfRule>
    <cfRule type="expression" dxfId="384" priority="4813" stopIfTrue="1">
      <formula>$P$63="-"</formula>
    </cfRule>
  </conditionalFormatting>
  <conditionalFormatting sqref="L64:O64">
    <cfRule type="expression" dxfId="383" priority="4814" stopIfTrue="1">
      <formula>AND(NOT($P$63="-"),$P$64="-",NOT($B$64=1))</formula>
    </cfRule>
    <cfRule type="expression" dxfId="382" priority="4815" stopIfTrue="1">
      <formula>$P$64="-"</formula>
    </cfRule>
  </conditionalFormatting>
  <conditionalFormatting sqref="C63:G63">
    <cfRule type="expression" dxfId="381" priority="4816" stopIfTrue="1">
      <formula>AND(NOT($H$43="-"),$H$63="-",NOT($B$63=1))</formula>
    </cfRule>
    <cfRule type="expression" dxfId="380" priority="4817" stopIfTrue="1">
      <formula>$H$63="-"</formula>
    </cfRule>
  </conditionalFormatting>
  <conditionalFormatting sqref="D64:G64">
    <cfRule type="expression" dxfId="379" priority="4818" stopIfTrue="1">
      <formula>AND(NOT($H$63="-"),$H$64="-",NOT($B$64=1))</formula>
    </cfRule>
    <cfRule type="expression" dxfId="378"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702" t="s">
        <v>4665</v>
      </c>
      <c r="G3" s="4702"/>
      <c r="H3" s="4702"/>
      <c r="I3" s="4702"/>
      <c r="J3" s="4702"/>
      <c r="K3" s="4702"/>
      <c r="L3" s="4702"/>
      <c r="M3" s="4702"/>
      <c r="N3" s="4702"/>
      <c r="O3" s="4702"/>
      <c r="P3" s="4702"/>
      <c r="Q3" s="4702"/>
      <c r="R3" s="4702"/>
      <c r="S3" s="4702"/>
      <c r="T3" s="4702"/>
      <c r="U3" s="4702"/>
      <c r="V3" s="4702"/>
      <c r="W3" s="4702"/>
      <c r="X3" s="4702"/>
      <c r="Y3" s="4702"/>
      <c r="Z3" s="4702"/>
      <c r="AA3" s="4702"/>
      <c r="AB3" s="4702"/>
      <c r="AC3" s="4702"/>
      <c r="AD3" s="4702"/>
      <c r="AE3" s="4702"/>
      <c r="AF3" s="4702"/>
      <c r="AG3" s="4702"/>
      <c r="AH3" s="4702"/>
      <c r="AI3" s="4702"/>
      <c r="AJ3" s="4702"/>
      <c r="AK3" s="4702"/>
      <c r="AL3" s="4702"/>
      <c r="AM3" s="4702"/>
      <c r="AN3" s="4702"/>
      <c r="AO3" s="4702"/>
      <c r="AP3" s="4702"/>
      <c r="AQ3" s="4702"/>
      <c r="AR3" s="4702"/>
      <c r="AS3" s="4702"/>
      <c r="AT3" s="4702"/>
      <c r="AU3" s="4702"/>
      <c r="AV3" s="4702"/>
      <c r="AW3" s="4702"/>
      <c r="AX3" s="4702"/>
      <c r="AY3" s="4702"/>
      <c r="AZ3" s="4702"/>
      <c r="BA3" s="4702"/>
      <c r="BB3" s="4702"/>
      <c r="BC3" s="4702"/>
      <c r="BD3" s="4702"/>
      <c r="BE3" s="4702"/>
      <c r="BF3" s="4702"/>
      <c r="BG3" s="4702"/>
      <c r="BH3" s="4702"/>
      <c r="BI3" s="4702"/>
      <c r="BJ3" s="4702"/>
      <c r="BK3" s="4702"/>
      <c r="BL3" s="4702"/>
      <c r="BM3" s="4702"/>
      <c r="BN3" s="4702"/>
      <c r="BO3" s="4702"/>
      <c r="BP3" s="4702"/>
      <c r="BQ3" s="4702"/>
      <c r="BR3" s="4702"/>
      <c r="BS3" s="4702"/>
      <c r="BT3" s="4702"/>
      <c r="BU3" s="4703"/>
      <c r="BV3" s="1031"/>
      <c r="BW3" s="1029"/>
      <c r="BX3" s="1029"/>
      <c r="BY3" s="1383"/>
      <c r="BZ3" s="1401"/>
      <c r="CA3" s="1017"/>
      <c r="DR3" s="1017"/>
      <c r="DT3" s="1406"/>
      <c r="DU3" s="4692" t="s">
        <v>9103</v>
      </c>
      <c r="DV3" s="4693"/>
      <c r="DW3" s="4693"/>
      <c r="DX3" s="4694"/>
      <c r="DY3" s="1387"/>
      <c r="DZ3" s="1017"/>
    </row>
    <row r="4" spans="1:132" ht="11.25" customHeight="1" x14ac:dyDescent="0.2">
      <c r="A4" s="1017"/>
      <c r="B4" s="1017"/>
      <c r="C4" s="1406"/>
      <c r="D4" s="1547"/>
      <c r="E4" s="1032"/>
      <c r="F4" s="4704"/>
      <c r="G4" s="4704"/>
      <c r="H4" s="4704"/>
      <c r="I4" s="4704"/>
      <c r="J4" s="4704"/>
      <c r="K4" s="4704"/>
      <c r="L4" s="4704"/>
      <c r="M4" s="4704"/>
      <c r="N4" s="4704"/>
      <c r="O4" s="4704"/>
      <c r="P4" s="4704"/>
      <c r="Q4" s="4704"/>
      <c r="R4" s="4704"/>
      <c r="S4" s="4704"/>
      <c r="T4" s="4704"/>
      <c r="U4" s="4704"/>
      <c r="V4" s="4704"/>
      <c r="W4" s="4704"/>
      <c r="X4" s="4704"/>
      <c r="Y4" s="4704"/>
      <c r="Z4" s="4704"/>
      <c r="AA4" s="4704"/>
      <c r="AB4" s="4704"/>
      <c r="AC4" s="4704"/>
      <c r="AD4" s="4704"/>
      <c r="AE4" s="4704"/>
      <c r="AF4" s="4704"/>
      <c r="AG4" s="4704"/>
      <c r="AH4" s="4704"/>
      <c r="AI4" s="4704"/>
      <c r="AJ4" s="4704"/>
      <c r="AK4" s="4704"/>
      <c r="AL4" s="4704"/>
      <c r="AM4" s="4704"/>
      <c r="AN4" s="4704"/>
      <c r="AO4" s="4704"/>
      <c r="AP4" s="4704"/>
      <c r="AQ4" s="4704"/>
      <c r="AR4" s="4704"/>
      <c r="AS4" s="4704"/>
      <c r="AT4" s="4704"/>
      <c r="AU4" s="4704"/>
      <c r="AV4" s="4704"/>
      <c r="AW4" s="4704"/>
      <c r="AX4" s="4704"/>
      <c r="AY4" s="4704"/>
      <c r="AZ4" s="4704"/>
      <c r="BA4" s="4704"/>
      <c r="BB4" s="4704"/>
      <c r="BC4" s="4704"/>
      <c r="BD4" s="4704"/>
      <c r="BE4" s="4704"/>
      <c r="BF4" s="4704"/>
      <c r="BG4" s="4704"/>
      <c r="BH4" s="4704"/>
      <c r="BI4" s="4704"/>
      <c r="BJ4" s="4704"/>
      <c r="BK4" s="4704"/>
      <c r="BL4" s="4704"/>
      <c r="BM4" s="4704"/>
      <c r="BN4" s="4704"/>
      <c r="BO4" s="4704"/>
      <c r="BP4" s="4704"/>
      <c r="BQ4" s="4704"/>
      <c r="BR4" s="4704"/>
      <c r="BS4" s="4704"/>
      <c r="BT4" s="4704"/>
      <c r="BU4" s="4705"/>
      <c r="BV4" s="1031"/>
      <c r="BW4" s="1029"/>
      <c r="BX4" s="1029"/>
      <c r="BY4" s="1383"/>
      <c r="BZ4" s="1401"/>
      <c r="CA4" s="1017"/>
      <c r="DR4" s="1017"/>
      <c r="DT4" s="1406"/>
      <c r="DU4" s="4695"/>
      <c r="DV4" s="4696"/>
      <c r="DW4" s="4696"/>
      <c r="DX4" s="4697"/>
      <c r="DY4" s="1387"/>
      <c r="DZ4" s="1017"/>
    </row>
    <row r="5" spans="1:132" ht="11.25" customHeight="1" x14ac:dyDescent="0.2">
      <c r="A5" s="1017"/>
      <c r="B5" s="1017"/>
      <c r="C5" s="1406"/>
      <c r="D5" s="1547"/>
      <c r="E5" s="1032"/>
      <c r="F5" s="4704"/>
      <c r="G5" s="4704"/>
      <c r="H5" s="4704"/>
      <c r="I5" s="4704"/>
      <c r="J5" s="4704"/>
      <c r="K5" s="4704"/>
      <c r="L5" s="4704"/>
      <c r="M5" s="4704"/>
      <c r="N5" s="4704"/>
      <c r="O5" s="4704"/>
      <c r="P5" s="4704"/>
      <c r="Q5" s="4704"/>
      <c r="R5" s="4704"/>
      <c r="S5" s="4704"/>
      <c r="T5" s="4704"/>
      <c r="U5" s="4704"/>
      <c r="V5" s="4704"/>
      <c r="W5" s="4704"/>
      <c r="X5" s="4704"/>
      <c r="Y5" s="4704"/>
      <c r="Z5" s="4704"/>
      <c r="AA5" s="4704"/>
      <c r="AB5" s="4704"/>
      <c r="AC5" s="4704"/>
      <c r="AD5" s="4704"/>
      <c r="AE5" s="4704"/>
      <c r="AF5" s="4704"/>
      <c r="AG5" s="4704"/>
      <c r="AH5" s="4704"/>
      <c r="AI5" s="4704"/>
      <c r="AJ5" s="4704"/>
      <c r="AK5" s="4704"/>
      <c r="AL5" s="4704"/>
      <c r="AM5" s="4704"/>
      <c r="AN5" s="4704"/>
      <c r="AO5" s="4704"/>
      <c r="AP5" s="4704"/>
      <c r="AQ5" s="4704"/>
      <c r="AR5" s="4704"/>
      <c r="AS5" s="4704"/>
      <c r="AT5" s="4704"/>
      <c r="AU5" s="4704"/>
      <c r="AV5" s="4704"/>
      <c r="AW5" s="4704"/>
      <c r="AX5" s="4704"/>
      <c r="AY5" s="4704"/>
      <c r="AZ5" s="4704"/>
      <c r="BA5" s="4704"/>
      <c r="BB5" s="4704"/>
      <c r="BC5" s="4704"/>
      <c r="BD5" s="4704"/>
      <c r="BE5" s="4704"/>
      <c r="BF5" s="4704"/>
      <c r="BG5" s="4704"/>
      <c r="BH5" s="4704"/>
      <c r="BI5" s="4704"/>
      <c r="BJ5" s="4704"/>
      <c r="BK5" s="4704"/>
      <c r="BL5" s="4704"/>
      <c r="BM5" s="4704"/>
      <c r="BN5" s="4704"/>
      <c r="BO5" s="4704"/>
      <c r="BP5" s="4704"/>
      <c r="BQ5" s="4704"/>
      <c r="BR5" s="4704"/>
      <c r="BS5" s="4704"/>
      <c r="BT5" s="4704"/>
      <c r="BU5" s="4705"/>
      <c r="BV5" s="1031"/>
      <c r="BW5" s="1029"/>
      <c r="BX5" s="1029"/>
      <c r="BY5" s="1383"/>
      <c r="BZ5" s="1401"/>
      <c r="CA5" s="1017"/>
      <c r="DR5" s="1017"/>
      <c r="DT5" s="1421"/>
      <c r="DU5" s="4695"/>
      <c r="DV5" s="4696"/>
      <c r="DW5" s="4696"/>
      <c r="DX5" s="4697"/>
      <c r="DY5" s="1422"/>
      <c r="DZ5" s="1017"/>
    </row>
    <row r="6" spans="1:132" ht="11.25" customHeight="1" thickBot="1" x14ac:dyDescent="0.25">
      <c r="A6" s="1017"/>
      <c r="B6" s="1017"/>
      <c r="C6" s="1406"/>
      <c r="D6" s="1548"/>
      <c r="E6" s="1033"/>
      <c r="F6" s="4706"/>
      <c r="G6" s="4706"/>
      <c r="H6" s="4706"/>
      <c r="I6" s="4706"/>
      <c r="J6" s="4706"/>
      <c r="K6" s="4706"/>
      <c r="L6" s="4706"/>
      <c r="M6" s="4706"/>
      <c r="N6" s="4706"/>
      <c r="O6" s="4706"/>
      <c r="P6" s="4706"/>
      <c r="Q6" s="4706"/>
      <c r="R6" s="4706"/>
      <c r="S6" s="4706"/>
      <c r="T6" s="4706"/>
      <c r="U6" s="4706"/>
      <c r="V6" s="4706"/>
      <c r="W6" s="4706"/>
      <c r="X6" s="4706"/>
      <c r="Y6" s="4706"/>
      <c r="Z6" s="4706"/>
      <c r="AA6" s="4706"/>
      <c r="AB6" s="4706"/>
      <c r="AC6" s="4706"/>
      <c r="AD6" s="4706"/>
      <c r="AE6" s="4706"/>
      <c r="AF6" s="4706"/>
      <c r="AG6" s="4706"/>
      <c r="AH6" s="4706"/>
      <c r="AI6" s="4706"/>
      <c r="AJ6" s="4706"/>
      <c r="AK6" s="4706"/>
      <c r="AL6" s="4706"/>
      <c r="AM6" s="4706"/>
      <c r="AN6" s="4706"/>
      <c r="AO6" s="4706"/>
      <c r="AP6" s="4706"/>
      <c r="AQ6" s="4706"/>
      <c r="AR6" s="4706"/>
      <c r="AS6" s="4706"/>
      <c r="AT6" s="4706"/>
      <c r="AU6" s="4706"/>
      <c r="AV6" s="4706"/>
      <c r="AW6" s="4706"/>
      <c r="AX6" s="4706"/>
      <c r="AY6" s="4706"/>
      <c r="AZ6" s="4706"/>
      <c r="BA6" s="4706"/>
      <c r="BB6" s="4706"/>
      <c r="BC6" s="4706"/>
      <c r="BD6" s="4706"/>
      <c r="BE6" s="4706"/>
      <c r="BF6" s="4706"/>
      <c r="BG6" s="4706"/>
      <c r="BH6" s="4706"/>
      <c r="BI6" s="4706"/>
      <c r="BJ6" s="4706"/>
      <c r="BK6" s="4706"/>
      <c r="BL6" s="4706"/>
      <c r="BM6" s="4706"/>
      <c r="BN6" s="4706"/>
      <c r="BO6" s="4706"/>
      <c r="BP6" s="4706"/>
      <c r="BQ6" s="4706"/>
      <c r="BR6" s="4706"/>
      <c r="BS6" s="4706"/>
      <c r="BT6" s="4706"/>
      <c r="BU6" s="4707"/>
      <c r="BV6" s="1031"/>
      <c r="BW6" s="1029"/>
      <c r="BX6" s="1029"/>
      <c r="BY6" s="1383"/>
      <c r="BZ6" s="1401"/>
      <c r="CA6" s="1017"/>
      <c r="DR6" s="1017"/>
      <c r="DT6" s="1421"/>
      <c r="DU6" s="4698"/>
      <c r="DV6" s="4699"/>
      <c r="DW6" s="4699"/>
      <c r="DX6" s="4700"/>
      <c r="DY6" s="1422"/>
      <c r="DZ6" s="1017"/>
    </row>
    <row r="7" spans="1:132" x14ac:dyDescent="0.2">
      <c r="A7" s="1017"/>
      <c r="B7" s="1017"/>
      <c r="C7" s="1406"/>
      <c r="D7" s="1549" t="s">
        <v>8173</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8541</v>
      </c>
      <c r="F8" s="1041" t="s">
        <v>1792</v>
      </c>
      <c r="G8" s="1042" t="s">
        <v>1793</v>
      </c>
      <c r="H8" s="1042" t="s">
        <v>1815</v>
      </c>
      <c r="I8" s="1043" t="s">
        <v>3467</v>
      </c>
      <c r="J8" s="1044"/>
      <c r="K8" s="1045"/>
      <c r="L8" s="1043" t="s">
        <v>3468</v>
      </c>
      <c r="M8" s="1044"/>
      <c r="N8" s="1045"/>
      <c r="O8" s="1043" t="s">
        <v>3469</v>
      </c>
      <c r="P8" s="1044"/>
      <c r="Q8" s="1045"/>
      <c r="R8" s="1046" t="s">
        <v>4666</v>
      </c>
      <c r="S8" s="1042" t="s">
        <v>3437</v>
      </c>
      <c r="T8" s="1485" t="s">
        <v>1711</v>
      </c>
      <c r="U8" s="1485" t="s">
        <v>1682</v>
      </c>
      <c r="V8" s="1485" t="s">
        <v>3470</v>
      </c>
      <c r="W8" s="4678" t="s">
        <v>3471</v>
      </c>
      <c r="X8" s="4678"/>
      <c r="Y8" s="4678"/>
      <c r="Z8" s="4678"/>
      <c r="AA8" s="4678"/>
      <c r="AB8" s="4678"/>
      <c r="AC8" s="4678"/>
      <c r="AD8" s="4678"/>
      <c r="AE8" s="4678"/>
      <c r="AF8" s="4678"/>
      <c r="AG8" s="4678"/>
      <c r="AH8" s="4678"/>
      <c r="AI8" s="4678"/>
      <c r="AJ8" s="4678"/>
      <c r="AK8" s="4678"/>
      <c r="AL8" s="4678"/>
      <c r="AM8" s="4678"/>
      <c r="AN8" s="4678"/>
      <c r="AO8" s="4678"/>
      <c r="AP8" s="4678"/>
      <c r="AQ8" s="4678"/>
      <c r="AR8" s="4678"/>
      <c r="AS8" s="4678"/>
      <c r="AT8" s="4678"/>
      <c r="AU8" s="4678"/>
      <c r="AV8" s="4678"/>
      <c r="AW8" s="4678"/>
      <c r="AX8" s="4678"/>
      <c r="AY8" s="4678"/>
      <c r="AZ8" s="4678"/>
      <c r="BA8" s="4678"/>
      <c r="BB8" s="4678"/>
      <c r="BC8" s="4678"/>
      <c r="BD8" s="4678"/>
      <c r="BE8" s="4678"/>
      <c r="BF8" s="4678"/>
      <c r="BG8" s="4678"/>
      <c r="BH8" s="4678"/>
      <c r="BI8" s="4678"/>
      <c r="BJ8" s="4678"/>
      <c r="BK8" s="4678" t="s">
        <v>3472</v>
      </c>
      <c r="BL8" s="4678"/>
      <c r="BM8" s="4679"/>
      <c r="BN8" s="1047" t="s">
        <v>4667</v>
      </c>
      <c r="BO8" s="1047" t="s">
        <v>4668</v>
      </c>
      <c r="BP8" s="1047" t="s">
        <v>4669</v>
      </c>
      <c r="BQ8" s="1047" t="s">
        <v>4670</v>
      </c>
      <c r="BR8" s="1047" t="s">
        <v>4671</v>
      </c>
      <c r="BS8" s="1048" t="s">
        <v>4672</v>
      </c>
      <c r="BT8" s="4653" t="s">
        <v>4673</v>
      </c>
      <c r="BU8" s="4654"/>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3448</v>
      </c>
      <c r="DW9" s="1524" t="s">
        <v>3434</v>
      </c>
      <c r="DX9" s="1525" t="s">
        <v>8176</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53" t="s">
        <v>4674</v>
      </c>
      <c r="BU10" s="4654"/>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70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57" t="s">
        <v>4675</v>
      </c>
      <c r="U11" s="4658"/>
      <c r="V11" s="4658"/>
      <c r="W11" s="4658"/>
      <c r="X11" s="4658"/>
      <c r="Y11" s="4658"/>
      <c r="Z11" s="4658"/>
      <c r="AA11" s="4658"/>
      <c r="AB11" s="4658"/>
      <c r="AC11" s="4658"/>
      <c r="AD11" s="4658"/>
      <c r="AE11" s="4658"/>
      <c r="AF11" s="4658"/>
      <c r="AG11" s="4658"/>
      <c r="AH11" s="4658"/>
      <c r="AI11" s="4658"/>
      <c r="AJ11" s="4658"/>
      <c r="AK11" s="4658"/>
      <c r="AL11" s="4658"/>
      <c r="AM11" s="4658"/>
      <c r="AN11" s="4658"/>
      <c r="AO11" s="4658"/>
      <c r="AP11" s="4658"/>
      <c r="AQ11" s="4658"/>
      <c r="AR11" s="4658"/>
      <c r="AS11" s="4658"/>
      <c r="AT11" s="4658"/>
      <c r="AU11" s="4658"/>
      <c r="AV11" s="4658"/>
      <c r="AW11" s="4658"/>
      <c r="AX11" s="4658"/>
      <c r="AY11" s="4658"/>
      <c r="AZ11" s="4658"/>
      <c r="BA11" s="4658"/>
      <c r="BB11" s="4658"/>
      <c r="BC11" s="4658"/>
      <c r="BD11" s="4658"/>
      <c r="BE11" s="4658"/>
      <c r="BF11" s="4658"/>
      <c r="BG11" s="4658"/>
      <c r="BH11" s="4658"/>
      <c r="BI11" s="4658"/>
      <c r="BJ11" s="4658"/>
      <c r="BK11" s="4659"/>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7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77"/>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701"/>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60"/>
      <c r="U12" s="4661"/>
      <c r="V12" s="1484" t="str">
        <f>IF(OR(V10=0,V10=""),"N/A",V10)</f>
        <v>N/A</v>
      </c>
      <c r="W12" s="4660" t="str">
        <f xml:space="preserve"> IF(OR(AF10=0,AF10=""),"N/A",W10)</f>
        <v>N/A</v>
      </c>
      <c r="X12" s="4662"/>
      <c r="Y12" s="4662"/>
      <c r="Z12" s="4662"/>
      <c r="AA12" s="4662"/>
      <c r="AB12" s="4662"/>
      <c r="AC12" s="4662"/>
      <c r="AD12" s="4662"/>
      <c r="AE12" s="4662"/>
      <c r="AF12" s="4661"/>
      <c r="AG12" s="4660" t="str">
        <f xml:space="preserve"> IF(OR(AP10="",AP10=0),"N/A",AG10)</f>
        <v>N/A</v>
      </c>
      <c r="AH12" s="4662"/>
      <c r="AI12" s="4662"/>
      <c r="AJ12" s="4662"/>
      <c r="AK12" s="4662"/>
      <c r="AL12" s="4662"/>
      <c r="AM12" s="4662"/>
      <c r="AN12" s="4662"/>
      <c r="AO12" s="4662"/>
      <c r="AP12" s="4661"/>
      <c r="AQ12" s="4660" t="str">
        <f xml:space="preserve"> IF(OR(AZ10="",AZ10=0),"N/A",AQ10)</f>
        <v>N/A</v>
      </c>
      <c r="AR12" s="4662"/>
      <c r="AS12" s="4662"/>
      <c r="AT12" s="4662"/>
      <c r="AU12" s="4662"/>
      <c r="AV12" s="4662"/>
      <c r="AW12" s="4662"/>
      <c r="AX12" s="4662"/>
      <c r="AY12" s="4662"/>
      <c r="AZ12" s="4661"/>
      <c r="BA12" s="4660" t="str">
        <f xml:space="preserve"> IF(OR(BJ10="",BJ10=0),"N/A",BA10)</f>
        <v>N/A</v>
      </c>
      <c r="BB12" s="4662"/>
      <c r="BC12" s="4662"/>
      <c r="BD12" s="4662"/>
      <c r="BE12" s="4662"/>
      <c r="BF12" s="4662"/>
      <c r="BG12" s="4662"/>
      <c r="BH12" s="4662"/>
      <c r="BI12" s="4662"/>
      <c r="BJ12" s="4661"/>
      <c r="BK12" s="1085" t="s">
        <v>4676</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701"/>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74" t="s">
        <v>4677</v>
      </c>
      <c r="U13" s="4675"/>
      <c r="V13" s="1490"/>
      <c r="W13" s="4643"/>
      <c r="X13" s="4644"/>
      <c r="Y13" s="4644"/>
      <c r="Z13" s="4644"/>
      <c r="AA13" s="4644"/>
      <c r="AB13" s="4644"/>
      <c r="AC13" s="4644"/>
      <c r="AD13" s="4644"/>
      <c r="AE13" s="4644"/>
      <c r="AF13" s="4645"/>
      <c r="AG13" s="4643"/>
      <c r="AH13" s="4644"/>
      <c r="AI13" s="4644"/>
      <c r="AJ13" s="4644"/>
      <c r="AK13" s="4644"/>
      <c r="AL13" s="4644"/>
      <c r="AM13" s="4644"/>
      <c r="AN13" s="4644"/>
      <c r="AO13" s="4644"/>
      <c r="AP13" s="4645"/>
      <c r="AQ13" s="4643"/>
      <c r="AR13" s="4644"/>
      <c r="AS13" s="4644"/>
      <c r="AT13" s="4644"/>
      <c r="AU13" s="4644"/>
      <c r="AV13" s="4644"/>
      <c r="AW13" s="4644"/>
      <c r="AX13" s="4644"/>
      <c r="AY13" s="4644"/>
      <c r="AZ13" s="4645"/>
      <c r="BA13" s="4643"/>
      <c r="BB13" s="4644"/>
      <c r="BC13" s="4644"/>
      <c r="BD13" s="4644"/>
      <c r="BE13" s="4644"/>
      <c r="BF13" s="4644"/>
      <c r="BG13" s="4644"/>
      <c r="BH13" s="4644"/>
      <c r="BI13" s="4644"/>
      <c r="BJ13" s="4645"/>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53" t="s">
        <v>4678</v>
      </c>
      <c r="BU13" s="4654"/>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701"/>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63" t="s">
        <v>4679</v>
      </c>
      <c r="U14" s="4664"/>
      <c r="V14" s="1488"/>
      <c r="W14" s="4665"/>
      <c r="X14" s="4666"/>
      <c r="Y14" s="4666"/>
      <c r="Z14" s="4666"/>
      <c r="AA14" s="4666"/>
      <c r="AB14" s="4666"/>
      <c r="AC14" s="4666"/>
      <c r="AD14" s="4666"/>
      <c r="AE14" s="4666"/>
      <c r="AF14" s="4667"/>
      <c r="AG14" s="4665"/>
      <c r="AH14" s="4666"/>
      <c r="AI14" s="4666"/>
      <c r="AJ14" s="4666"/>
      <c r="AK14" s="4666"/>
      <c r="AL14" s="4666"/>
      <c r="AM14" s="4666"/>
      <c r="AN14" s="4666"/>
      <c r="AO14" s="4666"/>
      <c r="AP14" s="4667"/>
      <c r="AQ14" s="4665"/>
      <c r="AR14" s="4666"/>
      <c r="AS14" s="4666"/>
      <c r="AT14" s="4666"/>
      <c r="AU14" s="4666"/>
      <c r="AV14" s="4666"/>
      <c r="AW14" s="4666"/>
      <c r="AX14" s="4666"/>
      <c r="AY14" s="4666"/>
      <c r="AZ14" s="4667"/>
      <c r="BA14" s="4665"/>
      <c r="BB14" s="4666"/>
      <c r="BC14" s="4666"/>
      <c r="BD14" s="4666"/>
      <c r="BE14" s="4666"/>
      <c r="BF14" s="4666"/>
      <c r="BG14" s="4666"/>
      <c r="BH14" s="4666"/>
      <c r="BI14" s="4666"/>
      <c r="BJ14" s="4667"/>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5" t="s">
        <v>1693</v>
      </c>
      <c r="BU14" s="4656"/>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701"/>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53" t="s">
        <v>4680</v>
      </c>
      <c r="BU15" s="4654"/>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5" t="s">
        <v>4660</v>
      </c>
      <c r="BU16" s="4656"/>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57" t="s">
        <v>4675</v>
      </c>
      <c r="U17" s="4658"/>
      <c r="V17" s="4658"/>
      <c r="W17" s="4658"/>
      <c r="X17" s="4658"/>
      <c r="Y17" s="4658"/>
      <c r="Z17" s="4658"/>
      <c r="AA17" s="4658"/>
      <c r="AB17" s="4658"/>
      <c r="AC17" s="4658"/>
      <c r="AD17" s="4658"/>
      <c r="AE17" s="4658"/>
      <c r="AF17" s="4658"/>
      <c r="AG17" s="4658"/>
      <c r="AH17" s="4658"/>
      <c r="AI17" s="4658"/>
      <c r="AJ17" s="4658"/>
      <c r="AK17" s="4658"/>
      <c r="AL17" s="4658"/>
      <c r="AM17" s="4658"/>
      <c r="AN17" s="4658"/>
      <c r="AO17" s="4658"/>
      <c r="AP17" s="4658"/>
      <c r="AQ17" s="4658"/>
      <c r="AR17" s="4658"/>
      <c r="AS17" s="4658"/>
      <c r="AT17" s="4658"/>
      <c r="AU17" s="4658"/>
      <c r="AV17" s="4658"/>
      <c r="AW17" s="4658"/>
      <c r="AX17" s="4658"/>
      <c r="AY17" s="4658"/>
      <c r="AZ17" s="4658"/>
      <c r="BA17" s="4658"/>
      <c r="BB17" s="4658"/>
      <c r="BC17" s="4658"/>
      <c r="BD17" s="4658"/>
      <c r="BE17" s="4658"/>
      <c r="BF17" s="4658"/>
      <c r="BG17" s="4658"/>
      <c r="BH17" s="4658"/>
      <c r="BI17" s="4658"/>
      <c r="BJ17" s="4658"/>
      <c r="BK17" s="4659"/>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53" t="s">
        <v>4681</v>
      </c>
      <c r="BU17" s="4654"/>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60"/>
      <c r="U18" s="4661"/>
      <c r="V18" s="1484" t="str">
        <f>IF(OR(V16=0,V16=""),"N/A",V16)</f>
        <v>N/A</v>
      </c>
      <c r="W18" s="4660" t="str">
        <f xml:space="preserve"> IF(OR(AF16=0,AF16=""),"N/A",W16)</f>
        <v>N/A</v>
      </c>
      <c r="X18" s="4662"/>
      <c r="Y18" s="4662"/>
      <c r="Z18" s="4662"/>
      <c r="AA18" s="4662"/>
      <c r="AB18" s="4662"/>
      <c r="AC18" s="4662"/>
      <c r="AD18" s="4662"/>
      <c r="AE18" s="4662"/>
      <c r="AF18" s="4661"/>
      <c r="AG18" s="4660" t="str">
        <f xml:space="preserve"> IF(OR(AP16="",AP16=0),"N/A",AG16)</f>
        <v>N/A</v>
      </c>
      <c r="AH18" s="4662"/>
      <c r="AI18" s="4662"/>
      <c r="AJ18" s="4662"/>
      <c r="AK18" s="4662"/>
      <c r="AL18" s="4662"/>
      <c r="AM18" s="4662"/>
      <c r="AN18" s="4662"/>
      <c r="AO18" s="4662"/>
      <c r="AP18" s="4661"/>
      <c r="AQ18" s="4660" t="str">
        <f xml:space="preserve"> IF(OR(AZ16="",AZ16=0),"N/A",AQ16)</f>
        <v>N/A</v>
      </c>
      <c r="AR18" s="4662"/>
      <c r="AS18" s="4662"/>
      <c r="AT18" s="4662"/>
      <c r="AU18" s="4662"/>
      <c r="AV18" s="4662"/>
      <c r="AW18" s="4662"/>
      <c r="AX18" s="4662"/>
      <c r="AY18" s="4662"/>
      <c r="AZ18" s="4661"/>
      <c r="BA18" s="4660" t="str">
        <f xml:space="preserve"> IF(OR(BJ16="",BJ16=0),"N/A",BA16)</f>
        <v>N/A</v>
      </c>
      <c r="BB18" s="4662"/>
      <c r="BC18" s="4662"/>
      <c r="BD18" s="4662"/>
      <c r="BE18" s="4662"/>
      <c r="BF18" s="4662"/>
      <c r="BG18" s="4662"/>
      <c r="BH18" s="4662"/>
      <c r="BI18" s="4662"/>
      <c r="BJ18" s="4661"/>
      <c r="BK18" s="1085" t="s">
        <v>4676</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5" t="s">
        <v>4654</v>
      </c>
      <c r="BU18" s="4656"/>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74" t="s">
        <v>4677</v>
      </c>
      <c r="U19" s="4675"/>
      <c r="V19" s="1490"/>
      <c r="W19" s="4643"/>
      <c r="X19" s="4644"/>
      <c r="Y19" s="4644"/>
      <c r="Z19" s="4644"/>
      <c r="AA19" s="4644"/>
      <c r="AB19" s="4644"/>
      <c r="AC19" s="4644"/>
      <c r="AD19" s="4644"/>
      <c r="AE19" s="4644"/>
      <c r="AF19" s="4645"/>
      <c r="AG19" s="4643"/>
      <c r="AH19" s="4644"/>
      <c r="AI19" s="4644"/>
      <c r="AJ19" s="4644"/>
      <c r="AK19" s="4644"/>
      <c r="AL19" s="4644"/>
      <c r="AM19" s="4644"/>
      <c r="AN19" s="4644"/>
      <c r="AO19" s="4644"/>
      <c r="AP19" s="4645"/>
      <c r="AQ19" s="4643"/>
      <c r="AR19" s="4644"/>
      <c r="AS19" s="4644"/>
      <c r="AT19" s="4644"/>
      <c r="AU19" s="4644"/>
      <c r="AV19" s="4644"/>
      <c r="AW19" s="4644"/>
      <c r="AX19" s="4644"/>
      <c r="AY19" s="4644"/>
      <c r="AZ19" s="4645"/>
      <c r="BA19" s="4643"/>
      <c r="BB19" s="4644"/>
      <c r="BC19" s="4644"/>
      <c r="BD19" s="4644"/>
      <c r="BE19" s="4644"/>
      <c r="BF19" s="4644"/>
      <c r="BG19" s="4644"/>
      <c r="BH19" s="4644"/>
      <c r="BI19" s="4644"/>
      <c r="BJ19" s="4645"/>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41" t="s">
        <v>4682</v>
      </c>
      <c r="BU19" s="4642"/>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63" t="s">
        <v>4679</v>
      </c>
      <c r="U20" s="4664"/>
      <c r="V20" s="1488"/>
      <c r="W20" s="4665"/>
      <c r="X20" s="4666"/>
      <c r="Y20" s="4666"/>
      <c r="Z20" s="4666"/>
      <c r="AA20" s="4666"/>
      <c r="AB20" s="4666"/>
      <c r="AC20" s="4666"/>
      <c r="AD20" s="4666"/>
      <c r="AE20" s="4666"/>
      <c r="AF20" s="4667"/>
      <c r="AG20" s="4665"/>
      <c r="AH20" s="4666"/>
      <c r="AI20" s="4666"/>
      <c r="AJ20" s="4666"/>
      <c r="AK20" s="4666"/>
      <c r="AL20" s="4666"/>
      <c r="AM20" s="4666"/>
      <c r="AN20" s="4666"/>
      <c r="AO20" s="4666"/>
      <c r="AP20" s="4667"/>
      <c r="AQ20" s="4665"/>
      <c r="AR20" s="4666"/>
      <c r="AS20" s="4666"/>
      <c r="AT20" s="4666"/>
      <c r="AU20" s="4666"/>
      <c r="AV20" s="4666"/>
      <c r="AW20" s="4666"/>
      <c r="AX20" s="4666"/>
      <c r="AY20" s="4666"/>
      <c r="AZ20" s="4667"/>
      <c r="BA20" s="4665"/>
      <c r="BB20" s="4666"/>
      <c r="BC20" s="4666"/>
      <c r="BD20" s="4666"/>
      <c r="BE20" s="4666"/>
      <c r="BF20" s="4666"/>
      <c r="BG20" s="4666"/>
      <c r="BH20" s="4666"/>
      <c r="BI20" s="4666"/>
      <c r="BJ20" s="4667"/>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8">
        <f>IF(BT14="No",0,IF(D8=0,0,VLOOKUP(D8,'Tablas Técnicas'!$L$4:$N$7,2,FALSE)))+IF(BT16="Bajar coste de CM",0,IF(BT16="-5 CM",2,IF(BT16="-10 CM",4,IF(BT16="-15 CM",6,IF(BT16="-20 CM",8,0)))))+IF(BT18="Bajar coste de Ki",0,IF(BT18="-1 Ki",-1,IF(BT18="-2 Ki",-2,IF(BT18="-3 Ki",-3,IF(BT18="-4 Ki",-4,IF(BT18="-5 Ki",-5,0))))))-BU23-BU25-BU27-BU29-BU31-BU33</f>
        <v>0</v>
      </c>
      <c r="BU20" s="2549">
        <f>IF(BT14="No",0,IF(D8=0,0,VLOOKUP(D8,'Tablas Técnicas'!$L$4:$N$7,2,FALSE)))+IF(BT16="Bajar coste de CM",0,IF(BT16="-5 CM",2,IF(BT16="-10 CM",4,IF(BT16="-15 CM",6,IF(BT16="-20 CM",8,0)))))+IF(BT18="Bajar coste de Ki",0,IF(BT18="-1 Ki",-1,IF(BT18="-2 Ki",-2,IF(BT18="-3 Ki",-3,IF(BT18="-4 Ki",-4,IF(BT18="-5 Ki",-5,0))))))</f>
        <v>0</v>
      </c>
      <c r="BV20" s="1049"/>
      <c r="BW20" s="1029"/>
      <c r="BX20" s="1029"/>
      <c r="BY20" s="1383"/>
      <c r="BZ20" s="4647"/>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47"/>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4683</v>
      </c>
      <c r="BV22" s="1049"/>
      <c r="BW22" s="1482" t="s">
        <v>4684</v>
      </c>
      <c r="BX22" s="1483" t="s">
        <v>4685</v>
      </c>
      <c r="BY22" s="1397" t="s">
        <v>4685</v>
      </c>
      <c r="BZ22" s="4647"/>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57" t="s">
        <v>4675</v>
      </c>
      <c r="U23" s="4658"/>
      <c r="V23" s="4658"/>
      <c r="W23" s="4658"/>
      <c r="X23" s="4658"/>
      <c r="Y23" s="4658"/>
      <c r="Z23" s="4658"/>
      <c r="AA23" s="4658"/>
      <c r="AB23" s="4658"/>
      <c r="AC23" s="4658"/>
      <c r="AD23" s="4658"/>
      <c r="AE23" s="4658"/>
      <c r="AF23" s="4658"/>
      <c r="AG23" s="4658"/>
      <c r="AH23" s="4658"/>
      <c r="AI23" s="4658"/>
      <c r="AJ23" s="4658"/>
      <c r="AK23" s="4658"/>
      <c r="AL23" s="4658"/>
      <c r="AM23" s="4658"/>
      <c r="AN23" s="4658"/>
      <c r="AO23" s="4658"/>
      <c r="AP23" s="4658"/>
      <c r="AQ23" s="4658"/>
      <c r="AR23" s="4658"/>
      <c r="AS23" s="4658"/>
      <c r="AT23" s="4658"/>
      <c r="AU23" s="4658"/>
      <c r="AV23" s="4658"/>
      <c r="AW23" s="4658"/>
      <c r="AX23" s="4658"/>
      <c r="AY23" s="4658"/>
      <c r="AZ23" s="4658"/>
      <c r="BA23" s="4658"/>
      <c r="BB23" s="4658"/>
      <c r="BC23" s="4658"/>
      <c r="BD23" s="4658"/>
      <c r="BE23" s="4658"/>
      <c r="BF23" s="4658"/>
      <c r="BG23" s="4658"/>
      <c r="BH23" s="4658"/>
      <c r="BI23" s="4658"/>
      <c r="BJ23" s="4658"/>
      <c r="BK23" s="4659"/>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50"/>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60"/>
      <c r="U24" s="4661"/>
      <c r="V24" s="1484" t="str">
        <f>IF(OR(V22=0,V22=""),"N/A",V22)</f>
        <v>N/A</v>
      </c>
      <c r="W24" s="4660" t="str">
        <f xml:space="preserve"> IF(OR(AF22=0,AF22=""),"N/A",W22)</f>
        <v>N/A</v>
      </c>
      <c r="X24" s="4662"/>
      <c r="Y24" s="4662"/>
      <c r="Z24" s="4662"/>
      <c r="AA24" s="4662"/>
      <c r="AB24" s="4662"/>
      <c r="AC24" s="4662"/>
      <c r="AD24" s="4662"/>
      <c r="AE24" s="4662"/>
      <c r="AF24" s="4661"/>
      <c r="AG24" s="4660" t="str">
        <f xml:space="preserve"> IF(OR(AP22="",AP22=0),"N/A",AG22)</f>
        <v>N/A</v>
      </c>
      <c r="AH24" s="4662"/>
      <c r="AI24" s="4662"/>
      <c r="AJ24" s="4662"/>
      <c r="AK24" s="4662"/>
      <c r="AL24" s="4662"/>
      <c r="AM24" s="4662"/>
      <c r="AN24" s="4662"/>
      <c r="AO24" s="4662"/>
      <c r="AP24" s="4661"/>
      <c r="AQ24" s="4660" t="str">
        <f xml:space="preserve"> IF(OR(AZ22="",AZ22=0),"N/A",AQ22)</f>
        <v>N/A</v>
      </c>
      <c r="AR24" s="4662"/>
      <c r="AS24" s="4662"/>
      <c r="AT24" s="4662"/>
      <c r="AU24" s="4662"/>
      <c r="AV24" s="4662"/>
      <c r="AW24" s="4662"/>
      <c r="AX24" s="4662"/>
      <c r="AY24" s="4662"/>
      <c r="AZ24" s="4661"/>
      <c r="BA24" s="4660" t="str">
        <f xml:space="preserve"> IF(OR(BJ22="",BJ22=0),"N/A",BA22)</f>
        <v>N/A</v>
      </c>
      <c r="BB24" s="4662"/>
      <c r="BC24" s="4662"/>
      <c r="BD24" s="4662"/>
      <c r="BE24" s="4662"/>
      <c r="BF24" s="4662"/>
      <c r="BG24" s="4662"/>
      <c r="BH24" s="4662"/>
      <c r="BI24" s="4662"/>
      <c r="BJ24" s="4661"/>
      <c r="BK24" s="1085" t="s">
        <v>4676</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4683</v>
      </c>
      <c r="BV24" s="1049"/>
      <c r="BW24" s="1482" t="s">
        <v>4684</v>
      </c>
      <c r="BX24" s="1483" t="s">
        <v>4685</v>
      </c>
      <c r="BY24" s="1398" t="s">
        <v>4685</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74" t="s">
        <v>4677</v>
      </c>
      <c r="U25" s="4675"/>
      <c r="V25" s="1490"/>
      <c r="W25" s="4643"/>
      <c r="X25" s="4644"/>
      <c r="Y25" s="4644"/>
      <c r="Z25" s="4644"/>
      <c r="AA25" s="4644"/>
      <c r="AB25" s="4644"/>
      <c r="AC25" s="4644"/>
      <c r="AD25" s="4644"/>
      <c r="AE25" s="4644"/>
      <c r="AF25" s="4645"/>
      <c r="AG25" s="4643"/>
      <c r="AH25" s="4644"/>
      <c r="AI25" s="4644"/>
      <c r="AJ25" s="4644"/>
      <c r="AK25" s="4644"/>
      <c r="AL25" s="4644"/>
      <c r="AM25" s="4644"/>
      <c r="AN25" s="4644"/>
      <c r="AO25" s="4644"/>
      <c r="AP25" s="4645"/>
      <c r="AQ25" s="4643"/>
      <c r="AR25" s="4644"/>
      <c r="AS25" s="4644"/>
      <c r="AT25" s="4644"/>
      <c r="AU25" s="4644"/>
      <c r="AV25" s="4644"/>
      <c r="AW25" s="4644"/>
      <c r="AX25" s="4644"/>
      <c r="AY25" s="4644"/>
      <c r="AZ25" s="4645"/>
      <c r="BA25" s="4643"/>
      <c r="BB25" s="4644"/>
      <c r="BC25" s="4644"/>
      <c r="BD25" s="4644"/>
      <c r="BE25" s="4644"/>
      <c r="BF25" s="4644"/>
      <c r="BG25" s="4644"/>
      <c r="BH25" s="4644"/>
      <c r="BI25" s="4644"/>
      <c r="BJ25" s="4645"/>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50"/>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63" t="s">
        <v>4679</v>
      </c>
      <c r="U26" s="4664"/>
      <c r="V26" s="1488"/>
      <c r="W26" s="4665"/>
      <c r="X26" s="4666"/>
      <c r="Y26" s="4666"/>
      <c r="Z26" s="4666"/>
      <c r="AA26" s="4666"/>
      <c r="AB26" s="4666"/>
      <c r="AC26" s="4666"/>
      <c r="AD26" s="4666"/>
      <c r="AE26" s="4666"/>
      <c r="AF26" s="4667"/>
      <c r="AG26" s="4665"/>
      <c r="AH26" s="4666"/>
      <c r="AI26" s="4666"/>
      <c r="AJ26" s="4666"/>
      <c r="AK26" s="4666"/>
      <c r="AL26" s="4666"/>
      <c r="AM26" s="4666"/>
      <c r="AN26" s="4666"/>
      <c r="AO26" s="4666"/>
      <c r="AP26" s="4667"/>
      <c r="AQ26" s="4665"/>
      <c r="AR26" s="4666"/>
      <c r="AS26" s="4666"/>
      <c r="AT26" s="4666"/>
      <c r="AU26" s="4666"/>
      <c r="AV26" s="4666"/>
      <c r="AW26" s="4666"/>
      <c r="AX26" s="4666"/>
      <c r="AY26" s="4666"/>
      <c r="AZ26" s="4667"/>
      <c r="BA26" s="4665"/>
      <c r="BB26" s="4666"/>
      <c r="BC26" s="4666"/>
      <c r="BD26" s="4666"/>
      <c r="BE26" s="4666"/>
      <c r="BF26" s="4666"/>
      <c r="BG26" s="4666"/>
      <c r="BH26" s="4666"/>
      <c r="BI26" s="4666"/>
      <c r="BJ26" s="4667"/>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4683</v>
      </c>
      <c r="BV26" s="1049"/>
      <c r="BW26" s="1482" t="s">
        <v>4684</v>
      </c>
      <c r="BX26" s="1483" t="s">
        <v>4685</v>
      </c>
      <c r="BY26" s="1398" t="s">
        <v>4685</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50"/>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4683</v>
      </c>
      <c r="BV28" s="1049"/>
      <c r="BW28" s="1482" t="s">
        <v>4684</v>
      </c>
      <c r="BX28" s="1483" t="s">
        <v>4685</v>
      </c>
      <c r="BY28" s="1398" t="s">
        <v>4685</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57" t="s">
        <v>4675</v>
      </c>
      <c r="U29" s="4658"/>
      <c r="V29" s="4658"/>
      <c r="W29" s="4658"/>
      <c r="X29" s="4658"/>
      <c r="Y29" s="4658"/>
      <c r="Z29" s="4658"/>
      <c r="AA29" s="4658"/>
      <c r="AB29" s="4658"/>
      <c r="AC29" s="4658"/>
      <c r="AD29" s="4658"/>
      <c r="AE29" s="4658"/>
      <c r="AF29" s="4658"/>
      <c r="AG29" s="4658"/>
      <c r="AH29" s="4658"/>
      <c r="AI29" s="4658"/>
      <c r="AJ29" s="4658"/>
      <c r="AK29" s="4658"/>
      <c r="AL29" s="4658"/>
      <c r="AM29" s="4658"/>
      <c r="AN29" s="4658"/>
      <c r="AO29" s="4658"/>
      <c r="AP29" s="4658"/>
      <c r="AQ29" s="4658"/>
      <c r="AR29" s="4658"/>
      <c r="AS29" s="4658"/>
      <c r="AT29" s="4658"/>
      <c r="AU29" s="4658"/>
      <c r="AV29" s="4658"/>
      <c r="AW29" s="4658"/>
      <c r="AX29" s="4658"/>
      <c r="AY29" s="4658"/>
      <c r="AZ29" s="4658"/>
      <c r="BA29" s="4658"/>
      <c r="BB29" s="4658"/>
      <c r="BC29" s="4658"/>
      <c r="BD29" s="4658"/>
      <c r="BE29" s="4658"/>
      <c r="BF29" s="4658"/>
      <c r="BG29" s="4658"/>
      <c r="BH29" s="4658"/>
      <c r="BI29" s="4658"/>
      <c r="BJ29" s="4658"/>
      <c r="BK29" s="4659"/>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50"/>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60"/>
      <c r="U30" s="4661"/>
      <c r="V30" s="1484" t="str">
        <f>IF(OR(V28=0,V28=""),"N/A",V28)</f>
        <v>N/A</v>
      </c>
      <c r="W30" s="4660" t="str">
        <f xml:space="preserve"> IF(OR(AF28=0,AF28=""),"N/A",W28)</f>
        <v>N/A</v>
      </c>
      <c r="X30" s="4662"/>
      <c r="Y30" s="4662"/>
      <c r="Z30" s="4662"/>
      <c r="AA30" s="4662"/>
      <c r="AB30" s="4662"/>
      <c r="AC30" s="4662"/>
      <c r="AD30" s="4662"/>
      <c r="AE30" s="4662"/>
      <c r="AF30" s="4661"/>
      <c r="AG30" s="4660" t="str">
        <f xml:space="preserve"> IF(OR(AP28="",AP28=0),"N/A",AG28)</f>
        <v>N/A</v>
      </c>
      <c r="AH30" s="4662"/>
      <c r="AI30" s="4662"/>
      <c r="AJ30" s="4662"/>
      <c r="AK30" s="4662"/>
      <c r="AL30" s="4662"/>
      <c r="AM30" s="4662"/>
      <c r="AN30" s="4662"/>
      <c r="AO30" s="4662"/>
      <c r="AP30" s="4661"/>
      <c r="AQ30" s="4660" t="str">
        <f xml:space="preserve"> IF(OR(AZ28="",AZ28=0),"N/A",AQ28)</f>
        <v>N/A</v>
      </c>
      <c r="AR30" s="4662"/>
      <c r="AS30" s="4662"/>
      <c r="AT30" s="4662"/>
      <c r="AU30" s="4662"/>
      <c r="AV30" s="4662"/>
      <c r="AW30" s="4662"/>
      <c r="AX30" s="4662"/>
      <c r="AY30" s="4662"/>
      <c r="AZ30" s="4661"/>
      <c r="BA30" s="4660" t="str">
        <f xml:space="preserve"> IF(OR(BJ28="",BJ28=0),"N/A",BA28)</f>
        <v>N/A</v>
      </c>
      <c r="BB30" s="4662"/>
      <c r="BC30" s="4662"/>
      <c r="BD30" s="4662"/>
      <c r="BE30" s="4662"/>
      <c r="BF30" s="4662"/>
      <c r="BG30" s="4662"/>
      <c r="BH30" s="4662"/>
      <c r="BI30" s="4662"/>
      <c r="BJ30" s="4661"/>
      <c r="BK30" s="1085" t="s">
        <v>4676</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4683</v>
      </c>
      <c r="BV30" s="1049"/>
      <c r="BW30" s="1482" t="s">
        <v>4684</v>
      </c>
      <c r="BX30" s="1483" t="s">
        <v>4685</v>
      </c>
      <c r="BY30" s="1398" t="s">
        <v>4685</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74" t="s">
        <v>4677</v>
      </c>
      <c r="U31" s="4675"/>
      <c r="V31" s="1490"/>
      <c r="W31" s="4643"/>
      <c r="X31" s="4644"/>
      <c r="Y31" s="4644"/>
      <c r="Z31" s="4644"/>
      <c r="AA31" s="4644"/>
      <c r="AB31" s="4644"/>
      <c r="AC31" s="4644"/>
      <c r="AD31" s="4644"/>
      <c r="AE31" s="4644"/>
      <c r="AF31" s="4645"/>
      <c r="AG31" s="4643"/>
      <c r="AH31" s="4644"/>
      <c r="AI31" s="4644"/>
      <c r="AJ31" s="4644"/>
      <c r="AK31" s="4644"/>
      <c r="AL31" s="4644"/>
      <c r="AM31" s="4644"/>
      <c r="AN31" s="4644"/>
      <c r="AO31" s="4644"/>
      <c r="AP31" s="4645"/>
      <c r="AQ31" s="4643"/>
      <c r="AR31" s="4644"/>
      <c r="AS31" s="4644"/>
      <c r="AT31" s="4644"/>
      <c r="AU31" s="4644"/>
      <c r="AV31" s="4644"/>
      <c r="AW31" s="4644"/>
      <c r="AX31" s="4644"/>
      <c r="AY31" s="4644"/>
      <c r="AZ31" s="4645"/>
      <c r="BA31" s="4643"/>
      <c r="BB31" s="4644"/>
      <c r="BC31" s="4644"/>
      <c r="BD31" s="4644"/>
      <c r="BE31" s="4644"/>
      <c r="BF31" s="4644"/>
      <c r="BG31" s="4644"/>
      <c r="BH31" s="4644"/>
      <c r="BI31" s="4644"/>
      <c r="BJ31" s="4645"/>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50"/>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63" t="s">
        <v>4679</v>
      </c>
      <c r="U32" s="4664"/>
      <c r="V32" s="1488"/>
      <c r="W32" s="4665"/>
      <c r="X32" s="4666"/>
      <c r="Y32" s="4666"/>
      <c r="Z32" s="4666"/>
      <c r="AA32" s="4666"/>
      <c r="AB32" s="4666"/>
      <c r="AC32" s="4666"/>
      <c r="AD32" s="4666"/>
      <c r="AE32" s="4666"/>
      <c r="AF32" s="4667"/>
      <c r="AG32" s="4665"/>
      <c r="AH32" s="4666"/>
      <c r="AI32" s="4666"/>
      <c r="AJ32" s="4666"/>
      <c r="AK32" s="4666"/>
      <c r="AL32" s="4666"/>
      <c r="AM32" s="4666"/>
      <c r="AN32" s="4666"/>
      <c r="AO32" s="4666"/>
      <c r="AP32" s="4667"/>
      <c r="AQ32" s="4665"/>
      <c r="AR32" s="4666"/>
      <c r="AS32" s="4666"/>
      <c r="AT32" s="4666"/>
      <c r="AU32" s="4666"/>
      <c r="AV32" s="4666"/>
      <c r="AW32" s="4666"/>
      <c r="AX32" s="4666"/>
      <c r="AY32" s="4666"/>
      <c r="AZ32" s="4667"/>
      <c r="BA32" s="4665"/>
      <c r="BB32" s="4666"/>
      <c r="BC32" s="4666"/>
      <c r="BD32" s="4666"/>
      <c r="BE32" s="4666"/>
      <c r="BF32" s="4666"/>
      <c r="BG32" s="4666"/>
      <c r="BH32" s="4666"/>
      <c r="BI32" s="4666"/>
      <c r="BJ32" s="4667"/>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4683</v>
      </c>
      <c r="BV32" s="1049"/>
      <c r="BW32" s="1482" t="s">
        <v>4684</v>
      </c>
      <c r="BX32" s="1483" t="s">
        <v>4685</v>
      </c>
      <c r="BY32" s="1398" t="s">
        <v>4685</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50"/>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6"/>
      <c r="BV34" s="4646"/>
      <c r="BW34" s="4646"/>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57" t="s">
        <v>4675</v>
      </c>
      <c r="U35" s="4658"/>
      <c r="V35" s="4658"/>
      <c r="W35" s="4658"/>
      <c r="X35" s="4658"/>
      <c r="Y35" s="4658"/>
      <c r="Z35" s="4658"/>
      <c r="AA35" s="4658"/>
      <c r="AB35" s="4658"/>
      <c r="AC35" s="4658"/>
      <c r="AD35" s="4658"/>
      <c r="AE35" s="4658"/>
      <c r="AF35" s="4658"/>
      <c r="AG35" s="4658"/>
      <c r="AH35" s="4658"/>
      <c r="AI35" s="4658"/>
      <c r="AJ35" s="4658"/>
      <c r="AK35" s="4658"/>
      <c r="AL35" s="4658"/>
      <c r="AM35" s="4658"/>
      <c r="AN35" s="4658"/>
      <c r="AO35" s="4658"/>
      <c r="AP35" s="4658"/>
      <c r="AQ35" s="4658"/>
      <c r="AR35" s="4658"/>
      <c r="AS35" s="4658"/>
      <c r="AT35" s="4658"/>
      <c r="AU35" s="4658"/>
      <c r="AV35" s="4658"/>
      <c r="AW35" s="4658"/>
      <c r="AX35" s="4658"/>
      <c r="AY35" s="4658"/>
      <c r="AZ35" s="4658"/>
      <c r="BA35" s="4658"/>
      <c r="BB35" s="4658"/>
      <c r="BC35" s="4658"/>
      <c r="BD35" s="4658"/>
      <c r="BE35" s="4658"/>
      <c r="BF35" s="4658"/>
      <c r="BG35" s="4658"/>
      <c r="BH35" s="4658"/>
      <c r="BI35" s="4658"/>
      <c r="BJ35" s="4658"/>
      <c r="BK35" s="4659"/>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60"/>
      <c r="U36" s="4661"/>
      <c r="V36" s="1484" t="str">
        <f>IF(OR(V34=0,V34=""),"N/A",V34)</f>
        <v>N/A</v>
      </c>
      <c r="W36" s="4660" t="str">
        <f xml:space="preserve"> IF(OR(AF34=0,AF34=""),"N/A",W34)</f>
        <v>N/A</v>
      </c>
      <c r="X36" s="4662"/>
      <c r="Y36" s="4662"/>
      <c r="Z36" s="4662"/>
      <c r="AA36" s="4662"/>
      <c r="AB36" s="4662"/>
      <c r="AC36" s="4662"/>
      <c r="AD36" s="4662"/>
      <c r="AE36" s="4662"/>
      <c r="AF36" s="4661"/>
      <c r="AG36" s="4660" t="str">
        <f xml:space="preserve"> IF(OR(AP34="",AP34=0),"N/A",AG34)</f>
        <v>N/A</v>
      </c>
      <c r="AH36" s="4662"/>
      <c r="AI36" s="4662"/>
      <c r="AJ36" s="4662"/>
      <c r="AK36" s="4662"/>
      <c r="AL36" s="4662"/>
      <c r="AM36" s="4662"/>
      <c r="AN36" s="4662"/>
      <c r="AO36" s="4662"/>
      <c r="AP36" s="4661"/>
      <c r="AQ36" s="4660" t="str">
        <f xml:space="preserve"> IF(OR(AZ34="",AZ34=0),"N/A",AQ34)</f>
        <v>N/A</v>
      </c>
      <c r="AR36" s="4662"/>
      <c r="AS36" s="4662"/>
      <c r="AT36" s="4662"/>
      <c r="AU36" s="4662"/>
      <c r="AV36" s="4662"/>
      <c r="AW36" s="4662"/>
      <c r="AX36" s="4662"/>
      <c r="AY36" s="4662"/>
      <c r="AZ36" s="4661"/>
      <c r="BA36" s="4660" t="str">
        <f xml:space="preserve"> IF(OR(BJ34="",BJ34=0),"N/A",BA34)</f>
        <v>N/A</v>
      </c>
      <c r="BB36" s="4662"/>
      <c r="BC36" s="4662"/>
      <c r="BD36" s="4662"/>
      <c r="BE36" s="4662"/>
      <c r="BF36" s="4662"/>
      <c r="BG36" s="4662"/>
      <c r="BH36" s="4662"/>
      <c r="BI36" s="4662"/>
      <c r="BJ36" s="4661"/>
      <c r="BK36" s="1085" t="s">
        <v>4676</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708"/>
      <c r="BV36" s="4708"/>
      <c r="BW36" s="4708"/>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74" t="s">
        <v>4677</v>
      </c>
      <c r="U37" s="4675"/>
      <c r="V37" s="1490"/>
      <c r="W37" s="4643"/>
      <c r="X37" s="4644"/>
      <c r="Y37" s="4644"/>
      <c r="Z37" s="4644"/>
      <c r="AA37" s="4644"/>
      <c r="AB37" s="4644"/>
      <c r="AC37" s="4644"/>
      <c r="AD37" s="4644"/>
      <c r="AE37" s="4644"/>
      <c r="AF37" s="4645"/>
      <c r="AG37" s="4643"/>
      <c r="AH37" s="4644"/>
      <c r="AI37" s="4644"/>
      <c r="AJ37" s="4644"/>
      <c r="AK37" s="4644"/>
      <c r="AL37" s="4644"/>
      <c r="AM37" s="4644"/>
      <c r="AN37" s="4644"/>
      <c r="AO37" s="4644"/>
      <c r="AP37" s="4645"/>
      <c r="AQ37" s="4643"/>
      <c r="AR37" s="4644"/>
      <c r="AS37" s="4644"/>
      <c r="AT37" s="4644"/>
      <c r="AU37" s="4644"/>
      <c r="AV37" s="4644"/>
      <c r="AW37" s="4644"/>
      <c r="AX37" s="4644"/>
      <c r="AY37" s="4644"/>
      <c r="AZ37" s="4645"/>
      <c r="BA37" s="4643"/>
      <c r="BB37" s="4644"/>
      <c r="BC37" s="4644"/>
      <c r="BD37" s="4644"/>
      <c r="BE37" s="4644"/>
      <c r="BF37" s="4644"/>
      <c r="BG37" s="4644"/>
      <c r="BH37" s="4644"/>
      <c r="BI37" s="4644"/>
      <c r="BJ37" s="4645"/>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68" t="s">
        <v>4679</v>
      </c>
      <c r="U38" s="4669"/>
      <c r="V38" s="1493"/>
      <c r="W38" s="4670"/>
      <c r="X38" s="4671"/>
      <c r="Y38" s="4671"/>
      <c r="Z38" s="4671"/>
      <c r="AA38" s="4671"/>
      <c r="AB38" s="4671"/>
      <c r="AC38" s="4671"/>
      <c r="AD38" s="4671"/>
      <c r="AE38" s="4671"/>
      <c r="AF38" s="4672"/>
      <c r="AG38" s="4670"/>
      <c r="AH38" s="4671"/>
      <c r="AI38" s="4671"/>
      <c r="AJ38" s="4671"/>
      <c r="AK38" s="4671"/>
      <c r="AL38" s="4671"/>
      <c r="AM38" s="4671"/>
      <c r="AN38" s="4671"/>
      <c r="AO38" s="4671"/>
      <c r="AP38" s="4672"/>
      <c r="AQ38" s="4670"/>
      <c r="AR38" s="4671"/>
      <c r="AS38" s="4671"/>
      <c r="AT38" s="4671"/>
      <c r="AU38" s="4671"/>
      <c r="AV38" s="4671"/>
      <c r="AW38" s="4671"/>
      <c r="AX38" s="4671"/>
      <c r="AY38" s="4671"/>
      <c r="AZ38" s="4672"/>
      <c r="BA38" s="4670"/>
      <c r="BB38" s="4671"/>
      <c r="BC38" s="4671"/>
      <c r="BD38" s="4671"/>
      <c r="BE38" s="4671"/>
      <c r="BF38" s="4671"/>
      <c r="BG38" s="4671"/>
      <c r="BH38" s="4671"/>
      <c r="BI38" s="4671"/>
      <c r="BJ38" s="4672"/>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4686</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73"/>
      <c r="BL39" s="4673"/>
      <c r="BM39" s="4642"/>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41" t="s">
        <v>4688</v>
      </c>
      <c r="BU39" s="4642"/>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4687</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48" t="str">
        <f>IF(OR(E40='Tablas Técnicas'!A$678,E40='Tablas Técnicas'!A$679,E41='Tablas Técnicas'!A$678,E41='Tablas Técnicas'!A$679,E42='Tablas Técnicas'!A$678,E42='Tablas Técnicas'!A$679),"Selecciona la atadura elemental:","")</f>
        <v/>
      </c>
      <c r="AH40" s="4649"/>
      <c r="AI40" s="4649"/>
      <c r="AJ40" s="4649"/>
      <c r="AK40" s="4649"/>
      <c r="AL40" s="4649"/>
      <c r="AM40" s="4649"/>
      <c r="AN40" s="4649"/>
      <c r="AO40" s="4649"/>
      <c r="AP40" s="4649"/>
      <c r="AQ40" s="4649"/>
      <c r="AR40" s="4649"/>
      <c r="AS40" s="4649"/>
      <c r="AT40" s="4649"/>
      <c r="AU40" s="4649"/>
      <c r="AV40" s="4649"/>
      <c r="AW40" s="4649"/>
      <c r="AX40" s="4649"/>
      <c r="AY40" s="4649"/>
      <c r="AZ40" s="4649"/>
      <c r="BA40" s="4649"/>
      <c r="BB40" s="4649"/>
      <c r="BC40" s="4649"/>
      <c r="BD40" s="4649"/>
      <c r="BE40" s="4649"/>
      <c r="BF40" s="4649"/>
      <c r="BG40" s="4649"/>
      <c r="BH40" s="4649"/>
      <c r="BI40" s="4649"/>
      <c r="BJ40" s="4649"/>
      <c r="BK40" s="4650"/>
      <c r="BL40" s="1540"/>
      <c r="BM40" s="1540"/>
      <c r="BN40" s="1084"/>
      <c r="BO40" s="1084"/>
      <c r="BP40" s="1117"/>
      <c r="BQ40" s="1084"/>
      <c r="BR40" s="1084"/>
      <c r="BS40" s="1084"/>
      <c r="BT40" s="4651">
        <f>D8</f>
        <v>1</v>
      </c>
      <c r="BU40" s="4652"/>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4689</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4690</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8173</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8541</v>
      </c>
      <c r="F45" s="1041" t="s">
        <v>1792</v>
      </c>
      <c r="G45" s="1042" t="s">
        <v>1793</v>
      </c>
      <c r="H45" s="1042" t="s">
        <v>1815</v>
      </c>
      <c r="I45" s="1043" t="s">
        <v>3467</v>
      </c>
      <c r="J45" s="1044"/>
      <c r="K45" s="1045"/>
      <c r="L45" s="1043" t="s">
        <v>3468</v>
      </c>
      <c r="M45" s="1044"/>
      <c r="N45" s="1045"/>
      <c r="O45" s="1043" t="s">
        <v>3469</v>
      </c>
      <c r="P45" s="1044"/>
      <c r="Q45" s="1045"/>
      <c r="R45" s="1046" t="s">
        <v>4666</v>
      </c>
      <c r="S45" s="1042" t="s">
        <v>3437</v>
      </c>
      <c r="T45" s="2368" t="s">
        <v>1711</v>
      </c>
      <c r="U45" s="2368" t="s">
        <v>1682</v>
      </c>
      <c r="V45" s="2368" t="s">
        <v>3470</v>
      </c>
      <c r="W45" s="4678" t="s">
        <v>3471</v>
      </c>
      <c r="X45" s="4678"/>
      <c r="Y45" s="4678"/>
      <c r="Z45" s="4678"/>
      <c r="AA45" s="4678"/>
      <c r="AB45" s="4678"/>
      <c r="AC45" s="4678"/>
      <c r="AD45" s="4678"/>
      <c r="AE45" s="4678"/>
      <c r="AF45" s="4678"/>
      <c r="AG45" s="4678"/>
      <c r="AH45" s="4678"/>
      <c r="AI45" s="4678"/>
      <c r="AJ45" s="4678"/>
      <c r="AK45" s="4678"/>
      <c r="AL45" s="4678"/>
      <c r="AM45" s="4678"/>
      <c r="AN45" s="4678"/>
      <c r="AO45" s="4678"/>
      <c r="AP45" s="4678"/>
      <c r="AQ45" s="4678"/>
      <c r="AR45" s="4678"/>
      <c r="AS45" s="4678"/>
      <c r="AT45" s="4678"/>
      <c r="AU45" s="4678"/>
      <c r="AV45" s="4678"/>
      <c r="AW45" s="4678"/>
      <c r="AX45" s="4678"/>
      <c r="AY45" s="4678"/>
      <c r="AZ45" s="4678"/>
      <c r="BA45" s="4678"/>
      <c r="BB45" s="4678"/>
      <c r="BC45" s="4678"/>
      <c r="BD45" s="4678"/>
      <c r="BE45" s="4678"/>
      <c r="BF45" s="4678"/>
      <c r="BG45" s="4678"/>
      <c r="BH45" s="4678"/>
      <c r="BI45" s="4678"/>
      <c r="BJ45" s="4678"/>
      <c r="BK45" s="4678" t="s">
        <v>3472</v>
      </c>
      <c r="BL45" s="4678"/>
      <c r="BM45" s="4679"/>
      <c r="BN45" s="1047" t="s">
        <v>4667</v>
      </c>
      <c r="BO45" s="1047" t="s">
        <v>4668</v>
      </c>
      <c r="BP45" s="1047" t="s">
        <v>4669</v>
      </c>
      <c r="BQ45" s="1047" t="s">
        <v>4670</v>
      </c>
      <c r="BR45" s="1047" t="s">
        <v>4671</v>
      </c>
      <c r="BS45" s="1048" t="s">
        <v>4672</v>
      </c>
      <c r="BT45" s="4653" t="s">
        <v>4673</v>
      </c>
      <c r="BU45" s="4654"/>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3448</v>
      </c>
      <c r="DW46" s="1524" t="s">
        <v>3434</v>
      </c>
      <c r="DX46" s="1525" t="s">
        <v>8176</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53" t="s">
        <v>4674</v>
      </c>
      <c r="BU47" s="4654"/>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70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57" t="s">
        <v>4675</v>
      </c>
      <c r="U48" s="4658"/>
      <c r="V48" s="4658"/>
      <c r="W48" s="4658"/>
      <c r="X48" s="4658"/>
      <c r="Y48" s="4658"/>
      <c r="Z48" s="4658"/>
      <c r="AA48" s="4658"/>
      <c r="AB48" s="4658"/>
      <c r="AC48" s="4658"/>
      <c r="AD48" s="4658"/>
      <c r="AE48" s="4658"/>
      <c r="AF48" s="4658"/>
      <c r="AG48" s="4658"/>
      <c r="AH48" s="4658"/>
      <c r="AI48" s="4658"/>
      <c r="AJ48" s="4658"/>
      <c r="AK48" s="4658"/>
      <c r="AL48" s="4658"/>
      <c r="AM48" s="4658"/>
      <c r="AN48" s="4658"/>
      <c r="AO48" s="4658"/>
      <c r="AP48" s="4658"/>
      <c r="AQ48" s="4658"/>
      <c r="AR48" s="4658"/>
      <c r="AS48" s="4658"/>
      <c r="AT48" s="4658"/>
      <c r="AU48" s="4658"/>
      <c r="AV48" s="4658"/>
      <c r="AW48" s="4658"/>
      <c r="AX48" s="4658"/>
      <c r="AY48" s="4658"/>
      <c r="AZ48" s="4658"/>
      <c r="BA48" s="4658"/>
      <c r="BB48" s="4658"/>
      <c r="BC48" s="4658"/>
      <c r="BD48" s="4658"/>
      <c r="BE48" s="4658"/>
      <c r="BF48" s="4658"/>
      <c r="BG48" s="4658"/>
      <c r="BH48" s="4658"/>
      <c r="BI48" s="4658"/>
      <c r="BJ48" s="4658"/>
      <c r="BK48" s="4659"/>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7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77"/>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701"/>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60"/>
      <c r="U49" s="4661"/>
      <c r="V49" s="2372" t="str">
        <f>IF(OR(V47=0,V47=""),"N/A",V47)</f>
        <v>N/A</v>
      </c>
      <c r="W49" s="4660" t="str">
        <f xml:space="preserve"> IF(OR(AF47=0,AF47=""),"N/A",W47)</f>
        <v>N/A</v>
      </c>
      <c r="X49" s="4662"/>
      <c r="Y49" s="4662"/>
      <c r="Z49" s="4662"/>
      <c r="AA49" s="4662"/>
      <c r="AB49" s="4662"/>
      <c r="AC49" s="4662"/>
      <c r="AD49" s="4662"/>
      <c r="AE49" s="4662"/>
      <c r="AF49" s="4661"/>
      <c r="AG49" s="4660" t="str">
        <f xml:space="preserve"> IF(OR(AP47="",AP47=0),"N/A",AG47)</f>
        <v>N/A</v>
      </c>
      <c r="AH49" s="4662"/>
      <c r="AI49" s="4662"/>
      <c r="AJ49" s="4662"/>
      <c r="AK49" s="4662"/>
      <c r="AL49" s="4662"/>
      <c r="AM49" s="4662"/>
      <c r="AN49" s="4662"/>
      <c r="AO49" s="4662"/>
      <c r="AP49" s="4661"/>
      <c r="AQ49" s="4660" t="str">
        <f xml:space="preserve"> IF(OR(AZ47="",AZ47=0),"N/A",AQ47)</f>
        <v>N/A</v>
      </c>
      <c r="AR49" s="4662"/>
      <c r="AS49" s="4662"/>
      <c r="AT49" s="4662"/>
      <c r="AU49" s="4662"/>
      <c r="AV49" s="4662"/>
      <c r="AW49" s="4662"/>
      <c r="AX49" s="4662"/>
      <c r="AY49" s="4662"/>
      <c r="AZ49" s="4661"/>
      <c r="BA49" s="4660" t="str">
        <f xml:space="preserve"> IF(OR(BJ47="",BJ47=0),"N/A",BA47)</f>
        <v>N/A</v>
      </c>
      <c r="BB49" s="4662"/>
      <c r="BC49" s="4662"/>
      <c r="BD49" s="4662"/>
      <c r="BE49" s="4662"/>
      <c r="BF49" s="4662"/>
      <c r="BG49" s="4662"/>
      <c r="BH49" s="4662"/>
      <c r="BI49" s="4662"/>
      <c r="BJ49" s="4661"/>
      <c r="BK49" s="1085" t="s">
        <v>4676</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701"/>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74" t="s">
        <v>4677</v>
      </c>
      <c r="U50" s="4675"/>
      <c r="V50" s="2373"/>
      <c r="W50" s="4643"/>
      <c r="X50" s="4644"/>
      <c r="Y50" s="4644"/>
      <c r="Z50" s="4644"/>
      <c r="AA50" s="4644"/>
      <c r="AB50" s="4644"/>
      <c r="AC50" s="4644"/>
      <c r="AD50" s="4644"/>
      <c r="AE50" s="4644"/>
      <c r="AF50" s="4645"/>
      <c r="AG50" s="4643"/>
      <c r="AH50" s="4644"/>
      <c r="AI50" s="4644"/>
      <c r="AJ50" s="4644"/>
      <c r="AK50" s="4644"/>
      <c r="AL50" s="4644"/>
      <c r="AM50" s="4644"/>
      <c r="AN50" s="4644"/>
      <c r="AO50" s="4644"/>
      <c r="AP50" s="4645"/>
      <c r="AQ50" s="4643"/>
      <c r="AR50" s="4644"/>
      <c r="AS50" s="4644"/>
      <c r="AT50" s="4644"/>
      <c r="AU50" s="4644"/>
      <c r="AV50" s="4644"/>
      <c r="AW50" s="4644"/>
      <c r="AX50" s="4644"/>
      <c r="AY50" s="4644"/>
      <c r="AZ50" s="4645"/>
      <c r="BA50" s="4643"/>
      <c r="BB50" s="4644"/>
      <c r="BC50" s="4644"/>
      <c r="BD50" s="4644"/>
      <c r="BE50" s="4644"/>
      <c r="BF50" s="4644"/>
      <c r="BG50" s="4644"/>
      <c r="BH50" s="4644"/>
      <c r="BI50" s="4644"/>
      <c r="BJ50" s="4645"/>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53" t="s">
        <v>4678</v>
      </c>
      <c r="BU50" s="4654"/>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701"/>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63" t="s">
        <v>4679</v>
      </c>
      <c r="U51" s="4664"/>
      <c r="V51" s="2371"/>
      <c r="W51" s="4665"/>
      <c r="X51" s="4666"/>
      <c r="Y51" s="4666"/>
      <c r="Z51" s="4666"/>
      <c r="AA51" s="4666"/>
      <c r="AB51" s="4666"/>
      <c r="AC51" s="4666"/>
      <c r="AD51" s="4666"/>
      <c r="AE51" s="4666"/>
      <c r="AF51" s="4667"/>
      <c r="AG51" s="4665"/>
      <c r="AH51" s="4666"/>
      <c r="AI51" s="4666"/>
      <c r="AJ51" s="4666"/>
      <c r="AK51" s="4666"/>
      <c r="AL51" s="4666"/>
      <c r="AM51" s="4666"/>
      <c r="AN51" s="4666"/>
      <c r="AO51" s="4666"/>
      <c r="AP51" s="4667"/>
      <c r="AQ51" s="4665"/>
      <c r="AR51" s="4666"/>
      <c r="AS51" s="4666"/>
      <c r="AT51" s="4666"/>
      <c r="AU51" s="4666"/>
      <c r="AV51" s="4666"/>
      <c r="AW51" s="4666"/>
      <c r="AX51" s="4666"/>
      <c r="AY51" s="4666"/>
      <c r="AZ51" s="4667"/>
      <c r="BA51" s="4665"/>
      <c r="BB51" s="4666"/>
      <c r="BC51" s="4666"/>
      <c r="BD51" s="4666"/>
      <c r="BE51" s="4666"/>
      <c r="BF51" s="4666"/>
      <c r="BG51" s="4666"/>
      <c r="BH51" s="4666"/>
      <c r="BI51" s="4666"/>
      <c r="BJ51" s="4667"/>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5" t="s">
        <v>1693</v>
      </c>
      <c r="BU51" s="4656"/>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701"/>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53" t="s">
        <v>4680</v>
      </c>
      <c r="BU52" s="4654"/>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5" t="s">
        <v>4660</v>
      </c>
      <c r="BU53" s="4656"/>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57" t="s">
        <v>4675</v>
      </c>
      <c r="U54" s="4658"/>
      <c r="V54" s="4658"/>
      <c r="W54" s="4658"/>
      <c r="X54" s="4658"/>
      <c r="Y54" s="4658"/>
      <c r="Z54" s="4658"/>
      <c r="AA54" s="4658"/>
      <c r="AB54" s="4658"/>
      <c r="AC54" s="4658"/>
      <c r="AD54" s="4658"/>
      <c r="AE54" s="4658"/>
      <c r="AF54" s="4658"/>
      <c r="AG54" s="4658"/>
      <c r="AH54" s="4658"/>
      <c r="AI54" s="4658"/>
      <c r="AJ54" s="4658"/>
      <c r="AK54" s="4658"/>
      <c r="AL54" s="4658"/>
      <c r="AM54" s="4658"/>
      <c r="AN54" s="4658"/>
      <c r="AO54" s="4658"/>
      <c r="AP54" s="4658"/>
      <c r="AQ54" s="4658"/>
      <c r="AR54" s="4658"/>
      <c r="AS54" s="4658"/>
      <c r="AT54" s="4658"/>
      <c r="AU54" s="4658"/>
      <c r="AV54" s="4658"/>
      <c r="AW54" s="4658"/>
      <c r="AX54" s="4658"/>
      <c r="AY54" s="4658"/>
      <c r="AZ54" s="4658"/>
      <c r="BA54" s="4658"/>
      <c r="BB54" s="4658"/>
      <c r="BC54" s="4658"/>
      <c r="BD54" s="4658"/>
      <c r="BE54" s="4658"/>
      <c r="BF54" s="4658"/>
      <c r="BG54" s="4658"/>
      <c r="BH54" s="4658"/>
      <c r="BI54" s="4658"/>
      <c r="BJ54" s="4658"/>
      <c r="BK54" s="4659"/>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53" t="s">
        <v>4681</v>
      </c>
      <c r="BU54" s="4654"/>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60"/>
      <c r="U55" s="4661"/>
      <c r="V55" s="2372" t="str">
        <f>IF(OR(V53=0,V53=""),"N/A",V53)</f>
        <v>N/A</v>
      </c>
      <c r="W55" s="4660" t="str">
        <f xml:space="preserve"> IF(OR(AF53=0,AF53=""),"N/A",W53)</f>
        <v>N/A</v>
      </c>
      <c r="X55" s="4662"/>
      <c r="Y55" s="4662"/>
      <c r="Z55" s="4662"/>
      <c r="AA55" s="4662"/>
      <c r="AB55" s="4662"/>
      <c r="AC55" s="4662"/>
      <c r="AD55" s="4662"/>
      <c r="AE55" s="4662"/>
      <c r="AF55" s="4661"/>
      <c r="AG55" s="4660" t="str">
        <f xml:space="preserve"> IF(OR(AP53="",AP53=0),"N/A",AG53)</f>
        <v>N/A</v>
      </c>
      <c r="AH55" s="4662"/>
      <c r="AI55" s="4662"/>
      <c r="AJ55" s="4662"/>
      <c r="AK55" s="4662"/>
      <c r="AL55" s="4662"/>
      <c r="AM55" s="4662"/>
      <c r="AN55" s="4662"/>
      <c r="AO55" s="4662"/>
      <c r="AP55" s="4661"/>
      <c r="AQ55" s="4660" t="str">
        <f xml:space="preserve"> IF(OR(AZ53="",AZ53=0),"N/A",AQ53)</f>
        <v>N/A</v>
      </c>
      <c r="AR55" s="4662"/>
      <c r="AS55" s="4662"/>
      <c r="AT55" s="4662"/>
      <c r="AU55" s="4662"/>
      <c r="AV55" s="4662"/>
      <c r="AW55" s="4662"/>
      <c r="AX55" s="4662"/>
      <c r="AY55" s="4662"/>
      <c r="AZ55" s="4661"/>
      <c r="BA55" s="4660" t="str">
        <f xml:space="preserve"> IF(OR(BJ53="",BJ53=0),"N/A",BA53)</f>
        <v>N/A</v>
      </c>
      <c r="BB55" s="4662"/>
      <c r="BC55" s="4662"/>
      <c r="BD55" s="4662"/>
      <c r="BE55" s="4662"/>
      <c r="BF55" s="4662"/>
      <c r="BG55" s="4662"/>
      <c r="BH55" s="4662"/>
      <c r="BI55" s="4662"/>
      <c r="BJ55" s="4661"/>
      <c r="BK55" s="1085" t="s">
        <v>4676</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5" t="s">
        <v>4654</v>
      </c>
      <c r="BU55" s="4656"/>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74" t="s">
        <v>4677</v>
      </c>
      <c r="U56" s="4675"/>
      <c r="V56" s="2373"/>
      <c r="W56" s="4643"/>
      <c r="X56" s="4644"/>
      <c r="Y56" s="4644"/>
      <c r="Z56" s="4644"/>
      <c r="AA56" s="4644"/>
      <c r="AB56" s="4644"/>
      <c r="AC56" s="4644"/>
      <c r="AD56" s="4644"/>
      <c r="AE56" s="4644"/>
      <c r="AF56" s="4645"/>
      <c r="AG56" s="4643"/>
      <c r="AH56" s="4644"/>
      <c r="AI56" s="4644"/>
      <c r="AJ56" s="4644"/>
      <c r="AK56" s="4644"/>
      <c r="AL56" s="4644"/>
      <c r="AM56" s="4644"/>
      <c r="AN56" s="4644"/>
      <c r="AO56" s="4644"/>
      <c r="AP56" s="4645"/>
      <c r="AQ56" s="4643"/>
      <c r="AR56" s="4644"/>
      <c r="AS56" s="4644"/>
      <c r="AT56" s="4644"/>
      <c r="AU56" s="4644"/>
      <c r="AV56" s="4644"/>
      <c r="AW56" s="4644"/>
      <c r="AX56" s="4644"/>
      <c r="AY56" s="4644"/>
      <c r="AZ56" s="4645"/>
      <c r="BA56" s="4643"/>
      <c r="BB56" s="4644"/>
      <c r="BC56" s="4644"/>
      <c r="BD56" s="4644"/>
      <c r="BE56" s="4644"/>
      <c r="BF56" s="4644"/>
      <c r="BG56" s="4644"/>
      <c r="BH56" s="4644"/>
      <c r="BI56" s="4644"/>
      <c r="BJ56" s="4645"/>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41" t="s">
        <v>4682</v>
      </c>
      <c r="BU56" s="4642"/>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63" t="s">
        <v>4679</v>
      </c>
      <c r="U57" s="4664"/>
      <c r="V57" s="2371"/>
      <c r="W57" s="4665"/>
      <c r="X57" s="4666"/>
      <c r="Y57" s="4666"/>
      <c r="Z57" s="4666"/>
      <c r="AA57" s="4666"/>
      <c r="AB57" s="4666"/>
      <c r="AC57" s="4666"/>
      <c r="AD57" s="4666"/>
      <c r="AE57" s="4666"/>
      <c r="AF57" s="4667"/>
      <c r="AG57" s="4665"/>
      <c r="AH57" s="4666"/>
      <c r="AI57" s="4666"/>
      <c r="AJ57" s="4666"/>
      <c r="AK57" s="4666"/>
      <c r="AL57" s="4666"/>
      <c r="AM57" s="4666"/>
      <c r="AN57" s="4666"/>
      <c r="AO57" s="4666"/>
      <c r="AP57" s="4667"/>
      <c r="AQ57" s="4665"/>
      <c r="AR57" s="4666"/>
      <c r="AS57" s="4666"/>
      <c r="AT57" s="4666"/>
      <c r="AU57" s="4666"/>
      <c r="AV57" s="4666"/>
      <c r="AW57" s="4666"/>
      <c r="AX57" s="4666"/>
      <c r="AY57" s="4666"/>
      <c r="AZ57" s="4667"/>
      <c r="BA57" s="4665"/>
      <c r="BB57" s="4666"/>
      <c r="BC57" s="4666"/>
      <c r="BD57" s="4666"/>
      <c r="BE57" s="4666"/>
      <c r="BF57" s="4666"/>
      <c r="BG57" s="4666"/>
      <c r="BH57" s="4666"/>
      <c r="BI57" s="4666"/>
      <c r="BJ57" s="4667"/>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47"/>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47"/>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4683</v>
      </c>
      <c r="BV59" s="1049"/>
      <c r="BW59" s="2365" t="s">
        <v>4684</v>
      </c>
      <c r="BX59" s="2364" t="s">
        <v>4685</v>
      </c>
      <c r="BY59" s="1397" t="s">
        <v>4685</v>
      </c>
      <c r="BZ59" s="4647"/>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57" t="s">
        <v>4675</v>
      </c>
      <c r="U60" s="4658"/>
      <c r="V60" s="4658"/>
      <c r="W60" s="4658"/>
      <c r="X60" s="4658"/>
      <c r="Y60" s="4658"/>
      <c r="Z60" s="4658"/>
      <c r="AA60" s="4658"/>
      <c r="AB60" s="4658"/>
      <c r="AC60" s="4658"/>
      <c r="AD60" s="4658"/>
      <c r="AE60" s="4658"/>
      <c r="AF60" s="4658"/>
      <c r="AG60" s="4658"/>
      <c r="AH60" s="4658"/>
      <c r="AI60" s="4658"/>
      <c r="AJ60" s="4658"/>
      <c r="AK60" s="4658"/>
      <c r="AL60" s="4658"/>
      <c r="AM60" s="4658"/>
      <c r="AN60" s="4658"/>
      <c r="AO60" s="4658"/>
      <c r="AP60" s="4658"/>
      <c r="AQ60" s="4658"/>
      <c r="AR60" s="4658"/>
      <c r="AS60" s="4658"/>
      <c r="AT60" s="4658"/>
      <c r="AU60" s="4658"/>
      <c r="AV60" s="4658"/>
      <c r="AW60" s="4658"/>
      <c r="AX60" s="4658"/>
      <c r="AY60" s="4658"/>
      <c r="AZ60" s="4658"/>
      <c r="BA60" s="4658"/>
      <c r="BB60" s="4658"/>
      <c r="BC60" s="4658"/>
      <c r="BD60" s="4658"/>
      <c r="BE60" s="4658"/>
      <c r="BF60" s="4658"/>
      <c r="BG60" s="4658"/>
      <c r="BH60" s="4658"/>
      <c r="BI60" s="4658"/>
      <c r="BJ60" s="4658"/>
      <c r="BK60" s="4659"/>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60"/>
      <c r="U61" s="4661"/>
      <c r="V61" s="2372" t="str">
        <f>IF(OR(V59=0,V59=""),"N/A",V59)</f>
        <v>N/A</v>
      </c>
      <c r="W61" s="4660" t="str">
        <f xml:space="preserve"> IF(OR(AF59=0,AF59=""),"N/A",W59)</f>
        <v>N/A</v>
      </c>
      <c r="X61" s="4662"/>
      <c r="Y61" s="4662"/>
      <c r="Z61" s="4662"/>
      <c r="AA61" s="4662"/>
      <c r="AB61" s="4662"/>
      <c r="AC61" s="4662"/>
      <c r="AD61" s="4662"/>
      <c r="AE61" s="4662"/>
      <c r="AF61" s="4661"/>
      <c r="AG61" s="4660" t="str">
        <f xml:space="preserve"> IF(OR(AP59="",AP59=0),"N/A",AG59)</f>
        <v>N/A</v>
      </c>
      <c r="AH61" s="4662"/>
      <c r="AI61" s="4662"/>
      <c r="AJ61" s="4662"/>
      <c r="AK61" s="4662"/>
      <c r="AL61" s="4662"/>
      <c r="AM61" s="4662"/>
      <c r="AN61" s="4662"/>
      <c r="AO61" s="4662"/>
      <c r="AP61" s="4661"/>
      <c r="AQ61" s="4660" t="str">
        <f xml:space="preserve"> IF(OR(AZ59="",AZ59=0),"N/A",AQ59)</f>
        <v>N/A</v>
      </c>
      <c r="AR61" s="4662"/>
      <c r="AS61" s="4662"/>
      <c r="AT61" s="4662"/>
      <c r="AU61" s="4662"/>
      <c r="AV61" s="4662"/>
      <c r="AW61" s="4662"/>
      <c r="AX61" s="4662"/>
      <c r="AY61" s="4662"/>
      <c r="AZ61" s="4661"/>
      <c r="BA61" s="4660" t="str">
        <f xml:space="preserve"> IF(OR(BJ59="",BJ59=0),"N/A",BA59)</f>
        <v>N/A</v>
      </c>
      <c r="BB61" s="4662"/>
      <c r="BC61" s="4662"/>
      <c r="BD61" s="4662"/>
      <c r="BE61" s="4662"/>
      <c r="BF61" s="4662"/>
      <c r="BG61" s="4662"/>
      <c r="BH61" s="4662"/>
      <c r="BI61" s="4662"/>
      <c r="BJ61" s="4661"/>
      <c r="BK61" s="1085" t="s">
        <v>4676</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4683</v>
      </c>
      <c r="BV61" s="1049"/>
      <c r="BW61" s="2365" t="s">
        <v>4684</v>
      </c>
      <c r="BX61" s="2364" t="s">
        <v>4685</v>
      </c>
      <c r="BY61" s="1398" t="s">
        <v>4685</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74" t="s">
        <v>4677</v>
      </c>
      <c r="U62" s="4675"/>
      <c r="V62" s="2373"/>
      <c r="W62" s="4643"/>
      <c r="X62" s="4644"/>
      <c r="Y62" s="4644"/>
      <c r="Z62" s="4644"/>
      <c r="AA62" s="4644"/>
      <c r="AB62" s="4644"/>
      <c r="AC62" s="4644"/>
      <c r="AD62" s="4644"/>
      <c r="AE62" s="4644"/>
      <c r="AF62" s="4645"/>
      <c r="AG62" s="4643"/>
      <c r="AH62" s="4644"/>
      <c r="AI62" s="4644"/>
      <c r="AJ62" s="4644"/>
      <c r="AK62" s="4644"/>
      <c r="AL62" s="4644"/>
      <c r="AM62" s="4644"/>
      <c r="AN62" s="4644"/>
      <c r="AO62" s="4644"/>
      <c r="AP62" s="4645"/>
      <c r="AQ62" s="4643"/>
      <c r="AR62" s="4644"/>
      <c r="AS62" s="4644"/>
      <c r="AT62" s="4644"/>
      <c r="AU62" s="4644"/>
      <c r="AV62" s="4644"/>
      <c r="AW62" s="4644"/>
      <c r="AX62" s="4644"/>
      <c r="AY62" s="4644"/>
      <c r="AZ62" s="4645"/>
      <c r="BA62" s="4643"/>
      <c r="BB62" s="4644"/>
      <c r="BC62" s="4644"/>
      <c r="BD62" s="4644"/>
      <c r="BE62" s="4644"/>
      <c r="BF62" s="4644"/>
      <c r="BG62" s="4644"/>
      <c r="BH62" s="4644"/>
      <c r="BI62" s="4644"/>
      <c r="BJ62" s="4645"/>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63" t="s">
        <v>4679</v>
      </c>
      <c r="U63" s="4664"/>
      <c r="V63" s="2371"/>
      <c r="W63" s="4665"/>
      <c r="X63" s="4666"/>
      <c r="Y63" s="4666"/>
      <c r="Z63" s="4666"/>
      <c r="AA63" s="4666"/>
      <c r="AB63" s="4666"/>
      <c r="AC63" s="4666"/>
      <c r="AD63" s="4666"/>
      <c r="AE63" s="4666"/>
      <c r="AF63" s="4667"/>
      <c r="AG63" s="4665"/>
      <c r="AH63" s="4666"/>
      <c r="AI63" s="4666"/>
      <c r="AJ63" s="4666"/>
      <c r="AK63" s="4666"/>
      <c r="AL63" s="4666"/>
      <c r="AM63" s="4666"/>
      <c r="AN63" s="4666"/>
      <c r="AO63" s="4666"/>
      <c r="AP63" s="4667"/>
      <c r="AQ63" s="4665"/>
      <c r="AR63" s="4666"/>
      <c r="AS63" s="4666"/>
      <c r="AT63" s="4666"/>
      <c r="AU63" s="4666"/>
      <c r="AV63" s="4666"/>
      <c r="AW63" s="4666"/>
      <c r="AX63" s="4666"/>
      <c r="AY63" s="4666"/>
      <c r="AZ63" s="4667"/>
      <c r="BA63" s="4665"/>
      <c r="BB63" s="4666"/>
      <c r="BC63" s="4666"/>
      <c r="BD63" s="4666"/>
      <c r="BE63" s="4666"/>
      <c r="BF63" s="4666"/>
      <c r="BG63" s="4666"/>
      <c r="BH63" s="4666"/>
      <c r="BI63" s="4666"/>
      <c r="BJ63" s="4667"/>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4683</v>
      </c>
      <c r="BV63" s="1049"/>
      <c r="BW63" s="2365" t="s">
        <v>4684</v>
      </c>
      <c r="BX63" s="2364" t="s">
        <v>4685</v>
      </c>
      <c r="BY63" s="1398" t="s">
        <v>4685</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4683</v>
      </c>
      <c r="BV65" s="1049"/>
      <c r="BW65" s="2365" t="s">
        <v>4684</v>
      </c>
      <c r="BX65" s="2364" t="s">
        <v>4685</v>
      </c>
      <c r="BY65" s="1398" t="s">
        <v>4685</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57" t="s">
        <v>4675</v>
      </c>
      <c r="U66" s="4658"/>
      <c r="V66" s="4658"/>
      <c r="W66" s="4658"/>
      <c r="X66" s="4658"/>
      <c r="Y66" s="4658"/>
      <c r="Z66" s="4658"/>
      <c r="AA66" s="4658"/>
      <c r="AB66" s="4658"/>
      <c r="AC66" s="4658"/>
      <c r="AD66" s="4658"/>
      <c r="AE66" s="4658"/>
      <c r="AF66" s="4658"/>
      <c r="AG66" s="4658"/>
      <c r="AH66" s="4658"/>
      <c r="AI66" s="4658"/>
      <c r="AJ66" s="4658"/>
      <c r="AK66" s="4658"/>
      <c r="AL66" s="4658"/>
      <c r="AM66" s="4658"/>
      <c r="AN66" s="4658"/>
      <c r="AO66" s="4658"/>
      <c r="AP66" s="4658"/>
      <c r="AQ66" s="4658"/>
      <c r="AR66" s="4658"/>
      <c r="AS66" s="4658"/>
      <c r="AT66" s="4658"/>
      <c r="AU66" s="4658"/>
      <c r="AV66" s="4658"/>
      <c r="AW66" s="4658"/>
      <c r="AX66" s="4658"/>
      <c r="AY66" s="4658"/>
      <c r="AZ66" s="4658"/>
      <c r="BA66" s="4658"/>
      <c r="BB66" s="4658"/>
      <c r="BC66" s="4658"/>
      <c r="BD66" s="4658"/>
      <c r="BE66" s="4658"/>
      <c r="BF66" s="4658"/>
      <c r="BG66" s="4658"/>
      <c r="BH66" s="4658"/>
      <c r="BI66" s="4658"/>
      <c r="BJ66" s="4658"/>
      <c r="BK66" s="4659"/>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60"/>
      <c r="U67" s="4661"/>
      <c r="V67" s="2372" t="str">
        <f>IF(OR(V65=0,V65=""),"N/A",V65)</f>
        <v>N/A</v>
      </c>
      <c r="W67" s="4660" t="str">
        <f xml:space="preserve"> IF(OR(AF65=0,AF65=""),"N/A",W65)</f>
        <v>N/A</v>
      </c>
      <c r="X67" s="4662"/>
      <c r="Y67" s="4662"/>
      <c r="Z67" s="4662"/>
      <c r="AA67" s="4662"/>
      <c r="AB67" s="4662"/>
      <c r="AC67" s="4662"/>
      <c r="AD67" s="4662"/>
      <c r="AE67" s="4662"/>
      <c r="AF67" s="4661"/>
      <c r="AG67" s="4660" t="str">
        <f xml:space="preserve"> IF(OR(AP65="",AP65=0),"N/A",AG65)</f>
        <v>N/A</v>
      </c>
      <c r="AH67" s="4662"/>
      <c r="AI67" s="4662"/>
      <c r="AJ67" s="4662"/>
      <c r="AK67" s="4662"/>
      <c r="AL67" s="4662"/>
      <c r="AM67" s="4662"/>
      <c r="AN67" s="4662"/>
      <c r="AO67" s="4662"/>
      <c r="AP67" s="4661"/>
      <c r="AQ67" s="4660" t="str">
        <f xml:space="preserve"> IF(OR(AZ65="",AZ65=0),"N/A",AQ65)</f>
        <v>N/A</v>
      </c>
      <c r="AR67" s="4662"/>
      <c r="AS67" s="4662"/>
      <c r="AT67" s="4662"/>
      <c r="AU67" s="4662"/>
      <c r="AV67" s="4662"/>
      <c r="AW67" s="4662"/>
      <c r="AX67" s="4662"/>
      <c r="AY67" s="4662"/>
      <c r="AZ67" s="4661"/>
      <c r="BA67" s="4660" t="str">
        <f xml:space="preserve"> IF(OR(BJ65="",BJ65=0),"N/A",BA65)</f>
        <v>N/A</v>
      </c>
      <c r="BB67" s="4662"/>
      <c r="BC67" s="4662"/>
      <c r="BD67" s="4662"/>
      <c r="BE67" s="4662"/>
      <c r="BF67" s="4662"/>
      <c r="BG67" s="4662"/>
      <c r="BH67" s="4662"/>
      <c r="BI67" s="4662"/>
      <c r="BJ67" s="4661"/>
      <c r="BK67" s="1085" t="s">
        <v>4676</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4683</v>
      </c>
      <c r="BV67" s="1049"/>
      <c r="BW67" s="2365" t="s">
        <v>4684</v>
      </c>
      <c r="BX67" s="2364" t="s">
        <v>4685</v>
      </c>
      <c r="BY67" s="1398" t="s">
        <v>4685</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74" t="s">
        <v>4677</v>
      </c>
      <c r="U68" s="4675"/>
      <c r="V68" s="2373"/>
      <c r="W68" s="4643"/>
      <c r="X68" s="4644"/>
      <c r="Y68" s="4644"/>
      <c r="Z68" s="4644"/>
      <c r="AA68" s="4644"/>
      <c r="AB68" s="4644"/>
      <c r="AC68" s="4644"/>
      <c r="AD68" s="4644"/>
      <c r="AE68" s="4644"/>
      <c r="AF68" s="4645"/>
      <c r="AG68" s="4643"/>
      <c r="AH68" s="4644"/>
      <c r="AI68" s="4644"/>
      <c r="AJ68" s="4644"/>
      <c r="AK68" s="4644"/>
      <c r="AL68" s="4644"/>
      <c r="AM68" s="4644"/>
      <c r="AN68" s="4644"/>
      <c r="AO68" s="4644"/>
      <c r="AP68" s="4645"/>
      <c r="AQ68" s="4643"/>
      <c r="AR68" s="4644"/>
      <c r="AS68" s="4644"/>
      <c r="AT68" s="4644"/>
      <c r="AU68" s="4644"/>
      <c r="AV68" s="4644"/>
      <c r="AW68" s="4644"/>
      <c r="AX68" s="4644"/>
      <c r="AY68" s="4644"/>
      <c r="AZ68" s="4645"/>
      <c r="BA68" s="4643"/>
      <c r="BB68" s="4644"/>
      <c r="BC68" s="4644"/>
      <c r="BD68" s="4644"/>
      <c r="BE68" s="4644"/>
      <c r="BF68" s="4644"/>
      <c r="BG68" s="4644"/>
      <c r="BH68" s="4644"/>
      <c r="BI68" s="4644"/>
      <c r="BJ68" s="4645"/>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63" t="s">
        <v>4679</v>
      </c>
      <c r="U69" s="4664"/>
      <c r="V69" s="2371"/>
      <c r="W69" s="4665"/>
      <c r="X69" s="4666"/>
      <c r="Y69" s="4666"/>
      <c r="Z69" s="4666"/>
      <c r="AA69" s="4666"/>
      <c r="AB69" s="4666"/>
      <c r="AC69" s="4666"/>
      <c r="AD69" s="4666"/>
      <c r="AE69" s="4666"/>
      <c r="AF69" s="4667"/>
      <c r="AG69" s="4665"/>
      <c r="AH69" s="4666"/>
      <c r="AI69" s="4666"/>
      <c r="AJ69" s="4666"/>
      <c r="AK69" s="4666"/>
      <c r="AL69" s="4666"/>
      <c r="AM69" s="4666"/>
      <c r="AN69" s="4666"/>
      <c r="AO69" s="4666"/>
      <c r="AP69" s="4667"/>
      <c r="AQ69" s="4665"/>
      <c r="AR69" s="4666"/>
      <c r="AS69" s="4666"/>
      <c r="AT69" s="4666"/>
      <c r="AU69" s="4666"/>
      <c r="AV69" s="4666"/>
      <c r="AW69" s="4666"/>
      <c r="AX69" s="4666"/>
      <c r="AY69" s="4666"/>
      <c r="AZ69" s="4667"/>
      <c r="BA69" s="4665"/>
      <c r="BB69" s="4666"/>
      <c r="BC69" s="4666"/>
      <c r="BD69" s="4666"/>
      <c r="BE69" s="4666"/>
      <c r="BF69" s="4666"/>
      <c r="BG69" s="4666"/>
      <c r="BH69" s="4666"/>
      <c r="BI69" s="4666"/>
      <c r="BJ69" s="4667"/>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4683</v>
      </c>
      <c r="BV69" s="1049"/>
      <c r="BW69" s="2365" t="s">
        <v>4684</v>
      </c>
      <c r="BX69" s="2364" t="s">
        <v>4685</v>
      </c>
      <c r="BY69" s="1398" t="s">
        <v>4685</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6"/>
      <c r="BV71" s="4646"/>
      <c r="BW71" s="4646"/>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57" t="s">
        <v>4675</v>
      </c>
      <c r="U72" s="4658"/>
      <c r="V72" s="4658"/>
      <c r="W72" s="4658"/>
      <c r="X72" s="4658"/>
      <c r="Y72" s="4658"/>
      <c r="Z72" s="4658"/>
      <c r="AA72" s="4658"/>
      <c r="AB72" s="4658"/>
      <c r="AC72" s="4658"/>
      <c r="AD72" s="4658"/>
      <c r="AE72" s="4658"/>
      <c r="AF72" s="4658"/>
      <c r="AG72" s="4658"/>
      <c r="AH72" s="4658"/>
      <c r="AI72" s="4658"/>
      <c r="AJ72" s="4658"/>
      <c r="AK72" s="4658"/>
      <c r="AL72" s="4658"/>
      <c r="AM72" s="4658"/>
      <c r="AN72" s="4658"/>
      <c r="AO72" s="4658"/>
      <c r="AP72" s="4658"/>
      <c r="AQ72" s="4658"/>
      <c r="AR72" s="4658"/>
      <c r="AS72" s="4658"/>
      <c r="AT72" s="4658"/>
      <c r="AU72" s="4658"/>
      <c r="AV72" s="4658"/>
      <c r="AW72" s="4658"/>
      <c r="AX72" s="4658"/>
      <c r="AY72" s="4658"/>
      <c r="AZ72" s="4658"/>
      <c r="BA72" s="4658"/>
      <c r="BB72" s="4658"/>
      <c r="BC72" s="4658"/>
      <c r="BD72" s="4658"/>
      <c r="BE72" s="4658"/>
      <c r="BF72" s="4658"/>
      <c r="BG72" s="4658"/>
      <c r="BH72" s="4658"/>
      <c r="BI72" s="4658"/>
      <c r="BJ72" s="4658"/>
      <c r="BK72" s="4659"/>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60"/>
      <c r="U73" s="4661"/>
      <c r="V73" s="2372" t="str">
        <f>IF(OR(V71=0,V71=""),"N/A",V71)</f>
        <v>N/A</v>
      </c>
      <c r="W73" s="4660" t="str">
        <f xml:space="preserve"> IF(OR(AF71=0,AF71=""),"N/A",W71)</f>
        <v>N/A</v>
      </c>
      <c r="X73" s="4662"/>
      <c r="Y73" s="4662"/>
      <c r="Z73" s="4662"/>
      <c r="AA73" s="4662"/>
      <c r="AB73" s="4662"/>
      <c r="AC73" s="4662"/>
      <c r="AD73" s="4662"/>
      <c r="AE73" s="4662"/>
      <c r="AF73" s="4661"/>
      <c r="AG73" s="4660" t="str">
        <f xml:space="preserve"> IF(OR(AP71="",AP71=0),"N/A",AG71)</f>
        <v>N/A</v>
      </c>
      <c r="AH73" s="4662"/>
      <c r="AI73" s="4662"/>
      <c r="AJ73" s="4662"/>
      <c r="AK73" s="4662"/>
      <c r="AL73" s="4662"/>
      <c r="AM73" s="4662"/>
      <c r="AN73" s="4662"/>
      <c r="AO73" s="4662"/>
      <c r="AP73" s="4661"/>
      <c r="AQ73" s="4660" t="str">
        <f xml:space="preserve"> IF(OR(AZ71="",AZ71=0),"N/A",AQ71)</f>
        <v>N/A</v>
      </c>
      <c r="AR73" s="4662"/>
      <c r="AS73" s="4662"/>
      <c r="AT73" s="4662"/>
      <c r="AU73" s="4662"/>
      <c r="AV73" s="4662"/>
      <c r="AW73" s="4662"/>
      <c r="AX73" s="4662"/>
      <c r="AY73" s="4662"/>
      <c r="AZ73" s="4661"/>
      <c r="BA73" s="4660" t="str">
        <f xml:space="preserve"> IF(OR(BJ71="",BJ71=0),"N/A",BA71)</f>
        <v>N/A</v>
      </c>
      <c r="BB73" s="4662"/>
      <c r="BC73" s="4662"/>
      <c r="BD73" s="4662"/>
      <c r="BE73" s="4662"/>
      <c r="BF73" s="4662"/>
      <c r="BG73" s="4662"/>
      <c r="BH73" s="4662"/>
      <c r="BI73" s="4662"/>
      <c r="BJ73" s="4661"/>
      <c r="BK73" s="1085" t="s">
        <v>4676</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708"/>
      <c r="BV73" s="4708"/>
      <c r="BW73" s="4708"/>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74" t="s">
        <v>4677</v>
      </c>
      <c r="U74" s="4675"/>
      <c r="V74" s="2373"/>
      <c r="W74" s="4643"/>
      <c r="X74" s="4644"/>
      <c r="Y74" s="4644"/>
      <c r="Z74" s="4644"/>
      <c r="AA74" s="4644"/>
      <c r="AB74" s="4644"/>
      <c r="AC74" s="4644"/>
      <c r="AD74" s="4644"/>
      <c r="AE74" s="4644"/>
      <c r="AF74" s="4645"/>
      <c r="AG74" s="4643"/>
      <c r="AH74" s="4644"/>
      <c r="AI74" s="4644"/>
      <c r="AJ74" s="4644"/>
      <c r="AK74" s="4644"/>
      <c r="AL74" s="4644"/>
      <c r="AM74" s="4644"/>
      <c r="AN74" s="4644"/>
      <c r="AO74" s="4644"/>
      <c r="AP74" s="4645"/>
      <c r="AQ74" s="4643"/>
      <c r="AR74" s="4644"/>
      <c r="AS74" s="4644"/>
      <c r="AT74" s="4644"/>
      <c r="AU74" s="4644"/>
      <c r="AV74" s="4644"/>
      <c r="AW74" s="4644"/>
      <c r="AX74" s="4644"/>
      <c r="AY74" s="4644"/>
      <c r="AZ74" s="4645"/>
      <c r="BA74" s="4643"/>
      <c r="BB74" s="4644"/>
      <c r="BC74" s="4644"/>
      <c r="BD74" s="4644"/>
      <c r="BE74" s="4644"/>
      <c r="BF74" s="4644"/>
      <c r="BG74" s="4644"/>
      <c r="BH74" s="4644"/>
      <c r="BI74" s="4644"/>
      <c r="BJ74" s="4645"/>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68" t="s">
        <v>4679</v>
      </c>
      <c r="U75" s="4669"/>
      <c r="V75" s="2376"/>
      <c r="W75" s="4670"/>
      <c r="X75" s="4671"/>
      <c r="Y75" s="4671"/>
      <c r="Z75" s="4671"/>
      <c r="AA75" s="4671"/>
      <c r="AB75" s="4671"/>
      <c r="AC75" s="4671"/>
      <c r="AD75" s="4671"/>
      <c r="AE75" s="4671"/>
      <c r="AF75" s="4672"/>
      <c r="AG75" s="4670"/>
      <c r="AH75" s="4671"/>
      <c r="AI75" s="4671"/>
      <c r="AJ75" s="4671"/>
      <c r="AK75" s="4671"/>
      <c r="AL75" s="4671"/>
      <c r="AM75" s="4671"/>
      <c r="AN75" s="4671"/>
      <c r="AO75" s="4671"/>
      <c r="AP75" s="4672"/>
      <c r="AQ75" s="4670"/>
      <c r="AR75" s="4671"/>
      <c r="AS75" s="4671"/>
      <c r="AT75" s="4671"/>
      <c r="AU75" s="4671"/>
      <c r="AV75" s="4671"/>
      <c r="AW75" s="4671"/>
      <c r="AX75" s="4671"/>
      <c r="AY75" s="4671"/>
      <c r="AZ75" s="4672"/>
      <c r="BA75" s="4670"/>
      <c r="BB75" s="4671"/>
      <c r="BC75" s="4671"/>
      <c r="BD75" s="4671"/>
      <c r="BE75" s="4671"/>
      <c r="BF75" s="4671"/>
      <c r="BG75" s="4671"/>
      <c r="BH75" s="4671"/>
      <c r="BI75" s="4671"/>
      <c r="BJ75" s="4672"/>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4686</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73"/>
      <c r="BL76" s="4673"/>
      <c r="BM76" s="4642"/>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41" t="s">
        <v>4688</v>
      </c>
      <c r="BU76" s="4642"/>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4687</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48" t="str">
        <f>IF(OR(E77='Tablas Técnicas'!A$678,E77='Tablas Técnicas'!A$679,E78='Tablas Técnicas'!A$678,E78='Tablas Técnicas'!A$679,E79='Tablas Técnicas'!A$678,E79='Tablas Técnicas'!A$679),"Selecciona la atadura elemental:","")</f>
        <v/>
      </c>
      <c r="AH77" s="4649"/>
      <c r="AI77" s="4649"/>
      <c r="AJ77" s="4649"/>
      <c r="AK77" s="4649"/>
      <c r="AL77" s="4649"/>
      <c r="AM77" s="4649"/>
      <c r="AN77" s="4649"/>
      <c r="AO77" s="4649"/>
      <c r="AP77" s="4649"/>
      <c r="AQ77" s="4649"/>
      <c r="AR77" s="4649"/>
      <c r="AS77" s="4649"/>
      <c r="AT77" s="4649"/>
      <c r="AU77" s="4649"/>
      <c r="AV77" s="4649"/>
      <c r="AW77" s="4649"/>
      <c r="AX77" s="4649"/>
      <c r="AY77" s="4649"/>
      <c r="AZ77" s="4649"/>
      <c r="BA77" s="4649"/>
      <c r="BB77" s="4649"/>
      <c r="BC77" s="4649"/>
      <c r="BD77" s="4649"/>
      <c r="BE77" s="4649"/>
      <c r="BF77" s="4649"/>
      <c r="BG77" s="4649"/>
      <c r="BH77" s="4649"/>
      <c r="BI77" s="4649"/>
      <c r="BJ77" s="4649"/>
      <c r="BK77" s="4650"/>
      <c r="BL77" s="1540"/>
      <c r="BM77" s="1540"/>
      <c r="BN77" s="1084"/>
      <c r="BO77" s="1084"/>
      <c r="BP77" s="1117"/>
      <c r="BQ77" s="1084"/>
      <c r="BR77" s="1084"/>
      <c r="BS77" s="1084"/>
      <c r="BT77" s="4651">
        <f>D45</f>
        <v>1</v>
      </c>
      <c r="BU77" s="4652"/>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4689</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4690</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8173</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8541</v>
      </c>
      <c r="F82" s="1041" t="s">
        <v>1792</v>
      </c>
      <c r="G82" s="1042" t="s">
        <v>1793</v>
      </c>
      <c r="H82" s="1042" t="s">
        <v>1815</v>
      </c>
      <c r="I82" s="1043" t="s">
        <v>3467</v>
      </c>
      <c r="J82" s="1044"/>
      <c r="K82" s="1045"/>
      <c r="L82" s="1043" t="s">
        <v>3468</v>
      </c>
      <c r="M82" s="1044"/>
      <c r="N82" s="1045"/>
      <c r="O82" s="1043" t="s">
        <v>3469</v>
      </c>
      <c r="P82" s="1044"/>
      <c r="Q82" s="1045"/>
      <c r="R82" s="1046" t="s">
        <v>4666</v>
      </c>
      <c r="S82" s="1042" t="s">
        <v>3437</v>
      </c>
      <c r="T82" s="2368" t="s">
        <v>1711</v>
      </c>
      <c r="U82" s="2368" t="s">
        <v>1682</v>
      </c>
      <c r="V82" s="2368" t="s">
        <v>3470</v>
      </c>
      <c r="W82" s="4678" t="s">
        <v>3471</v>
      </c>
      <c r="X82" s="4678"/>
      <c r="Y82" s="4678"/>
      <c r="Z82" s="4678"/>
      <c r="AA82" s="4678"/>
      <c r="AB82" s="4678"/>
      <c r="AC82" s="4678"/>
      <c r="AD82" s="4678"/>
      <c r="AE82" s="4678"/>
      <c r="AF82" s="4678"/>
      <c r="AG82" s="4678"/>
      <c r="AH82" s="4678"/>
      <c r="AI82" s="4678"/>
      <c r="AJ82" s="4678"/>
      <c r="AK82" s="4678"/>
      <c r="AL82" s="4678"/>
      <c r="AM82" s="4678"/>
      <c r="AN82" s="4678"/>
      <c r="AO82" s="4678"/>
      <c r="AP82" s="4678"/>
      <c r="AQ82" s="4678"/>
      <c r="AR82" s="4678"/>
      <c r="AS82" s="4678"/>
      <c r="AT82" s="4678"/>
      <c r="AU82" s="4678"/>
      <c r="AV82" s="4678"/>
      <c r="AW82" s="4678"/>
      <c r="AX82" s="4678"/>
      <c r="AY82" s="4678"/>
      <c r="AZ82" s="4678"/>
      <c r="BA82" s="4678"/>
      <c r="BB82" s="4678"/>
      <c r="BC82" s="4678"/>
      <c r="BD82" s="4678"/>
      <c r="BE82" s="4678"/>
      <c r="BF82" s="4678"/>
      <c r="BG82" s="4678"/>
      <c r="BH82" s="4678"/>
      <c r="BI82" s="4678"/>
      <c r="BJ82" s="4678"/>
      <c r="BK82" s="4678" t="s">
        <v>3472</v>
      </c>
      <c r="BL82" s="4678"/>
      <c r="BM82" s="4679"/>
      <c r="BN82" s="1047" t="s">
        <v>4667</v>
      </c>
      <c r="BO82" s="1047" t="s">
        <v>4668</v>
      </c>
      <c r="BP82" s="1047" t="s">
        <v>4669</v>
      </c>
      <c r="BQ82" s="1047" t="s">
        <v>4670</v>
      </c>
      <c r="BR82" s="1047" t="s">
        <v>4671</v>
      </c>
      <c r="BS82" s="1048" t="s">
        <v>4672</v>
      </c>
      <c r="BT82" s="4653" t="s">
        <v>4673</v>
      </c>
      <c r="BU82" s="4654"/>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3448</v>
      </c>
      <c r="DW83" s="1524" t="s">
        <v>3434</v>
      </c>
      <c r="DX83" s="1525" t="s">
        <v>8176</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53" t="s">
        <v>4674</v>
      </c>
      <c r="BU84" s="4654"/>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70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57" t="s">
        <v>4675</v>
      </c>
      <c r="U85" s="4658"/>
      <c r="V85" s="4658"/>
      <c r="W85" s="4658"/>
      <c r="X85" s="4658"/>
      <c r="Y85" s="4658"/>
      <c r="Z85" s="4658"/>
      <c r="AA85" s="4658"/>
      <c r="AB85" s="4658"/>
      <c r="AC85" s="4658"/>
      <c r="AD85" s="4658"/>
      <c r="AE85" s="4658"/>
      <c r="AF85" s="4658"/>
      <c r="AG85" s="4658"/>
      <c r="AH85" s="4658"/>
      <c r="AI85" s="4658"/>
      <c r="AJ85" s="4658"/>
      <c r="AK85" s="4658"/>
      <c r="AL85" s="4658"/>
      <c r="AM85" s="4658"/>
      <c r="AN85" s="4658"/>
      <c r="AO85" s="4658"/>
      <c r="AP85" s="4658"/>
      <c r="AQ85" s="4658"/>
      <c r="AR85" s="4658"/>
      <c r="AS85" s="4658"/>
      <c r="AT85" s="4658"/>
      <c r="AU85" s="4658"/>
      <c r="AV85" s="4658"/>
      <c r="AW85" s="4658"/>
      <c r="AX85" s="4658"/>
      <c r="AY85" s="4658"/>
      <c r="AZ85" s="4658"/>
      <c r="BA85" s="4658"/>
      <c r="BB85" s="4658"/>
      <c r="BC85" s="4658"/>
      <c r="BD85" s="4658"/>
      <c r="BE85" s="4658"/>
      <c r="BF85" s="4658"/>
      <c r="BG85" s="4658"/>
      <c r="BH85" s="4658"/>
      <c r="BI85" s="4658"/>
      <c r="BJ85" s="4658"/>
      <c r="BK85" s="4659"/>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7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77"/>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701"/>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60"/>
      <c r="U86" s="4661"/>
      <c r="V86" s="2372" t="str">
        <f>IF(OR(V84=0,V84=""),"N/A",V84)</f>
        <v>N/A</v>
      </c>
      <c r="W86" s="4660" t="str">
        <f xml:space="preserve"> IF(OR(AF84=0,AF84=""),"N/A",W84)</f>
        <v>N/A</v>
      </c>
      <c r="X86" s="4662"/>
      <c r="Y86" s="4662"/>
      <c r="Z86" s="4662"/>
      <c r="AA86" s="4662"/>
      <c r="AB86" s="4662"/>
      <c r="AC86" s="4662"/>
      <c r="AD86" s="4662"/>
      <c r="AE86" s="4662"/>
      <c r="AF86" s="4661"/>
      <c r="AG86" s="4660" t="str">
        <f xml:space="preserve"> IF(OR(AP84="",AP84=0),"N/A",AG84)</f>
        <v>N/A</v>
      </c>
      <c r="AH86" s="4662"/>
      <c r="AI86" s="4662"/>
      <c r="AJ86" s="4662"/>
      <c r="AK86" s="4662"/>
      <c r="AL86" s="4662"/>
      <c r="AM86" s="4662"/>
      <c r="AN86" s="4662"/>
      <c r="AO86" s="4662"/>
      <c r="AP86" s="4661"/>
      <c r="AQ86" s="4660" t="str">
        <f xml:space="preserve"> IF(OR(AZ84="",AZ84=0),"N/A",AQ84)</f>
        <v>N/A</v>
      </c>
      <c r="AR86" s="4662"/>
      <c r="AS86" s="4662"/>
      <c r="AT86" s="4662"/>
      <c r="AU86" s="4662"/>
      <c r="AV86" s="4662"/>
      <c r="AW86" s="4662"/>
      <c r="AX86" s="4662"/>
      <c r="AY86" s="4662"/>
      <c r="AZ86" s="4661"/>
      <c r="BA86" s="4660" t="str">
        <f xml:space="preserve"> IF(OR(BJ84="",BJ84=0),"N/A",BA84)</f>
        <v>N/A</v>
      </c>
      <c r="BB86" s="4662"/>
      <c r="BC86" s="4662"/>
      <c r="BD86" s="4662"/>
      <c r="BE86" s="4662"/>
      <c r="BF86" s="4662"/>
      <c r="BG86" s="4662"/>
      <c r="BH86" s="4662"/>
      <c r="BI86" s="4662"/>
      <c r="BJ86" s="4661"/>
      <c r="BK86" s="1085" t="s">
        <v>4676</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701"/>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74" t="s">
        <v>4677</v>
      </c>
      <c r="U87" s="4675"/>
      <c r="V87" s="2373"/>
      <c r="W87" s="4643"/>
      <c r="X87" s="4644"/>
      <c r="Y87" s="4644"/>
      <c r="Z87" s="4644"/>
      <c r="AA87" s="4644"/>
      <c r="AB87" s="4644"/>
      <c r="AC87" s="4644"/>
      <c r="AD87" s="4644"/>
      <c r="AE87" s="4644"/>
      <c r="AF87" s="4645"/>
      <c r="AG87" s="4643"/>
      <c r="AH87" s="4644"/>
      <c r="AI87" s="4644"/>
      <c r="AJ87" s="4644"/>
      <c r="AK87" s="4644"/>
      <c r="AL87" s="4644"/>
      <c r="AM87" s="4644"/>
      <c r="AN87" s="4644"/>
      <c r="AO87" s="4644"/>
      <c r="AP87" s="4645"/>
      <c r="AQ87" s="4643"/>
      <c r="AR87" s="4644"/>
      <c r="AS87" s="4644"/>
      <c r="AT87" s="4644"/>
      <c r="AU87" s="4644"/>
      <c r="AV87" s="4644"/>
      <c r="AW87" s="4644"/>
      <c r="AX87" s="4644"/>
      <c r="AY87" s="4644"/>
      <c r="AZ87" s="4645"/>
      <c r="BA87" s="4643"/>
      <c r="BB87" s="4644"/>
      <c r="BC87" s="4644"/>
      <c r="BD87" s="4644"/>
      <c r="BE87" s="4644"/>
      <c r="BF87" s="4644"/>
      <c r="BG87" s="4644"/>
      <c r="BH87" s="4644"/>
      <c r="BI87" s="4644"/>
      <c r="BJ87" s="4645"/>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53" t="s">
        <v>4678</v>
      </c>
      <c r="BU87" s="4654"/>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701"/>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63" t="s">
        <v>4679</v>
      </c>
      <c r="U88" s="4664"/>
      <c r="V88" s="2371"/>
      <c r="W88" s="4665"/>
      <c r="X88" s="4666"/>
      <c r="Y88" s="4666"/>
      <c r="Z88" s="4666"/>
      <c r="AA88" s="4666"/>
      <c r="AB88" s="4666"/>
      <c r="AC88" s="4666"/>
      <c r="AD88" s="4666"/>
      <c r="AE88" s="4666"/>
      <c r="AF88" s="4667"/>
      <c r="AG88" s="4665"/>
      <c r="AH88" s="4666"/>
      <c r="AI88" s="4666"/>
      <c r="AJ88" s="4666"/>
      <c r="AK88" s="4666"/>
      <c r="AL88" s="4666"/>
      <c r="AM88" s="4666"/>
      <c r="AN88" s="4666"/>
      <c r="AO88" s="4666"/>
      <c r="AP88" s="4667"/>
      <c r="AQ88" s="4665"/>
      <c r="AR88" s="4666"/>
      <c r="AS88" s="4666"/>
      <c r="AT88" s="4666"/>
      <c r="AU88" s="4666"/>
      <c r="AV88" s="4666"/>
      <c r="AW88" s="4666"/>
      <c r="AX88" s="4666"/>
      <c r="AY88" s="4666"/>
      <c r="AZ88" s="4667"/>
      <c r="BA88" s="4665"/>
      <c r="BB88" s="4666"/>
      <c r="BC88" s="4666"/>
      <c r="BD88" s="4666"/>
      <c r="BE88" s="4666"/>
      <c r="BF88" s="4666"/>
      <c r="BG88" s="4666"/>
      <c r="BH88" s="4666"/>
      <c r="BI88" s="4666"/>
      <c r="BJ88" s="4667"/>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5" t="s">
        <v>1693</v>
      </c>
      <c r="BU88" s="4656"/>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701"/>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53" t="s">
        <v>4680</v>
      </c>
      <c r="BU89" s="4654"/>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5" t="s">
        <v>4660</v>
      </c>
      <c r="BU90" s="4656"/>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57" t="s">
        <v>4675</v>
      </c>
      <c r="U91" s="4658"/>
      <c r="V91" s="4658"/>
      <c r="W91" s="4658"/>
      <c r="X91" s="4658"/>
      <c r="Y91" s="4658"/>
      <c r="Z91" s="4658"/>
      <c r="AA91" s="4658"/>
      <c r="AB91" s="4658"/>
      <c r="AC91" s="4658"/>
      <c r="AD91" s="4658"/>
      <c r="AE91" s="4658"/>
      <c r="AF91" s="4658"/>
      <c r="AG91" s="4658"/>
      <c r="AH91" s="4658"/>
      <c r="AI91" s="4658"/>
      <c r="AJ91" s="4658"/>
      <c r="AK91" s="4658"/>
      <c r="AL91" s="4658"/>
      <c r="AM91" s="4658"/>
      <c r="AN91" s="4658"/>
      <c r="AO91" s="4658"/>
      <c r="AP91" s="4658"/>
      <c r="AQ91" s="4658"/>
      <c r="AR91" s="4658"/>
      <c r="AS91" s="4658"/>
      <c r="AT91" s="4658"/>
      <c r="AU91" s="4658"/>
      <c r="AV91" s="4658"/>
      <c r="AW91" s="4658"/>
      <c r="AX91" s="4658"/>
      <c r="AY91" s="4658"/>
      <c r="AZ91" s="4658"/>
      <c r="BA91" s="4658"/>
      <c r="BB91" s="4658"/>
      <c r="BC91" s="4658"/>
      <c r="BD91" s="4658"/>
      <c r="BE91" s="4658"/>
      <c r="BF91" s="4658"/>
      <c r="BG91" s="4658"/>
      <c r="BH91" s="4658"/>
      <c r="BI91" s="4658"/>
      <c r="BJ91" s="4658"/>
      <c r="BK91" s="4659"/>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53" t="s">
        <v>4681</v>
      </c>
      <c r="BU91" s="4654"/>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60"/>
      <c r="U92" s="4661"/>
      <c r="V92" s="2372" t="str">
        <f>IF(OR(V90=0,V90=""),"N/A",V90)</f>
        <v>N/A</v>
      </c>
      <c r="W92" s="4660" t="str">
        <f xml:space="preserve"> IF(OR(AF90=0,AF90=""),"N/A",W90)</f>
        <v>N/A</v>
      </c>
      <c r="X92" s="4662"/>
      <c r="Y92" s="4662"/>
      <c r="Z92" s="4662"/>
      <c r="AA92" s="4662"/>
      <c r="AB92" s="4662"/>
      <c r="AC92" s="4662"/>
      <c r="AD92" s="4662"/>
      <c r="AE92" s="4662"/>
      <c r="AF92" s="4661"/>
      <c r="AG92" s="4660" t="str">
        <f xml:space="preserve"> IF(OR(AP90="",AP90=0),"N/A",AG90)</f>
        <v>N/A</v>
      </c>
      <c r="AH92" s="4662"/>
      <c r="AI92" s="4662"/>
      <c r="AJ92" s="4662"/>
      <c r="AK92" s="4662"/>
      <c r="AL92" s="4662"/>
      <c r="AM92" s="4662"/>
      <c r="AN92" s="4662"/>
      <c r="AO92" s="4662"/>
      <c r="AP92" s="4661"/>
      <c r="AQ92" s="4660" t="str">
        <f xml:space="preserve"> IF(OR(AZ90="",AZ90=0),"N/A",AQ90)</f>
        <v>N/A</v>
      </c>
      <c r="AR92" s="4662"/>
      <c r="AS92" s="4662"/>
      <c r="AT92" s="4662"/>
      <c r="AU92" s="4662"/>
      <c r="AV92" s="4662"/>
      <c r="AW92" s="4662"/>
      <c r="AX92" s="4662"/>
      <c r="AY92" s="4662"/>
      <c r="AZ92" s="4661"/>
      <c r="BA92" s="4660" t="str">
        <f xml:space="preserve"> IF(OR(BJ90="",BJ90=0),"N/A",BA90)</f>
        <v>N/A</v>
      </c>
      <c r="BB92" s="4662"/>
      <c r="BC92" s="4662"/>
      <c r="BD92" s="4662"/>
      <c r="BE92" s="4662"/>
      <c r="BF92" s="4662"/>
      <c r="BG92" s="4662"/>
      <c r="BH92" s="4662"/>
      <c r="BI92" s="4662"/>
      <c r="BJ92" s="4661"/>
      <c r="BK92" s="1085" t="s">
        <v>4676</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5" t="s">
        <v>4654</v>
      </c>
      <c r="BU92" s="4656"/>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74" t="s">
        <v>4677</v>
      </c>
      <c r="U93" s="4675"/>
      <c r="V93" s="2373"/>
      <c r="W93" s="4643"/>
      <c r="X93" s="4644"/>
      <c r="Y93" s="4644"/>
      <c r="Z93" s="4644"/>
      <c r="AA93" s="4644"/>
      <c r="AB93" s="4644"/>
      <c r="AC93" s="4644"/>
      <c r="AD93" s="4644"/>
      <c r="AE93" s="4644"/>
      <c r="AF93" s="4645"/>
      <c r="AG93" s="4643"/>
      <c r="AH93" s="4644"/>
      <c r="AI93" s="4644"/>
      <c r="AJ93" s="4644"/>
      <c r="AK93" s="4644"/>
      <c r="AL93" s="4644"/>
      <c r="AM93" s="4644"/>
      <c r="AN93" s="4644"/>
      <c r="AO93" s="4644"/>
      <c r="AP93" s="4645"/>
      <c r="AQ93" s="4643"/>
      <c r="AR93" s="4644"/>
      <c r="AS93" s="4644"/>
      <c r="AT93" s="4644"/>
      <c r="AU93" s="4644"/>
      <c r="AV93" s="4644"/>
      <c r="AW93" s="4644"/>
      <c r="AX93" s="4644"/>
      <c r="AY93" s="4644"/>
      <c r="AZ93" s="4645"/>
      <c r="BA93" s="4643"/>
      <c r="BB93" s="4644"/>
      <c r="BC93" s="4644"/>
      <c r="BD93" s="4644"/>
      <c r="BE93" s="4644"/>
      <c r="BF93" s="4644"/>
      <c r="BG93" s="4644"/>
      <c r="BH93" s="4644"/>
      <c r="BI93" s="4644"/>
      <c r="BJ93" s="4645"/>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41" t="s">
        <v>4682</v>
      </c>
      <c r="BU93" s="4642"/>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63" t="s">
        <v>4679</v>
      </c>
      <c r="U94" s="4664"/>
      <c r="V94" s="2371"/>
      <c r="W94" s="4665"/>
      <c r="X94" s="4666"/>
      <c r="Y94" s="4666"/>
      <c r="Z94" s="4666"/>
      <c r="AA94" s="4666"/>
      <c r="AB94" s="4666"/>
      <c r="AC94" s="4666"/>
      <c r="AD94" s="4666"/>
      <c r="AE94" s="4666"/>
      <c r="AF94" s="4667"/>
      <c r="AG94" s="4665"/>
      <c r="AH94" s="4666"/>
      <c r="AI94" s="4666"/>
      <c r="AJ94" s="4666"/>
      <c r="AK94" s="4666"/>
      <c r="AL94" s="4666"/>
      <c r="AM94" s="4666"/>
      <c r="AN94" s="4666"/>
      <c r="AO94" s="4666"/>
      <c r="AP94" s="4667"/>
      <c r="AQ94" s="4665"/>
      <c r="AR94" s="4666"/>
      <c r="AS94" s="4666"/>
      <c r="AT94" s="4666"/>
      <c r="AU94" s="4666"/>
      <c r="AV94" s="4666"/>
      <c r="AW94" s="4666"/>
      <c r="AX94" s="4666"/>
      <c r="AY94" s="4666"/>
      <c r="AZ94" s="4667"/>
      <c r="BA94" s="4665"/>
      <c r="BB94" s="4666"/>
      <c r="BC94" s="4666"/>
      <c r="BD94" s="4666"/>
      <c r="BE94" s="4666"/>
      <c r="BF94" s="4666"/>
      <c r="BG94" s="4666"/>
      <c r="BH94" s="4666"/>
      <c r="BI94" s="4666"/>
      <c r="BJ94" s="4667"/>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4683</v>
      </c>
      <c r="BV96" s="1049"/>
      <c r="BW96" s="2365" t="s">
        <v>4684</v>
      </c>
      <c r="BX96" s="2364" t="s">
        <v>4685</v>
      </c>
      <c r="BY96" s="1397" t="s">
        <v>4685</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57" t="s">
        <v>4675</v>
      </c>
      <c r="U97" s="4658"/>
      <c r="V97" s="4658"/>
      <c r="W97" s="4658"/>
      <c r="X97" s="4658"/>
      <c r="Y97" s="4658"/>
      <c r="Z97" s="4658"/>
      <c r="AA97" s="4658"/>
      <c r="AB97" s="4658"/>
      <c r="AC97" s="4658"/>
      <c r="AD97" s="4658"/>
      <c r="AE97" s="4658"/>
      <c r="AF97" s="4658"/>
      <c r="AG97" s="4658"/>
      <c r="AH97" s="4658"/>
      <c r="AI97" s="4658"/>
      <c r="AJ97" s="4658"/>
      <c r="AK97" s="4658"/>
      <c r="AL97" s="4658"/>
      <c r="AM97" s="4658"/>
      <c r="AN97" s="4658"/>
      <c r="AO97" s="4658"/>
      <c r="AP97" s="4658"/>
      <c r="AQ97" s="4658"/>
      <c r="AR97" s="4658"/>
      <c r="AS97" s="4658"/>
      <c r="AT97" s="4658"/>
      <c r="AU97" s="4658"/>
      <c r="AV97" s="4658"/>
      <c r="AW97" s="4658"/>
      <c r="AX97" s="4658"/>
      <c r="AY97" s="4658"/>
      <c r="AZ97" s="4658"/>
      <c r="BA97" s="4658"/>
      <c r="BB97" s="4658"/>
      <c r="BC97" s="4658"/>
      <c r="BD97" s="4658"/>
      <c r="BE97" s="4658"/>
      <c r="BF97" s="4658"/>
      <c r="BG97" s="4658"/>
      <c r="BH97" s="4658"/>
      <c r="BI97" s="4658"/>
      <c r="BJ97" s="4658"/>
      <c r="BK97" s="4659"/>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60"/>
      <c r="U98" s="4661"/>
      <c r="V98" s="2372" t="str">
        <f>IF(OR(V96=0,V96=""),"N/A",V96)</f>
        <v>N/A</v>
      </c>
      <c r="W98" s="4660" t="str">
        <f xml:space="preserve"> IF(OR(AF96=0,AF96=""),"N/A",W96)</f>
        <v>N/A</v>
      </c>
      <c r="X98" s="4662"/>
      <c r="Y98" s="4662"/>
      <c r="Z98" s="4662"/>
      <c r="AA98" s="4662"/>
      <c r="AB98" s="4662"/>
      <c r="AC98" s="4662"/>
      <c r="AD98" s="4662"/>
      <c r="AE98" s="4662"/>
      <c r="AF98" s="4661"/>
      <c r="AG98" s="4660" t="str">
        <f xml:space="preserve"> IF(OR(AP96="",AP96=0),"N/A",AG96)</f>
        <v>N/A</v>
      </c>
      <c r="AH98" s="4662"/>
      <c r="AI98" s="4662"/>
      <c r="AJ98" s="4662"/>
      <c r="AK98" s="4662"/>
      <c r="AL98" s="4662"/>
      <c r="AM98" s="4662"/>
      <c r="AN98" s="4662"/>
      <c r="AO98" s="4662"/>
      <c r="AP98" s="4661"/>
      <c r="AQ98" s="4660" t="str">
        <f xml:space="preserve"> IF(OR(AZ96="",AZ96=0),"N/A",AQ96)</f>
        <v>N/A</v>
      </c>
      <c r="AR98" s="4662"/>
      <c r="AS98" s="4662"/>
      <c r="AT98" s="4662"/>
      <c r="AU98" s="4662"/>
      <c r="AV98" s="4662"/>
      <c r="AW98" s="4662"/>
      <c r="AX98" s="4662"/>
      <c r="AY98" s="4662"/>
      <c r="AZ98" s="4661"/>
      <c r="BA98" s="4660" t="str">
        <f xml:space="preserve"> IF(OR(BJ96="",BJ96=0),"N/A",BA96)</f>
        <v>N/A</v>
      </c>
      <c r="BB98" s="4662"/>
      <c r="BC98" s="4662"/>
      <c r="BD98" s="4662"/>
      <c r="BE98" s="4662"/>
      <c r="BF98" s="4662"/>
      <c r="BG98" s="4662"/>
      <c r="BH98" s="4662"/>
      <c r="BI98" s="4662"/>
      <c r="BJ98" s="4661"/>
      <c r="BK98" s="1085" t="s">
        <v>4676</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4683</v>
      </c>
      <c r="BV98" s="1049"/>
      <c r="BW98" s="2365" t="s">
        <v>4684</v>
      </c>
      <c r="BX98" s="2364" t="s">
        <v>4685</v>
      </c>
      <c r="BY98" s="1398" t="s">
        <v>4685</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74" t="s">
        <v>4677</v>
      </c>
      <c r="U99" s="4675"/>
      <c r="V99" s="2373"/>
      <c r="W99" s="4643"/>
      <c r="X99" s="4644"/>
      <c r="Y99" s="4644"/>
      <c r="Z99" s="4644"/>
      <c r="AA99" s="4644"/>
      <c r="AB99" s="4644"/>
      <c r="AC99" s="4644"/>
      <c r="AD99" s="4644"/>
      <c r="AE99" s="4644"/>
      <c r="AF99" s="4645"/>
      <c r="AG99" s="4643"/>
      <c r="AH99" s="4644"/>
      <c r="AI99" s="4644"/>
      <c r="AJ99" s="4644"/>
      <c r="AK99" s="4644"/>
      <c r="AL99" s="4644"/>
      <c r="AM99" s="4644"/>
      <c r="AN99" s="4644"/>
      <c r="AO99" s="4644"/>
      <c r="AP99" s="4645"/>
      <c r="AQ99" s="4643"/>
      <c r="AR99" s="4644"/>
      <c r="AS99" s="4644"/>
      <c r="AT99" s="4644"/>
      <c r="AU99" s="4644"/>
      <c r="AV99" s="4644"/>
      <c r="AW99" s="4644"/>
      <c r="AX99" s="4644"/>
      <c r="AY99" s="4644"/>
      <c r="AZ99" s="4645"/>
      <c r="BA99" s="4643"/>
      <c r="BB99" s="4644"/>
      <c r="BC99" s="4644"/>
      <c r="BD99" s="4644"/>
      <c r="BE99" s="4644"/>
      <c r="BF99" s="4644"/>
      <c r="BG99" s="4644"/>
      <c r="BH99" s="4644"/>
      <c r="BI99" s="4644"/>
      <c r="BJ99" s="4645"/>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63" t="s">
        <v>4679</v>
      </c>
      <c r="U100" s="4664"/>
      <c r="V100" s="2371"/>
      <c r="W100" s="4665"/>
      <c r="X100" s="4666"/>
      <c r="Y100" s="4666"/>
      <c r="Z100" s="4666"/>
      <c r="AA100" s="4666"/>
      <c r="AB100" s="4666"/>
      <c r="AC100" s="4666"/>
      <c r="AD100" s="4666"/>
      <c r="AE100" s="4666"/>
      <c r="AF100" s="4667"/>
      <c r="AG100" s="4665"/>
      <c r="AH100" s="4666"/>
      <c r="AI100" s="4666"/>
      <c r="AJ100" s="4666"/>
      <c r="AK100" s="4666"/>
      <c r="AL100" s="4666"/>
      <c r="AM100" s="4666"/>
      <c r="AN100" s="4666"/>
      <c r="AO100" s="4666"/>
      <c r="AP100" s="4667"/>
      <c r="AQ100" s="4665"/>
      <c r="AR100" s="4666"/>
      <c r="AS100" s="4666"/>
      <c r="AT100" s="4666"/>
      <c r="AU100" s="4666"/>
      <c r="AV100" s="4666"/>
      <c r="AW100" s="4666"/>
      <c r="AX100" s="4666"/>
      <c r="AY100" s="4666"/>
      <c r="AZ100" s="4667"/>
      <c r="BA100" s="4665"/>
      <c r="BB100" s="4666"/>
      <c r="BC100" s="4666"/>
      <c r="BD100" s="4666"/>
      <c r="BE100" s="4666"/>
      <c r="BF100" s="4666"/>
      <c r="BG100" s="4666"/>
      <c r="BH100" s="4666"/>
      <c r="BI100" s="4666"/>
      <c r="BJ100" s="4667"/>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4683</v>
      </c>
      <c r="BV100" s="1049"/>
      <c r="BW100" s="2365" t="s">
        <v>4684</v>
      </c>
      <c r="BX100" s="2364" t="s">
        <v>4685</v>
      </c>
      <c r="BY100" s="1398" t="s">
        <v>4685</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4683</v>
      </c>
      <c r="BV102" s="1049"/>
      <c r="BW102" s="2365" t="s">
        <v>4684</v>
      </c>
      <c r="BX102" s="2364" t="s">
        <v>4685</v>
      </c>
      <c r="BY102" s="1398" t="s">
        <v>4685</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57" t="s">
        <v>4675</v>
      </c>
      <c r="U103" s="4658"/>
      <c r="V103" s="4658"/>
      <c r="W103" s="4658"/>
      <c r="X103" s="4658"/>
      <c r="Y103" s="4658"/>
      <c r="Z103" s="4658"/>
      <c r="AA103" s="4658"/>
      <c r="AB103" s="4658"/>
      <c r="AC103" s="4658"/>
      <c r="AD103" s="4658"/>
      <c r="AE103" s="4658"/>
      <c r="AF103" s="4658"/>
      <c r="AG103" s="4658"/>
      <c r="AH103" s="4658"/>
      <c r="AI103" s="4658"/>
      <c r="AJ103" s="4658"/>
      <c r="AK103" s="4658"/>
      <c r="AL103" s="4658"/>
      <c r="AM103" s="4658"/>
      <c r="AN103" s="4658"/>
      <c r="AO103" s="4658"/>
      <c r="AP103" s="4658"/>
      <c r="AQ103" s="4658"/>
      <c r="AR103" s="4658"/>
      <c r="AS103" s="4658"/>
      <c r="AT103" s="4658"/>
      <c r="AU103" s="4658"/>
      <c r="AV103" s="4658"/>
      <c r="AW103" s="4658"/>
      <c r="AX103" s="4658"/>
      <c r="AY103" s="4658"/>
      <c r="AZ103" s="4658"/>
      <c r="BA103" s="4658"/>
      <c r="BB103" s="4658"/>
      <c r="BC103" s="4658"/>
      <c r="BD103" s="4658"/>
      <c r="BE103" s="4658"/>
      <c r="BF103" s="4658"/>
      <c r="BG103" s="4658"/>
      <c r="BH103" s="4658"/>
      <c r="BI103" s="4658"/>
      <c r="BJ103" s="4658"/>
      <c r="BK103" s="4659"/>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60"/>
      <c r="U104" s="4661"/>
      <c r="V104" s="2372" t="str">
        <f>IF(OR(V102=0,V102=""),"N/A",V102)</f>
        <v>N/A</v>
      </c>
      <c r="W104" s="4660" t="str">
        <f xml:space="preserve"> IF(OR(AF102=0,AF102=""),"N/A",W102)</f>
        <v>N/A</v>
      </c>
      <c r="X104" s="4662"/>
      <c r="Y104" s="4662"/>
      <c r="Z104" s="4662"/>
      <c r="AA104" s="4662"/>
      <c r="AB104" s="4662"/>
      <c r="AC104" s="4662"/>
      <c r="AD104" s="4662"/>
      <c r="AE104" s="4662"/>
      <c r="AF104" s="4661"/>
      <c r="AG104" s="4660" t="str">
        <f xml:space="preserve"> IF(OR(AP102="",AP102=0),"N/A",AG102)</f>
        <v>N/A</v>
      </c>
      <c r="AH104" s="4662"/>
      <c r="AI104" s="4662"/>
      <c r="AJ104" s="4662"/>
      <c r="AK104" s="4662"/>
      <c r="AL104" s="4662"/>
      <c r="AM104" s="4662"/>
      <c r="AN104" s="4662"/>
      <c r="AO104" s="4662"/>
      <c r="AP104" s="4661"/>
      <c r="AQ104" s="4660" t="str">
        <f xml:space="preserve"> IF(OR(AZ102="",AZ102=0),"N/A",AQ102)</f>
        <v>N/A</v>
      </c>
      <c r="AR104" s="4662"/>
      <c r="AS104" s="4662"/>
      <c r="AT104" s="4662"/>
      <c r="AU104" s="4662"/>
      <c r="AV104" s="4662"/>
      <c r="AW104" s="4662"/>
      <c r="AX104" s="4662"/>
      <c r="AY104" s="4662"/>
      <c r="AZ104" s="4661"/>
      <c r="BA104" s="4660" t="str">
        <f xml:space="preserve"> IF(OR(BJ102="",BJ102=0),"N/A",BA102)</f>
        <v>N/A</v>
      </c>
      <c r="BB104" s="4662"/>
      <c r="BC104" s="4662"/>
      <c r="BD104" s="4662"/>
      <c r="BE104" s="4662"/>
      <c r="BF104" s="4662"/>
      <c r="BG104" s="4662"/>
      <c r="BH104" s="4662"/>
      <c r="BI104" s="4662"/>
      <c r="BJ104" s="4661"/>
      <c r="BK104" s="1085" t="s">
        <v>4676</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4683</v>
      </c>
      <c r="BV104" s="1049"/>
      <c r="BW104" s="2365" t="s">
        <v>4684</v>
      </c>
      <c r="BX104" s="2364" t="s">
        <v>4685</v>
      </c>
      <c r="BY104" s="1398" t="s">
        <v>4685</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74" t="s">
        <v>4677</v>
      </c>
      <c r="U105" s="4675"/>
      <c r="V105" s="2373"/>
      <c r="W105" s="4643"/>
      <c r="X105" s="4644"/>
      <c r="Y105" s="4644"/>
      <c r="Z105" s="4644"/>
      <c r="AA105" s="4644"/>
      <c r="AB105" s="4644"/>
      <c r="AC105" s="4644"/>
      <c r="AD105" s="4644"/>
      <c r="AE105" s="4644"/>
      <c r="AF105" s="4645"/>
      <c r="AG105" s="4643"/>
      <c r="AH105" s="4644"/>
      <c r="AI105" s="4644"/>
      <c r="AJ105" s="4644"/>
      <c r="AK105" s="4644"/>
      <c r="AL105" s="4644"/>
      <c r="AM105" s="4644"/>
      <c r="AN105" s="4644"/>
      <c r="AO105" s="4644"/>
      <c r="AP105" s="4645"/>
      <c r="AQ105" s="4643"/>
      <c r="AR105" s="4644"/>
      <c r="AS105" s="4644"/>
      <c r="AT105" s="4644"/>
      <c r="AU105" s="4644"/>
      <c r="AV105" s="4644"/>
      <c r="AW105" s="4644"/>
      <c r="AX105" s="4644"/>
      <c r="AY105" s="4644"/>
      <c r="AZ105" s="4645"/>
      <c r="BA105" s="4643"/>
      <c r="BB105" s="4644"/>
      <c r="BC105" s="4644"/>
      <c r="BD105" s="4644"/>
      <c r="BE105" s="4644"/>
      <c r="BF105" s="4644"/>
      <c r="BG105" s="4644"/>
      <c r="BH105" s="4644"/>
      <c r="BI105" s="4644"/>
      <c r="BJ105" s="4645"/>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63" t="s">
        <v>4679</v>
      </c>
      <c r="U106" s="4664"/>
      <c r="V106" s="2371"/>
      <c r="W106" s="4665"/>
      <c r="X106" s="4666"/>
      <c r="Y106" s="4666"/>
      <c r="Z106" s="4666"/>
      <c r="AA106" s="4666"/>
      <c r="AB106" s="4666"/>
      <c r="AC106" s="4666"/>
      <c r="AD106" s="4666"/>
      <c r="AE106" s="4666"/>
      <c r="AF106" s="4667"/>
      <c r="AG106" s="4665"/>
      <c r="AH106" s="4666"/>
      <c r="AI106" s="4666"/>
      <c r="AJ106" s="4666"/>
      <c r="AK106" s="4666"/>
      <c r="AL106" s="4666"/>
      <c r="AM106" s="4666"/>
      <c r="AN106" s="4666"/>
      <c r="AO106" s="4666"/>
      <c r="AP106" s="4667"/>
      <c r="AQ106" s="4665"/>
      <c r="AR106" s="4666"/>
      <c r="AS106" s="4666"/>
      <c r="AT106" s="4666"/>
      <c r="AU106" s="4666"/>
      <c r="AV106" s="4666"/>
      <c r="AW106" s="4666"/>
      <c r="AX106" s="4666"/>
      <c r="AY106" s="4666"/>
      <c r="AZ106" s="4667"/>
      <c r="BA106" s="4665"/>
      <c r="BB106" s="4666"/>
      <c r="BC106" s="4666"/>
      <c r="BD106" s="4666"/>
      <c r="BE106" s="4666"/>
      <c r="BF106" s="4666"/>
      <c r="BG106" s="4666"/>
      <c r="BH106" s="4666"/>
      <c r="BI106" s="4666"/>
      <c r="BJ106" s="4667"/>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4683</v>
      </c>
      <c r="BV106" s="1049"/>
      <c r="BW106" s="2365" t="s">
        <v>4684</v>
      </c>
      <c r="BX106" s="2364" t="s">
        <v>4685</v>
      </c>
      <c r="BY106" s="1398" t="s">
        <v>4685</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6"/>
      <c r="BV108" s="4646"/>
      <c r="BW108" s="4646"/>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57" t="s">
        <v>4675</v>
      </c>
      <c r="U109" s="4658"/>
      <c r="V109" s="4658"/>
      <c r="W109" s="4658"/>
      <c r="X109" s="4658"/>
      <c r="Y109" s="4658"/>
      <c r="Z109" s="4658"/>
      <c r="AA109" s="4658"/>
      <c r="AB109" s="4658"/>
      <c r="AC109" s="4658"/>
      <c r="AD109" s="4658"/>
      <c r="AE109" s="4658"/>
      <c r="AF109" s="4658"/>
      <c r="AG109" s="4658"/>
      <c r="AH109" s="4658"/>
      <c r="AI109" s="4658"/>
      <c r="AJ109" s="4658"/>
      <c r="AK109" s="4658"/>
      <c r="AL109" s="4658"/>
      <c r="AM109" s="4658"/>
      <c r="AN109" s="4658"/>
      <c r="AO109" s="4658"/>
      <c r="AP109" s="4658"/>
      <c r="AQ109" s="4658"/>
      <c r="AR109" s="4658"/>
      <c r="AS109" s="4658"/>
      <c r="AT109" s="4658"/>
      <c r="AU109" s="4658"/>
      <c r="AV109" s="4658"/>
      <c r="AW109" s="4658"/>
      <c r="AX109" s="4658"/>
      <c r="AY109" s="4658"/>
      <c r="AZ109" s="4658"/>
      <c r="BA109" s="4658"/>
      <c r="BB109" s="4658"/>
      <c r="BC109" s="4658"/>
      <c r="BD109" s="4658"/>
      <c r="BE109" s="4658"/>
      <c r="BF109" s="4658"/>
      <c r="BG109" s="4658"/>
      <c r="BH109" s="4658"/>
      <c r="BI109" s="4658"/>
      <c r="BJ109" s="4658"/>
      <c r="BK109" s="4659"/>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60"/>
      <c r="U110" s="4661"/>
      <c r="V110" s="2372" t="str">
        <f>IF(OR(V108=0,V108=""),"N/A",V108)</f>
        <v>N/A</v>
      </c>
      <c r="W110" s="4660" t="str">
        <f xml:space="preserve"> IF(OR(AF108=0,AF108=""),"N/A",W108)</f>
        <v>N/A</v>
      </c>
      <c r="X110" s="4662"/>
      <c r="Y110" s="4662"/>
      <c r="Z110" s="4662"/>
      <c r="AA110" s="4662"/>
      <c r="AB110" s="4662"/>
      <c r="AC110" s="4662"/>
      <c r="AD110" s="4662"/>
      <c r="AE110" s="4662"/>
      <c r="AF110" s="4661"/>
      <c r="AG110" s="4660" t="str">
        <f xml:space="preserve"> IF(OR(AP108="",AP108=0),"N/A",AG108)</f>
        <v>N/A</v>
      </c>
      <c r="AH110" s="4662"/>
      <c r="AI110" s="4662"/>
      <c r="AJ110" s="4662"/>
      <c r="AK110" s="4662"/>
      <c r="AL110" s="4662"/>
      <c r="AM110" s="4662"/>
      <c r="AN110" s="4662"/>
      <c r="AO110" s="4662"/>
      <c r="AP110" s="4661"/>
      <c r="AQ110" s="4660" t="str">
        <f xml:space="preserve"> IF(OR(AZ108="",AZ108=0),"N/A",AQ108)</f>
        <v>N/A</v>
      </c>
      <c r="AR110" s="4662"/>
      <c r="AS110" s="4662"/>
      <c r="AT110" s="4662"/>
      <c r="AU110" s="4662"/>
      <c r="AV110" s="4662"/>
      <c r="AW110" s="4662"/>
      <c r="AX110" s="4662"/>
      <c r="AY110" s="4662"/>
      <c r="AZ110" s="4661"/>
      <c r="BA110" s="4660" t="str">
        <f xml:space="preserve"> IF(OR(BJ108="",BJ108=0),"N/A",BA108)</f>
        <v>N/A</v>
      </c>
      <c r="BB110" s="4662"/>
      <c r="BC110" s="4662"/>
      <c r="BD110" s="4662"/>
      <c r="BE110" s="4662"/>
      <c r="BF110" s="4662"/>
      <c r="BG110" s="4662"/>
      <c r="BH110" s="4662"/>
      <c r="BI110" s="4662"/>
      <c r="BJ110" s="4661"/>
      <c r="BK110" s="1085" t="s">
        <v>4676</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708"/>
      <c r="BV110" s="4708"/>
      <c r="BW110" s="4708"/>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74" t="s">
        <v>4677</v>
      </c>
      <c r="U111" s="4675"/>
      <c r="V111" s="2373"/>
      <c r="W111" s="4643"/>
      <c r="X111" s="4644"/>
      <c r="Y111" s="4644"/>
      <c r="Z111" s="4644"/>
      <c r="AA111" s="4644"/>
      <c r="AB111" s="4644"/>
      <c r="AC111" s="4644"/>
      <c r="AD111" s="4644"/>
      <c r="AE111" s="4644"/>
      <c r="AF111" s="4645"/>
      <c r="AG111" s="4643"/>
      <c r="AH111" s="4644"/>
      <c r="AI111" s="4644"/>
      <c r="AJ111" s="4644"/>
      <c r="AK111" s="4644"/>
      <c r="AL111" s="4644"/>
      <c r="AM111" s="4644"/>
      <c r="AN111" s="4644"/>
      <c r="AO111" s="4644"/>
      <c r="AP111" s="4645"/>
      <c r="AQ111" s="4643"/>
      <c r="AR111" s="4644"/>
      <c r="AS111" s="4644"/>
      <c r="AT111" s="4644"/>
      <c r="AU111" s="4644"/>
      <c r="AV111" s="4644"/>
      <c r="AW111" s="4644"/>
      <c r="AX111" s="4644"/>
      <c r="AY111" s="4644"/>
      <c r="AZ111" s="4645"/>
      <c r="BA111" s="4643"/>
      <c r="BB111" s="4644"/>
      <c r="BC111" s="4644"/>
      <c r="BD111" s="4644"/>
      <c r="BE111" s="4644"/>
      <c r="BF111" s="4644"/>
      <c r="BG111" s="4644"/>
      <c r="BH111" s="4644"/>
      <c r="BI111" s="4644"/>
      <c r="BJ111" s="4645"/>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68" t="s">
        <v>4679</v>
      </c>
      <c r="U112" s="4669"/>
      <c r="V112" s="2376"/>
      <c r="W112" s="4670"/>
      <c r="X112" s="4671"/>
      <c r="Y112" s="4671"/>
      <c r="Z112" s="4671"/>
      <c r="AA112" s="4671"/>
      <c r="AB112" s="4671"/>
      <c r="AC112" s="4671"/>
      <c r="AD112" s="4671"/>
      <c r="AE112" s="4671"/>
      <c r="AF112" s="4672"/>
      <c r="AG112" s="4670"/>
      <c r="AH112" s="4671"/>
      <c r="AI112" s="4671"/>
      <c r="AJ112" s="4671"/>
      <c r="AK112" s="4671"/>
      <c r="AL112" s="4671"/>
      <c r="AM112" s="4671"/>
      <c r="AN112" s="4671"/>
      <c r="AO112" s="4671"/>
      <c r="AP112" s="4672"/>
      <c r="AQ112" s="4670"/>
      <c r="AR112" s="4671"/>
      <c r="AS112" s="4671"/>
      <c r="AT112" s="4671"/>
      <c r="AU112" s="4671"/>
      <c r="AV112" s="4671"/>
      <c r="AW112" s="4671"/>
      <c r="AX112" s="4671"/>
      <c r="AY112" s="4671"/>
      <c r="AZ112" s="4672"/>
      <c r="BA112" s="4670"/>
      <c r="BB112" s="4671"/>
      <c r="BC112" s="4671"/>
      <c r="BD112" s="4671"/>
      <c r="BE112" s="4671"/>
      <c r="BF112" s="4671"/>
      <c r="BG112" s="4671"/>
      <c r="BH112" s="4671"/>
      <c r="BI112" s="4671"/>
      <c r="BJ112" s="4672"/>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4686</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73"/>
      <c r="BL113" s="4673"/>
      <c r="BM113" s="4642"/>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41" t="s">
        <v>4688</v>
      </c>
      <c r="BU113" s="4642"/>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4687</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48" t="str">
        <f>IF(OR(E114='Tablas Técnicas'!A$678,E114='Tablas Técnicas'!A$679,E115='Tablas Técnicas'!A$678,E115='Tablas Técnicas'!A$679,E116='Tablas Técnicas'!A$678,E116='Tablas Técnicas'!A$679),"Selecciona la atadura elemental:","")</f>
        <v/>
      </c>
      <c r="AH114" s="4649"/>
      <c r="AI114" s="4649"/>
      <c r="AJ114" s="4649"/>
      <c r="AK114" s="4649"/>
      <c r="AL114" s="4649"/>
      <c r="AM114" s="4649"/>
      <c r="AN114" s="4649"/>
      <c r="AO114" s="4649"/>
      <c r="AP114" s="4649"/>
      <c r="AQ114" s="4649"/>
      <c r="AR114" s="4649"/>
      <c r="AS114" s="4649"/>
      <c r="AT114" s="4649"/>
      <c r="AU114" s="4649"/>
      <c r="AV114" s="4649"/>
      <c r="AW114" s="4649"/>
      <c r="AX114" s="4649"/>
      <c r="AY114" s="4649"/>
      <c r="AZ114" s="4649"/>
      <c r="BA114" s="4649"/>
      <c r="BB114" s="4649"/>
      <c r="BC114" s="4649"/>
      <c r="BD114" s="4649"/>
      <c r="BE114" s="4649"/>
      <c r="BF114" s="4649"/>
      <c r="BG114" s="4649"/>
      <c r="BH114" s="4649"/>
      <c r="BI114" s="4649"/>
      <c r="BJ114" s="4649"/>
      <c r="BK114" s="4650"/>
      <c r="BL114" s="1540"/>
      <c r="BM114" s="1540"/>
      <c r="BN114" s="1084"/>
      <c r="BO114" s="1084"/>
      <c r="BP114" s="1117"/>
      <c r="BQ114" s="1084"/>
      <c r="BR114" s="1084"/>
      <c r="BS114" s="1084"/>
      <c r="BT114" s="4651">
        <f>D82</f>
        <v>1</v>
      </c>
      <c r="BU114" s="4652"/>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4689</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4690</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8173</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8541</v>
      </c>
      <c r="F119" s="1041" t="s">
        <v>1792</v>
      </c>
      <c r="G119" s="1042" t="s">
        <v>1793</v>
      </c>
      <c r="H119" s="1042" t="s">
        <v>1815</v>
      </c>
      <c r="I119" s="1043" t="s">
        <v>3467</v>
      </c>
      <c r="J119" s="1044"/>
      <c r="K119" s="1045"/>
      <c r="L119" s="1043" t="s">
        <v>3468</v>
      </c>
      <c r="M119" s="1044"/>
      <c r="N119" s="1045"/>
      <c r="O119" s="1043" t="s">
        <v>3469</v>
      </c>
      <c r="P119" s="1044"/>
      <c r="Q119" s="1045"/>
      <c r="R119" s="1046" t="s">
        <v>4666</v>
      </c>
      <c r="S119" s="1042" t="s">
        <v>3437</v>
      </c>
      <c r="T119" s="2368" t="s">
        <v>1711</v>
      </c>
      <c r="U119" s="2368" t="s">
        <v>1682</v>
      </c>
      <c r="V119" s="2368" t="s">
        <v>3470</v>
      </c>
      <c r="W119" s="4678" t="s">
        <v>3471</v>
      </c>
      <c r="X119" s="4678"/>
      <c r="Y119" s="4678"/>
      <c r="Z119" s="4678"/>
      <c r="AA119" s="4678"/>
      <c r="AB119" s="4678"/>
      <c r="AC119" s="4678"/>
      <c r="AD119" s="4678"/>
      <c r="AE119" s="4678"/>
      <c r="AF119" s="4678"/>
      <c r="AG119" s="4678"/>
      <c r="AH119" s="4678"/>
      <c r="AI119" s="4678"/>
      <c r="AJ119" s="4678"/>
      <c r="AK119" s="4678"/>
      <c r="AL119" s="4678"/>
      <c r="AM119" s="4678"/>
      <c r="AN119" s="4678"/>
      <c r="AO119" s="4678"/>
      <c r="AP119" s="4678"/>
      <c r="AQ119" s="4678"/>
      <c r="AR119" s="4678"/>
      <c r="AS119" s="4678"/>
      <c r="AT119" s="4678"/>
      <c r="AU119" s="4678"/>
      <c r="AV119" s="4678"/>
      <c r="AW119" s="4678"/>
      <c r="AX119" s="4678"/>
      <c r="AY119" s="4678"/>
      <c r="AZ119" s="4678"/>
      <c r="BA119" s="4678"/>
      <c r="BB119" s="4678"/>
      <c r="BC119" s="4678"/>
      <c r="BD119" s="4678"/>
      <c r="BE119" s="4678"/>
      <c r="BF119" s="4678"/>
      <c r="BG119" s="4678"/>
      <c r="BH119" s="4678"/>
      <c r="BI119" s="4678"/>
      <c r="BJ119" s="4678"/>
      <c r="BK119" s="4678" t="s">
        <v>3472</v>
      </c>
      <c r="BL119" s="4678"/>
      <c r="BM119" s="4679"/>
      <c r="BN119" s="1047" t="s">
        <v>4667</v>
      </c>
      <c r="BO119" s="1047" t="s">
        <v>4668</v>
      </c>
      <c r="BP119" s="1047" t="s">
        <v>4669</v>
      </c>
      <c r="BQ119" s="1047" t="s">
        <v>4670</v>
      </c>
      <c r="BR119" s="1047" t="s">
        <v>4671</v>
      </c>
      <c r="BS119" s="1048" t="s">
        <v>4672</v>
      </c>
      <c r="BT119" s="4653" t="s">
        <v>4673</v>
      </c>
      <c r="BU119" s="4654"/>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3448</v>
      </c>
      <c r="DW120" s="1524" t="s">
        <v>3434</v>
      </c>
      <c r="DX120" s="1525" t="s">
        <v>8176</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53" t="s">
        <v>4674</v>
      </c>
      <c r="BU121" s="4654"/>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70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57" t="s">
        <v>4675</v>
      </c>
      <c r="U122" s="4658"/>
      <c r="V122" s="4658"/>
      <c r="W122" s="4658"/>
      <c r="X122" s="4658"/>
      <c r="Y122" s="4658"/>
      <c r="Z122" s="4658"/>
      <c r="AA122" s="4658"/>
      <c r="AB122" s="4658"/>
      <c r="AC122" s="4658"/>
      <c r="AD122" s="4658"/>
      <c r="AE122" s="4658"/>
      <c r="AF122" s="4658"/>
      <c r="AG122" s="4658"/>
      <c r="AH122" s="4658"/>
      <c r="AI122" s="4658"/>
      <c r="AJ122" s="4658"/>
      <c r="AK122" s="4658"/>
      <c r="AL122" s="4658"/>
      <c r="AM122" s="4658"/>
      <c r="AN122" s="4658"/>
      <c r="AO122" s="4658"/>
      <c r="AP122" s="4658"/>
      <c r="AQ122" s="4658"/>
      <c r="AR122" s="4658"/>
      <c r="AS122" s="4658"/>
      <c r="AT122" s="4658"/>
      <c r="AU122" s="4658"/>
      <c r="AV122" s="4658"/>
      <c r="AW122" s="4658"/>
      <c r="AX122" s="4658"/>
      <c r="AY122" s="4658"/>
      <c r="AZ122" s="4658"/>
      <c r="BA122" s="4658"/>
      <c r="BB122" s="4658"/>
      <c r="BC122" s="4658"/>
      <c r="BD122" s="4658"/>
      <c r="BE122" s="4658"/>
      <c r="BF122" s="4658"/>
      <c r="BG122" s="4658"/>
      <c r="BH122" s="4658"/>
      <c r="BI122" s="4658"/>
      <c r="BJ122" s="4658"/>
      <c r="BK122" s="4659"/>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7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77"/>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701"/>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60"/>
      <c r="U123" s="4661"/>
      <c r="V123" s="2372" t="str">
        <f>IF(OR(V121=0,V121=""),"N/A",V121)</f>
        <v>N/A</v>
      </c>
      <c r="W123" s="4660" t="str">
        <f xml:space="preserve"> IF(OR(AF121=0,AF121=""),"N/A",W121)</f>
        <v>N/A</v>
      </c>
      <c r="X123" s="4662"/>
      <c r="Y123" s="4662"/>
      <c r="Z123" s="4662"/>
      <c r="AA123" s="4662"/>
      <c r="AB123" s="4662"/>
      <c r="AC123" s="4662"/>
      <c r="AD123" s="4662"/>
      <c r="AE123" s="4662"/>
      <c r="AF123" s="4661"/>
      <c r="AG123" s="4660" t="str">
        <f xml:space="preserve"> IF(OR(AP121="",AP121=0),"N/A",AG121)</f>
        <v>N/A</v>
      </c>
      <c r="AH123" s="4662"/>
      <c r="AI123" s="4662"/>
      <c r="AJ123" s="4662"/>
      <c r="AK123" s="4662"/>
      <c r="AL123" s="4662"/>
      <c r="AM123" s="4662"/>
      <c r="AN123" s="4662"/>
      <c r="AO123" s="4662"/>
      <c r="AP123" s="4661"/>
      <c r="AQ123" s="4660" t="str">
        <f xml:space="preserve"> IF(OR(AZ121="",AZ121=0),"N/A",AQ121)</f>
        <v>N/A</v>
      </c>
      <c r="AR123" s="4662"/>
      <c r="AS123" s="4662"/>
      <c r="AT123" s="4662"/>
      <c r="AU123" s="4662"/>
      <c r="AV123" s="4662"/>
      <c r="AW123" s="4662"/>
      <c r="AX123" s="4662"/>
      <c r="AY123" s="4662"/>
      <c r="AZ123" s="4661"/>
      <c r="BA123" s="4660" t="str">
        <f xml:space="preserve"> IF(OR(BJ121="",BJ121=0),"N/A",BA121)</f>
        <v>N/A</v>
      </c>
      <c r="BB123" s="4662"/>
      <c r="BC123" s="4662"/>
      <c r="BD123" s="4662"/>
      <c r="BE123" s="4662"/>
      <c r="BF123" s="4662"/>
      <c r="BG123" s="4662"/>
      <c r="BH123" s="4662"/>
      <c r="BI123" s="4662"/>
      <c r="BJ123" s="4661"/>
      <c r="BK123" s="1085" t="s">
        <v>4676</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701"/>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74" t="s">
        <v>4677</v>
      </c>
      <c r="U124" s="4675"/>
      <c r="V124" s="2373"/>
      <c r="W124" s="4643"/>
      <c r="X124" s="4644"/>
      <c r="Y124" s="4644"/>
      <c r="Z124" s="4644"/>
      <c r="AA124" s="4644"/>
      <c r="AB124" s="4644"/>
      <c r="AC124" s="4644"/>
      <c r="AD124" s="4644"/>
      <c r="AE124" s="4644"/>
      <c r="AF124" s="4645"/>
      <c r="AG124" s="4643"/>
      <c r="AH124" s="4644"/>
      <c r="AI124" s="4644"/>
      <c r="AJ124" s="4644"/>
      <c r="AK124" s="4644"/>
      <c r="AL124" s="4644"/>
      <c r="AM124" s="4644"/>
      <c r="AN124" s="4644"/>
      <c r="AO124" s="4644"/>
      <c r="AP124" s="4645"/>
      <c r="AQ124" s="4643"/>
      <c r="AR124" s="4644"/>
      <c r="AS124" s="4644"/>
      <c r="AT124" s="4644"/>
      <c r="AU124" s="4644"/>
      <c r="AV124" s="4644"/>
      <c r="AW124" s="4644"/>
      <c r="AX124" s="4644"/>
      <c r="AY124" s="4644"/>
      <c r="AZ124" s="4645"/>
      <c r="BA124" s="4643"/>
      <c r="BB124" s="4644"/>
      <c r="BC124" s="4644"/>
      <c r="BD124" s="4644"/>
      <c r="BE124" s="4644"/>
      <c r="BF124" s="4644"/>
      <c r="BG124" s="4644"/>
      <c r="BH124" s="4644"/>
      <c r="BI124" s="4644"/>
      <c r="BJ124" s="4645"/>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53" t="s">
        <v>4678</v>
      </c>
      <c r="BU124" s="4654"/>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701"/>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63" t="s">
        <v>4679</v>
      </c>
      <c r="U125" s="4664"/>
      <c r="V125" s="2371"/>
      <c r="W125" s="4665"/>
      <c r="X125" s="4666"/>
      <c r="Y125" s="4666"/>
      <c r="Z125" s="4666"/>
      <c r="AA125" s="4666"/>
      <c r="AB125" s="4666"/>
      <c r="AC125" s="4666"/>
      <c r="AD125" s="4666"/>
      <c r="AE125" s="4666"/>
      <c r="AF125" s="4667"/>
      <c r="AG125" s="4665"/>
      <c r="AH125" s="4666"/>
      <c r="AI125" s="4666"/>
      <c r="AJ125" s="4666"/>
      <c r="AK125" s="4666"/>
      <c r="AL125" s="4666"/>
      <c r="AM125" s="4666"/>
      <c r="AN125" s="4666"/>
      <c r="AO125" s="4666"/>
      <c r="AP125" s="4667"/>
      <c r="AQ125" s="4665"/>
      <c r="AR125" s="4666"/>
      <c r="AS125" s="4666"/>
      <c r="AT125" s="4666"/>
      <c r="AU125" s="4666"/>
      <c r="AV125" s="4666"/>
      <c r="AW125" s="4666"/>
      <c r="AX125" s="4666"/>
      <c r="AY125" s="4666"/>
      <c r="AZ125" s="4667"/>
      <c r="BA125" s="4665"/>
      <c r="BB125" s="4666"/>
      <c r="BC125" s="4666"/>
      <c r="BD125" s="4666"/>
      <c r="BE125" s="4666"/>
      <c r="BF125" s="4666"/>
      <c r="BG125" s="4666"/>
      <c r="BH125" s="4666"/>
      <c r="BI125" s="4666"/>
      <c r="BJ125" s="4667"/>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5" t="s">
        <v>1693</v>
      </c>
      <c r="BU125" s="4656"/>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701"/>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53" t="s">
        <v>4680</v>
      </c>
      <c r="BU126" s="4654"/>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5" t="s">
        <v>4660</v>
      </c>
      <c r="BU127" s="4656"/>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57" t="s">
        <v>4675</v>
      </c>
      <c r="U128" s="4658"/>
      <c r="V128" s="4658"/>
      <c r="W128" s="4658"/>
      <c r="X128" s="4658"/>
      <c r="Y128" s="4658"/>
      <c r="Z128" s="4658"/>
      <c r="AA128" s="4658"/>
      <c r="AB128" s="4658"/>
      <c r="AC128" s="4658"/>
      <c r="AD128" s="4658"/>
      <c r="AE128" s="4658"/>
      <c r="AF128" s="4658"/>
      <c r="AG128" s="4658"/>
      <c r="AH128" s="4658"/>
      <c r="AI128" s="4658"/>
      <c r="AJ128" s="4658"/>
      <c r="AK128" s="4658"/>
      <c r="AL128" s="4658"/>
      <c r="AM128" s="4658"/>
      <c r="AN128" s="4658"/>
      <c r="AO128" s="4658"/>
      <c r="AP128" s="4658"/>
      <c r="AQ128" s="4658"/>
      <c r="AR128" s="4658"/>
      <c r="AS128" s="4658"/>
      <c r="AT128" s="4658"/>
      <c r="AU128" s="4658"/>
      <c r="AV128" s="4658"/>
      <c r="AW128" s="4658"/>
      <c r="AX128" s="4658"/>
      <c r="AY128" s="4658"/>
      <c r="AZ128" s="4658"/>
      <c r="BA128" s="4658"/>
      <c r="BB128" s="4658"/>
      <c r="BC128" s="4658"/>
      <c r="BD128" s="4658"/>
      <c r="BE128" s="4658"/>
      <c r="BF128" s="4658"/>
      <c r="BG128" s="4658"/>
      <c r="BH128" s="4658"/>
      <c r="BI128" s="4658"/>
      <c r="BJ128" s="4658"/>
      <c r="BK128" s="4659"/>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53" t="s">
        <v>4681</v>
      </c>
      <c r="BU128" s="4654"/>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60"/>
      <c r="U129" s="4661"/>
      <c r="V129" s="2372" t="str">
        <f>IF(OR(V127=0,V127=""),"N/A",V127)</f>
        <v>N/A</v>
      </c>
      <c r="W129" s="4660" t="str">
        <f xml:space="preserve"> IF(OR(AF127=0,AF127=""),"N/A",W127)</f>
        <v>N/A</v>
      </c>
      <c r="X129" s="4662"/>
      <c r="Y129" s="4662"/>
      <c r="Z129" s="4662"/>
      <c r="AA129" s="4662"/>
      <c r="AB129" s="4662"/>
      <c r="AC129" s="4662"/>
      <c r="AD129" s="4662"/>
      <c r="AE129" s="4662"/>
      <c r="AF129" s="4661"/>
      <c r="AG129" s="4660" t="str">
        <f xml:space="preserve"> IF(OR(AP127="",AP127=0),"N/A",AG127)</f>
        <v>N/A</v>
      </c>
      <c r="AH129" s="4662"/>
      <c r="AI129" s="4662"/>
      <c r="AJ129" s="4662"/>
      <c r="AK129" s="4662"/>
      <c r="AL129" s="4662"/>
      <c r="AM129" s="4662"/>
      <c r="AN129" s="4662"/>
      <c r="AO129" s="4662"/>
      <c r="AP129" s="4661"/>
      <c r="AQ129" s="4660" t="str">
        <f xml:space="preserve"> IF(OR(AZ127="",AZ127=0),"N/A",AQ127)</f>
        <v>N/A</v>
      </c>
      <c r="AR129" s="4662"/>
      <c r="AS129" s="4662"/>
      <c r="AT129" s="4662"/>
      <c r="AU129" s="4662"/>
      <c r="AV129" s="4662"/>
      <c r="AW129" s="4662"/>
      <c r="AX129" s="4662"/>
      <c r="AY129" s="4662"/>
      <c r="AZ129" s="4661"/>
      <c r="BA129" s="4660" t="str">
        <f xml:space="preserve"> IF(OR(BJ127="",BJ127=0),"N/A",BA127)</f>
        <v>N/A</v>
      </c>
      <c r="BB129" s="4662"/>
      <c r="BC129" s="4662"/>
      <c r="BD129" s="4662"/>
      <c r="BE129" s="4662"/>
      <c r="BF129" s="4662"/>
      <c r="BG129" s="4662"/>
      <c r="BH129" s="4662"/>
      <c r="BI129" s="4662"/>
      <c r="BJ129" s="4661"/>
      <c r="BK129" s="1085" t="s">
        <v>4676</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5" t="s">
        <v>4654</v>
      </c>
      <c r="BU129" s="4656"/>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74" t="s">
        <v>4677</v>
      </c>
      <c r="U130" s="4675"/>
      <c r="V130" s="2373"/>
      <c r="W130" s="4643"/>
      <c r="X130" s="4644"/>
      <c r="Y130" s="4644"/>
      <c r="Z130" s="4644"/>
      <c r="AA130" s="4644"/>
      <c r="AB130" s="4644"/>
      <c r="AC130" s="4644"/>
      <c r="AD130" s="4644"/>
      <c r="AE130" s="4644"/>
      <c r="AF130" s="4645"/>
      <c r="AG130" s="4643"/>
      <c r="AH130" s="4644"/>
      <c r="AI130" s="4644"/>
      <c r="AJ130" s="4644"/>
      <c r="AK130" s="4644"/>
      <c r="AL130" s="4644"/>
      <c r="AM130" s="4644"/>
      <c r="AN130" s="4644"/>
      <c r="AO130" s="4644"/>
      <c r="AP130" s="4645"/>
      <c r="AQ130" s="4643"/>
      <c r="AR130" s="4644"/>
      <c r="AS130" s="4644"/>
      <c r="AT130" s="4644"/>
      <c r="AU130" s="4644"/>
      <c r="AV130" s="4644"/>
      <c r="AW130" s="4644"/>
      <c r="AX130" s="4644"/>
      <c r="AY130" s="4644"/>
      <c r="AZ130" s="4645"/>
      <c r="BA130" s="4643"/>
      <c r="BB130" s="4644"/>
      <c r="BC130" s="4644"/>
      <c r="BD130" s="4644"/>
      <c r="BE130" s="4644"/>
      <c r="BF130" s="4644"/>
      <c r="BG130" s="4644"/>
      <c r="BH130" s="4644"/>
      <c r="BI130" s="4644"/>
      <c r="BJ130" s="4645"/>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41" t="s">
        <v>4682</v>
      </c>
      <c r="BU130" s="4642"/>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63" t="s">
        <v>4679</v>
      </c>
      <c r="U131" s="4664"/>
      <c r="V131" s="2371"/>
      <c r="W131" s="4665"/>
      <c r="X131" s="4666"/>
      <c r="Y131" s="4666"/>
      <c r="Z131" s="4666"/>
      <c r="AA131" s="4666"/>
      <c r="AB131" s="4666"/>
      <c r="AC131" s="4666"/>
      <c r="AD131" s="4666"/>
      <c r="AE131" s="4666"/>
      <c r="AF131" s="4667"/>
      <c r="AG131" s="4665"/>
      <c r="AH131" s="4666"/>
      <c r="AI131" s="4666"/>
      <c r="AJ131" s="4666"/>
      <c r="AK131" s="4666"/>
      <c r="AL131" s="4666"/>
      <c r="AM131" s="4666"/>
      <c r="AN131" s="4666"/>
      <c r="AO131" s="4666"/>
      <c r="AP131" s="4667"/>
      <c r="AQ131" s="4665"/>
      <c r="AR131" s="4666"/>
      <c r="AS131" s="4666"/>
      <c r="AT131" s="4666"/>
      <c r="AU131" s="4666"/>
      <c r="AV131" s="4666"/>
      <c r="AW131" s="4666"/>
      <c r="AX131" s="4666"/>
      <c r="AY131" s="4666"/>
      <c r="AZ131" s="4667"/>
      <c r="BA131" s="4665"/>
      <c r="BB131" s="4666"/>
      <c r="BC131" s="4666"/>
      <c r="BD131" s="4666"/>
      <c r="BE131" s="4666"/>
      <c r="BF131" s="4666"/>
      <c r="BG131" s="4666"/>
      <c r="BH131" s="4666"/>
      <c r="BI131" s="4666"/>
      <c r="BJ131" s="4667"/>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4683</v>
      </c>
      <c r="BV133" s="1049"/>
      <c r="BW133" s="2365" t="s">
        <v>4684</v>
      </c>
      <c r="BX133" s="2364" t="s">
        <v>4685</v>
      </c>
      <c r="BY133" s="1397" t="s">
        <v>4685</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57" t="s">
        <v>4675</v>
      </c>
      <c r="U134" s="4658"/>
      <c r="V134" s="4658"/>
      <c r="W134" s="4658"/>
      <c r="X134" s="4658"/>
      <c r="Y134" s="4658"/>
      <c r="Z134" s="4658"/>
      <c r="AA134" s="4658"/>
      <c r="AB134" s="4658"/>
      <c r="AC134" s="4658"/>
      <c r="AD134" s="4658"/>
      <c r="AE134" s="4658"/>
      <c r="AF134" s="4658"/>
      <c r="AG134" s="4658"/>
      <c r="AH134" s="4658"/>
      <c r="AI134" s="4658"/>
      <c r="AJ134" s="4658"/>
      <c r="AK134" s="4658"/>
      <c r="AL134" s="4658"/>
      <c r="AM134" s="4658"/>
      <c r="AN134" s="4658"/>
      <c r="AO134" s="4658"/>
      <c r="AP134" s="4658"/>
      <c r="AQ134" s="4658"/>
      <c r="AR134" s="4658"/>
      <c r="AS134" s="4658"/>
      <c r="AT134" s="4658"/>
      <c r="AU134" s="4658"/>
      <c r="AV134" s="4658"/>
      <c r="AW134" s="4658"/>
      <c r="AX134" s="4658"/>
      <c r="AY134" s="4658"/>
      <c r="AZ134" s="4658"/>
      <c r="BA134" s="4658"/>
      <c r="BB134" s="4658"/>
      <c r="BC134" s="4658"/>
      <c r="BD134" s="4658"/>
      <c r="BE134" s="4658"/>
      <c r="BF134" s="4658"/>
      <c r="BG134" s="4658"/>
      <c r="BH134" s="4658"/>
      <c r="BI134" s="4658"/>
      <c r="BJ134" s="4658"/>
      <c r="BK134" s="4659"/>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60"/>
      <c r="U135" s="4661"/>
      <c r="V135" s="2372" t="str">
        <f>IF(OR(V133=0,V133=""),"N/A",V133)</f>
        <v>N/A</v>
      </c>
      <c r="W135" s="4660" t="str">
        <f xml:space="preserve"> IF(OR(AF133=0,AF133=""),"N/A",W133)</f>
        <v>N/A</v>
      </c>
      <c r="X135" s="4662"/>
      <c r="Y135" s="4662"/>
      <c r="Z135" s="4662"/>
      <c r="AA135" s="4662"/>
      <c r="AB135" s="4662"/>
      <c r="AC135" s="4662"/>
      <c r="AD135" s="4662"/>
      <c r="AE135" s="4662"/>
      <c r="AF135" s="4661"/>
      <c r="AG135" s="4660" t="str">
        <f xml:space="preserve"> IF(OR(AP133="",AP133=0),"N/A",AG133)</f>
        <v>N/A</v>
      </c>
      <c r="AH135" s="4662"/>
      <c r="AI135" s="4662"/>
      <c r="AJ135" s="4662"/>
      <c r="AK135" s="4662"/>
      <c r="AL135" s="4662"/>
      <c r="AM135" s="4662"/>
      <c r="AN135" s="4662"/>
      <c r="AO135" s="4662"/>
      <c r="AP135" s="4661"/>
      <c r="AQ135" s="4660" t="str">
        <f xml:space="preserve"> IF(OR(AZ133="",AZ133=0),"N/A",AQ133)</f>
        <v>N/A</v>
      </c>
      <c r="AR135" s="4662"/>
      <c r="AS135" s="4662"/>
      <c r="AT135" s="4662"/>
      <c r="AU135" s="4662"/>
      <c r="AV135" s="4662"/>
      <c r="AW135" s="4662"/>
      <c r="AX135" s="4662"/>
      <c r="AY135" s="4662"/>
      <c r="AZ135" s="4661"/>
      <c r="BA135" s="4660" t="str">
        <f xml:space="preserve"> IF(OR(BJ133="",BJ133=0),"N/A",BA133)</f>
        <v>N/A</v>
      </c>
      <c r="BB135" s="4662"/>
      <c r="BC135" s="4662"/>
      <c r="BD135" s="4662"/>
      <c r="BE135" s="4662"/>
      <c r="BF135" s="4662"/>
      <c r="BG135" s="4662"/>
      <c r="BH135" s="4662"/>
      <c r="BI135" s="4662"/>
      <c r="BJ135" s="4661"/>
      <c r="BK135" s="1085" t="s">
        <v>4676</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4683</v>
      </c>
      <c r="BV135" s="1049"/>
      <c r="BW135" s="2365" t="s">
        <v>4684</v>
      </c>
      <c r="BX135" s="2364" t="s">
        <v>4685</v>
      </c>
      <c r="BY135" s="1398" t="s">
        <v>4685</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74" t="s">
        <v>4677</v>
      </c>
      <c r="U136" s="4675"/>
      <c r="V136" s="2373"/>
      <c r="W136" s="4643"/>
      <c r="X136" s="4644"/>
      <c r="Y136" s="4644"/>
      <c r="Z136" s="4644"/>
      <c r="AA136" s="4644"/>
      <c r="AB136" s="4644"/>
      <c r="AC136" s="4644"/>
      <c r="AD136" s="4644"/>
      <c r="AE136" s="4644"/>
      <c r="AF136" s="4645"/>
      <c r="AG136" s="4643"/>
      <c r="AH136" s="4644"/>
      <c r="AI136" s="4644"/>
      <c r="AJ136" s="4644"/>
      <c r="AK136" s="4644"/>
      <c r="AL136" s="4644"/>
      <c r="AM136" s="4644"/>
      <c r="AN136" s="4644"/>
      <c r="AO136" s="4644"/>
      <c r="AP136" s="4645"/>
      <c r="AQ136" s="4643"/>
      <c r="AR136" s="4644"/>
      <c r="AS136" s="4644"/>
      <c r="AT136" s="4644"/>
      <c r="AU136" s="4644"/>
      <c r="AV136" s="4644"/>
      <c r="AW136" s="4644"/>
      <c r="AX136" s="4644"/>
      <c r="AY136" s="4644"/>
      <c r="AZ136" s="4645"/>
      <c r="BA136" s="4643"/>
      <c r="BB136" s="4644"/>
      <c r="BC136" s="4644"/>
      <c r="BD136" s="4644"/>
      <c r="BE136" s="4644"/>
      <c r="BF136" s="4644"/>
      <c r="BG136" s="4644"/>
      <c r="BH136" s="4644"/>
      <c r="BI136" s="4644"/>
      <c r="BJ136" s="4645"/>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63" t="s">
        <v>4679</v>
      </c>
      <c r="U137" s="4664"/>
      <c r="V137" s="2371"/>
      <c r="W137" s="4665"/>
      <c r="X137" s="4666"/>
      <c r="Y137" s="4666"/>
      <c r="Z137" s="4666"/>
      <c r="AA137" s="4666"/>
      <c r="AB137" s="4666"/>
      <c r="AC137" s="4666"/>
      <c r="AD137" s="4666"/>
      <c r="AE137" s="4666"/>
      <c r="AF137" s="4667"/>
      <c r="AG137" s="4665"/>
      <c r="AH137" s="4666"/>
      <c r="AI137" s="4666"/>
      <c r="AJ137" s="4666"/>
      <c r="AK137" s="4666"/>
      <c r="AL137" s="4666"/>
      <c r="AM137" s="4666"/>
      <c r="AN137" s="4666"/>
      <c r="AO137" s="4666"/>
      <c r="AP137" s="4667"/>
      <c r="AQ137" s="4665"/>
      <c r="AR137" s="4666"/>
      <c r="AS137" s="4666"/>
      <c r="AT137" s="4666"/>
      <c r="AU137" s="4666"/>
      <c r="AV137" s="4666"/>
      <c r="AW137" s="4666"/>
      <c r="AX137" s="4666"/>
      <c r="AY137" s="4666"/>
      <c r="AZ137" s="4667"/>
      <c r="BA137" s="4665"/>
      <c r="BB137" s="4666"/>
      <c r="BC137" s="4666"/>
      <c r="BD137" s="4666"/>
      <c r="BE137" s="4666"/>
      <c r="BF137" s="4666"/>
      <c r="BG137" s="4666"/>
      <c r="BH137" s="4666"/>
      <c r="BI137" s="4666"/>
      <c r="BJ137" s="4667"/>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4683</v>
      </c>
      <c r="BV137" s="1049"/>
      <c r="BW137" s="2365" t="s">
        <v>4684</v>
      </c>
      <c r="BX137" s="2364" t="s">
        <v>4685</v>
      </c>
      <c r="BY137" s="1398" t="s">
        <v>4685</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4683</v>
      </c>
      <c r="BV139" s="1049"/>
      <c r="BW139" s="2365" t="s">
        <v>4684</v>
      </c>
      <c r="BX139" s="2364" t="s">
        <v>4685</v>
      </c>
      <c r="BY139" s="1398" t="s">
        <v>4685</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57" t="s">
        <v>4675</v>
      </c>
      <c r="U140" s="4658"/>
      <c r="V140" s="4658"/>
      <c r="W140" s="4658"/>
      <c r="X140" s="4658"/>
      <c r="Y140" s="4658"/>
      <c r="Z140" s="4658"/>
      <c r="AA140" s="4658"/>
      <c r="AB140" s="4658"/>
      <c r="AC140" s="4658"/>
      <c r="AD140" s="4658"/>
      <c r="AE140" s="4658"/>
      <c r="AF140" s="4658"/>
      <c r="AG140" s="4658"/>
      <c r="AH140" s="4658"/>
      <c r="AI140" s="4658"/>
      <c r="AJ140" s="4658"/>
      <c r="AK140" s="4658"/>
      <c r="AL140" s="4658"/>
      <c r="AM140" s="4658"/>
      <c r="AN140" s="4658"/>
      <c r="AO140" s="4658"/>
      <c r="AP140" s="4658"/>
      <c r="AQ140" s="4658"/>
      <c r="AR140" s="4658"/>
      <c r="AS140" s="4658"/>
      <c r="AT140" s="4658"/>
      <c r="AU140" s="4658"/>
      <c r="AV140" s="4658"/>
      <c r="AW140" s="4658"/>
      <c r="AX140" s="4658"/>
      <c r="AY140" s="4658"/>
      <c r="AZ140" s="4658"/>
      <c r="BA140" s="4658"/>
      <c r="BB140" s="4658"/>
      <c r="BC140" s="4658"/>
      <c r="BD140" s="4658"/>
      <c r="BE140" s="4658"/>
      <c r="BF140" s="4658"/>
      <c r="BG140" s="4658"/>
      <c r="BH140" s="4658"/>
      <c r="BI140" s="4658"/>
      <c r="BJ140" s="4658"/>
      <c r="BK140" s="4659"/>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60"/>
      <c r="U141" s="4661"/>
      <c r="V141" s="2372" t="str">
        <f>IF(OR(V139=0,V139=""),"N/A",V139)</f>
        <v>N/A</v>
      </c>
      <c r="W141" s="4660" t="str">
        <f xml:space="preserve"> IF(OR(AF139=0,AF139=""),"N/A",W139)</f>
        <v>N/A</v>
      </c>
      <c r="X141" s="4662"/>
      <c r="Y141" s="4662"/>
      <c r="Z141" s="4662"/>
      <c r="AA141" s="4662"/>
      <c r="AB141" s="4662"/>
      <c r="AC141" s="4662"/>
      <c r="AD141" s="4662"/>
      <c r="AE141" s="4662"/>
      <c r="AF141" s="4661"/>
      <c r="AG141" s="4660" t="str">
        <f xml:space="preserve"> IF(OR(AP139="",AP139=0),"N/A",AG139)</f>
        <v>N/A</v>
      </c>
      <c r="AH141" s="4662"/>
      <c r="AI141" s="4662"/>
      <c r="AJ141" s="4662"/>
      <c r="AK141" s="4662"/>
      <c r="AL141" s="4662"/>
      <c r="AM141" s="4662"/>
      <c r="AN141" s="4662"/>
      <c r="AO141" s="4662"/>
      <c r="AP141" s="4661"/>
      <c r="AQ141" s="4660" t="str">
        <f xml:space="preserve"> IF(OR(AZ139="",AZ139=0),"N/A",AQ139)</f>
        <v>N/A</v>
      </c>
      <c r="AR141" s="4662"/>
      <c r="AS141" s="4662"/>
      <c r="AT141" s="4662"/>
      <c r="AU141" s="4662"/>
      <c r="AV141" s="4662"/>
      <c r="AW141" s="4662"/>
      <c r="AX141" s="4662"/>
      <c r="AY141" s="4662"/>
      <c r="AZ141" s="4661"/>
      <c r="BA141" s="4660" t="str">
        <f xml:space="preserve"> IF(OR(BJ139="",BJ139=0),"N/A",BA139)</f>
        <v>N/A</v>
      </c>
      <c r="BB141" s="4662"/>
      <c r="BC141" s="4662"/>
      <c r="BD141" s="4662"/>
      <c r="BE141" s="4662"/>
      <c r="BF141" s="4662"/>
      <c r="BG141" s="4662"/>
      <c r="BH141" s="4662"/>
      <c r="BI141" s="4662"/>
      <c r="BJ141" s="4661"/>
      <c r="BK141" s="1085" t="s">
        <v>4676</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4683</v>
      </c>
      <c r="BV141" s="1049"/>
      <c r="BW141" s="2365" t="s">
        <v>4684</v>
      </c>
      <c r="BX141" s="2364" t="s">
        <v>4685</v>
      </c>
      <c r="BY141" s="1398" t="s">
        <v>4685</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74" t="s">
        <v>4677</v>
      </c>
      <c r="U142" s="4675"/>
      <c r="V142" s="2373"/>
      <c r="W142" s="4643"/>
      <c r="X142" s="4644"/>
      <c r="Y142" s="4644"/>
      <c r="Z142" s="4644"/>
      <c r="AA142" s="4644"/>
      <c r="AB142" s="4644"/>
      <c r="AC142" s="4644"/>
      <c r="AD142" s="4644"/>
      <c r="AE142" s="4644"/>
      <c r="AF142" s="4645"/>
      <c r="AG142" s="4643"/>
      <c r="AH142" s="4644"/>
      <c r="AI142" s="4644"/>
      <c r="AJ142" s="4644"/>
      <c r="AK142" s="4644"/>
      <c r="AL142" s="4644"/>
      <c r="AM142" s="4644"/>
      <c r="AN142" s="4644"/>
      <c r="AO142" s="4644"/>
      <c r="AP142" s="4645"/>
      <c r="AQ142" s="4643"/>
      <c r="AR142" s="4644"/>
      <c r="AS142" s="4644"/>
      <c r="AT142" s="4644"/>
      <c r="AU142" s="4644"/>
      <c r="AV142" s="4644"/>
      <c r="AW142" s="4644"/>
      <c r="AX142" s="4644"/>
      <c r="AY142" s="4644"/>
      <c r="AZ142" s="4645"/>
      <c r="BA142" s="4643"/>
      <c r="BB142" s="4644"/>
      <c r="BC142" s="4644"/>
      <c r="BD142" s="4644"/>
      <c r="BE142" s="4644"/>
      <c r="BF142" s="4644"/>
      <c r="BG142" s="4644"/>
      <c r="BH142" s="4644"/>
      <c r="BI142" s="4644"/>
      <c r="BJ142" s="4645"/>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63" t="s">
        <v>4679</v>
      </c>
      <c r="U143" s="4664"/>
      <c r="V143" s="2371"/>
      <c r="W143" s="4665"/>
      <c r="X143" s="4666"/>
      <c r="Y143" s="4666"/>
      <c r="Z143" s="4666"/>
      <c r="AA143" s="4666"/>
      <c r="AB143" s="4666"/>
      <c r="AC143" s="4666"/>
      <c r="AD143" s="4666"/>
      <c r="AE143" s="4666"/>
      <c r="AF143" s="4667"/>
      <c r="AG143" s="4665"/>
      <c r="AH143" s="4666"/>
      <c r="AI143" s="4666"/>
      <c r="AJ143" s="4666"/>
      <c r="AK143" s="4666"/>
      <c r="AL143" s="4666"/>
      <c r="AM143" s="4666"/>
      <c r="AN143" s="4666"/>
      <c r="AO143" s="4666"/>
      <c r="AP143" s="4667"/>
      <c r="AQ143" s="4665"/>
      <c r="AR143" s="4666"/>
      <c r="AS143" s="4666"/>
      <c r="AT143" s="4666"/>
      <c r="AU143" s="4666"/>
      <c r="AV143" s="4666"/>
      <c r="AW143" s="4666"/>
      <c r="AX143" s="4666"/>
      <c r="AY143" s="4666"/>
      <c r="AZ143" s="4667"/>
      <c r="BA143" s="4665"/>
      <c r="BB143" s="4666"/>
      <c r="BC143" s="4666"/>
      <c r="BD143" s="4666"/>
      <c r="BE143" s="4666"/>
      <c r="BF143" s="4666"/>
      <c r="BG143" s="4666"/>
      <c r="BH143" s="4666"/>
      <c r="BI143" s="4666"/>
      <c r="BJ143" s="4667"/>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4683</v>
      </c>
      <c r="BV143" s="1049"/>
      <c r="BW143" s="2365" t="s">
        <v>4684</v>
      </c>
      <c r="BX143" s="2364" t="s">
        <v>4685</v>
      </c>
      <c r="BY143" s="1398" t="s">
        <v>4685</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6"/>
      <c r="BV145" s="4646"/>
      <c r="BW145" s="4646"/>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57" t="s">
        <v>4675</v>
      </c>
      <c r="U146" s="4658"/>
      <c r="V146" s="4658"/>
      <c r="W146" s="4658"/>
      <c r="X146" s="4658"/>
      <c r="Y146" s="4658"/>
      <c r="Z146" s="4658"/>
      <c r="AA146" s="4658"/>
      <c r="AB146" s="4658"/>
      <c r="AC146" s="4658"/>
      <c r="AD146" s="4658"/>
      <c r="AE146" s="4658"/>
      <c r="AF146" s="4658"/>
      <c r="AG146" s="4658"/>
      <c r="AH146" s="4658"/>
      <c r="AI146" s="4658"/>
      <c r="AJ146" s="4658"/>
      <c r="AK146" s="4658"/>
      <c r="AL146" s="4658"/>
      <c r="AM146" s="4658"/>
      <c r="AN146" s="4658"/>
      <c r="AO146" s="4658"/>
      <c r="AP146" s="4658"/>
      <c r="AQ146" s="4658"/>
      <c r="AR146" s="4658"/>
      <c r="AS146" s="4658"/>
      <c r="AT146" s="4658"/>
      <c r="AU146" s="4658"/>
      <c r="AV146" s="4658"/>
      <c r="AW146" s="4658"/>
      <c r="AX146" s="4658"/>
      <c r="AY146" s="4658"/>
      <c r="AZ146" s="4658"/>
      <c r="BA146" s="4658"/>
      <c r="BB146" s="4658"/>
      <c r="BC146" s="4658"/>
      <c r="BD146" s="4658"/>
      <c r="BE146" s="4658"/>
      <c r="BF146" s="4658"/>
      <c r="BG146" s="4658"/>
      <c r="BH146" s="4658"/>
      <c r="BI146" s="4658"/>
      <c r="BJ146" s="4658"/>
      <c r="BK146" s="4659"/>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60"/>
      <c r="U147" s="4661"/>
      <c r="V147" s="2372" t="str">
        <f>IF(OR(V145=0,V145=""),"N/A",V145)</f>
        <v>N/A</v>
      </c>
      <c r="W147" s="4660" t="str">
        <f xml:space="preserve"> IF(OR(AF145=0,AF145=""),"N/A",W145)</f>
        <v>N/A</v>
      </c>
      <c r="X147" s="4662"/>
      <c r="Y147" s="4662"/>
      <c r="Z147" s="4662"/>
      <c r="AA147" s="4662"/>
      <c r="AB147" s="4662"/>
      <c r="AC147" s="4662"/>
      <c r="AD147" s="4662"/>
      <c r="AE147" s="4662"/>
      <c r="AF147" s="4661"/>
      <c r="AG147" s="4660" t="str">
        <f xml:space="preserve"> IF(OR(AP145="",AP145=0),"N/A",AG145)</f>
        <v>N/A</v>
      </c>
      <c r="AH147" s="4662"/>
      <c r="AI147" s="4662"/>
      <c r="AJ147" s="4662"/>
      <c r="AK147" s="4662"/>
      <c r="AL147" s="4662"/>
      <c r="AM147" s="4662"/>
      <c r="AN147" s="4662"/>
      <c r="AO147" s="4662"/>
      <c r="AP147" s="4661"/>
      <c r="AQ147" s="4660" t="str">
        <f xml:space="preserve"> IF(OR(AZ145="",AZ145=0),"N/A",AQ145)</f>
        <v>N/A</v>
      </c>
      <c r="AR147" s="4662"/>
      <c r="AS147" s="4662"/>
      <c r="AT147" s="4662"/>
      <c r="AU147" s="4662"/>
      <c r="AV147" s="4662"/>
      <c r="AW147" s="4662"/>
      <c r="AX147" s="4662"/>
      <c r="AY147" s="4662"/>
      <c r="AZ147" s="4661"/>
      <c r="BA147" s="4660" t="str">
        <f xml:space="preserve"> IF(OR(BJ145="",BJ145=0),"N/A",BA145)</f>
        <v>N/A</v>
      </c>
      <c r="BB147" s="4662"/>
      <c r="BC147" s="4662"/>
      <c r="BD147" s="4662"/>
      <c r="BE147" s="4662"/>
      <c r="BF147" s="4662"/>
      <c r="BG147" s="4662"/>
      <c r="BH147" s="4662"/>
      <c r="BI147" s="4662"/>
      <c r="BJ147" s="4661"/>
      <c r="BK147" s="1085" t="s">
        <v>4676</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708"/>
      <c r="BV147" s="4708"/>
      <c r="BW147" s="4708"/>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74" t="s">
        <v>4677</v>
      </c>
      <c r="U148" s="4675"/>
      <c r="V148" s="2373"/>
      <c r="W148" s="4643"/>
      <c r="X148" s="4644"/>
      <c r="Y148" s="4644"/>
      <c r="Z148" s="4644"/>
      <c r="AA148" s="4644"/>
      <c r="AB148" s="4644"/>
      <c r="AC148" s="4644"/>
      <c r="AD148" s="4644"/>
      <c r="AE148" s="4644"/>
      <c r="AF148" s="4645"/>
      <c r="AG148" s="4643"/>
      <c r="AH148" s="4644"/>
      <c r="AI148" s="4644"/>
      <c r="AJ148" s="4644"/>
      <c r="AK148" s="4644"/>
      <c r="AL148" s="4644"/>
      <c r="AM148" s="4644"/>
      <c r="AN148" s="4644"/>
      <c r="AO148" s="4644"/>
      <c r="AP148" s="4645"/>
      <c r="AQ148" s="4643"/>
      <c r="AR148" s="4644"/>
      <c r="AS148" s="4644"/>
      <c r="AT148" s="4644"/>
      <c r="AU148" s="4644"/>
      <c r="AV148" s="4644"/>
      <c r="AW148" s="4644"/>
      <c r="AX148" s="4644"/>
      <c r="AY148" s="4644"/>
      <c r="AZ148" s="4645"/>
      <c r="BA148" s="4643"/>
      <c r="BB148" s="4644"/>
      <c r="BC148" s="4644"/>
      <c r="BD148" s="4644"/>
      <c r="BE148" s="4644"/>
      <c r="BF148" s="4644"/>
      <c r="BG148" s="4644"/>
      <c r="BH148" s="4644"/>
      <c r="BI148" s="4644"/>
      <c r="BJ148" s="4645"/>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68" t="s">
        <v>4679</v>
      </c>
      <c r="U149" s="4669"/>
      <c r="V149" s="2376"/>
      <c r="W149" s="4670"/>
      <c r="X149" s="4671"/>
      <c r="Y149" s="4671"/>
      <c r="Z149" s="4671"/>
      <c r="AA149" s="4671"/>
      <c r="AB149" s="4671"/>
      <c r="AC149" s="4671"/>
      <c r="AD149" s="4671"/>
      <c r="AE149" s="4671"/>
      <c r="AF149" s="4672"/>
      <c r="AG149" s="4670"/>
      <c r="AH149" s="4671"/>
      <c r="AI149" s="4671"/>
      <c r="AJ149" s="4671"/>
      <c r="AK149" s="4671"/>
      <c r="AL149" s="4671"/>
      <c r="AM149" s="4671"/>
      <c r="AN149" s="4671"/>
      <c r="AO149" s="4671"/>
      <c r="AP149" s="4672"/>
      <c r="AQ149" s="4670"/>
      <c r="AR149" s="4671"/>
      <c r="AS149" s="4671"/>
      <c r="AT149" s="4671"/>
      <c r="AU149" s="4671"/>
      <c r="AV149" s="4671"/>
      <c r="AW149" s="4671"/>
      <c r="AX149" s="4671"/>
      <c r="AY149" s="4671"/>
      <c r="AZ149" s="4672"/>
      <c r="BA149" s="4670"/>
      <c r="BB149" s="4671"/>
      <c r="BC149" s="4671"/>
      <c r="BD149" s="4671"/>
      <c r="BE149" s="4671"/>
      <c r="BF149" s="4671"/>
      <c r="BG149" s="4671"/>
      <c r="BH149" s="4671"/>
      <c r="BI149" s="4671"/>
      <c r="BJ149" s="4672"/>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4686</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73"/>
      <c r="BL150" s="4673"/>
      <c r="BM150" s="4642"/>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41" t="s">
        <v>4688</v>
      </c>
      <c r="BU150" s="4642"/>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4687</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48" t="str">
        <f>IF(OR(E151='Tablas Técnicas'!A$678,E151='Tablas Técnicas'!A$679,E152='Tablas Técnicas'!A$678,E152='Tablas Técnicas'!A$679,E153='Tablas Técnicas'!A$678,E153='Tablas Técnicas'!A$679),"Selecciona la atadura elemental:","")</f>
        <v/>
      </c>
      <c r="AH151" s="4649"/>
      <c r="AI151" s="4649"/>
      <c r="AJ151" s="4649"/>
      <c r="AK151" s="4649"/>
      <c r="AL151" s="4649"/>
      <c r="AM151" s="4649"/>
      <c r="AN151" s="4649"/>
      <c r="AO151" s="4649"/>
      <c r="AP151" s="4649"/>
      <c r="AQ151" s="4649"/>
      <c r="AR151" s="4649"/>
      <c r="AS151" s="4649"/>
      <c r="AT151" s="4649"/>
      <c r="AU151" s="4649"/>
      <c r="AV151" s="4649"/>
      <c r="AW151" s="4649"/>
      <c r="AX151" s="4649"/>
      <c r="AY151" s="4649"/>
      <c r="AZ151" s="4649"/>
      <c r="BA151" s="4649"/>
      <c r="BB151" s="4649"/>
      <c r="BC151" s="4649"/>
      <c r="BD151" s="4649"/>
      <c r="BE151" s="4649"/>
      <c r="BF151" s="4649"/>
      <c r="BG151" s="4649"/>
      <c r="BH151" s="4649"/>
      <c r="BI151" s="4649"/>
      <c r="BJ151" s="4649"/>
      <c r="BK151" s="4650"/>
      <c r="BL151" s="1540"/>
      <c r="BM151" s="1540"/>
      <c r="BN151" s="1084"/>
      <c r="BO151" s="1084"/>
      <c r="BP151" s="1117"/>
      <c r="BQ151" s="1084"/>
      <c r="BR151" s="1084"/>
      <c r="BS151" s="1084"/>
      <c r="BT151" s="4651">
        <f>D119</f>
        <v>1</v>
      </c>
      <c r="BU151" s="4652"/>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4689</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4690</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8173</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8541</v>
      </c>
      <c r="F156" s="1041" t="s">
        <v>1792</v>
      </c>
      <c r="G156" s="1042" t="s">
        <v>1793</v>
      </c>
      <c r="H156" s="1042" t="s">
        <v>1815</v>
      </c>
      <c r="I156" s="1043" t="s">
        <v>3467</v>
      </c>
      <c r="J156" s="1044"/>
      <c r="K156" s="1045"/>
      <c r="L156" s="1043" t="s">
        <v>3468</v>
      </c>
      <c r="M156" s="1044"/>
      <c r="N156" s="1045"/>
      <c r="O156" s="1043" t="s">
        <v>3469</v>
      </c>
      <c r="P156" s="1044"/>
      <c r="Q156" s="1045"/>
      <c r="R156" s="1046" t="s">
        <v>4666</v>
      </c>
      <c r="S156" s="1042" t="s">
        <v>3437</v>
      </c>
      <c r="T156" s="2368" t="s">
        <v>1711</v>
      </c>
      <c r="U156" s="2368" t="s">
        <v>1682</v>
      </c>
      <c r="V156" s="2368" t="s">
        <v>3470</v>
      </c>
      <c r="W156" s="4678" t="s">
        <v>3471</v>
      </c>
      <c r="X156" s="4678"/>
      <c r="Y156" s="4678"/>
      <c r="Z156" s="4678"/>
      <c r="AA156" s="4678"/>
      <c r="AB156" s="4678"/>
      <c r="AC156" s="4678"/>
      <c r="AD156" s="4678"/>
      <c r="AE156" s="4678"/>
      <c r="AF156" s="4678"/>
      <c r="AG156" s="4678"/>
      <c r="AH156" s="4678"/>
      <c r="AI156" s="4678"/>
      <c r="AJ156" s="4678"/>
      <c r="AK156" s="4678"/>
      <c r="AL156" s="4678"/>
      <c r="AM156" s="4678"/>
      <c r="AN156" s="4678"/>
      <c r="AO156" s="4678"/>
      <c r="AP156" s="4678"/>
      <c r="AQ156" s="4678"/>
      <c r="AR156" s="4678"/>
      <c r="AS156" s="4678"/>
      <c r="AT156" s="4678"/>
      <c r="AU156" s="4678"/>
      <c r="AV156" s="4678"/>
      <c r="AW156" s="4678"/>
      <c r="AX156" s="4678"/>
      <c r="AY156" s="4678"/>
      <c r="AZ156" s="4678"/>
      <c r="BA156" s="4678"/>
      <c r="BB156" s="4678"/>
      <c r="BC156" s="4678"/>
      <c r="BD156" s="4678"/>
      <c r="BE156" s="4678"/>
      <c r="BF156" s="4678"/>
      <c r="BG156" s="4678"/>
      <c r="BH156" s="4678"/>
      <c r="BI156" s="4678"/>
      <c r="BJ156" s="4678"/>
      <c r="BK156" s="4678" t="s">
        <v>3472</v>
      </c>
      <c r="BL156" s="4678"/>
      <c r="BM156" s="4679"/>
      <c r="BN156" s="1047" t="s">
        <v>4667</v>
      </c>
      <c r="BO156" s="1047" t="s">
        <v>4668</v>
      </c>
      <c r="BP156" s="1047" t="s">
        <v>4669</v>
      </c>
      <c r="BQ156" s="1047" t="s">
        <v>4670</v>
      </c>
      <c r="BR156" s="1047" t="s">
        <v>4671</v>
      </c>
      <c r="BS156" s="1048" t="s">
        <v>4672</v>
      </c>
      <c r="BT156" s="4653" t="s">
        <v>4673</v>
      </c>
      <c r="BU156" s="4654"/>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3448</v>
      </c>
      <c r="DW157" s="1524" t="s">
        <v>3434</v>
      </c>
      <c r="DX157" s="1525" t="s">
        <v>8176</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53" t="s">
        <v>4674</v>
      </c>
      <c r="BU158" s="4654"/>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70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57" t="s">
        <v>4675</v>
      </c>
      <c r="U159" s="4658"/>
      <c r="V159" s="4658"/>
      <c r="W159" s="4658"/>
      <c r="X159" s="4658"/>
      <c r="Y159" s="4658"/>
      <c r="Z159" s="4658"/>
      <c r="AA159" s="4658"/>
      <c r="AB159" s="4658"/>
      <c r="AC159" s="4658"/>
      <c r="AD159" s="4658"/>
      <c r="AE159" s="4658"/>
      <c r="AF159" s="4658"/>
      <c r="AG159" s="4658"/>
      <c r="AH159" s="4658"/>
      <c r="AI159" s="4658"/>
      <c r="AJ159" s="4658"/>
      <c r="AK159" s="4658"/>
      <c r="AL159" s="4658"/>
      <c r="AM159" s="4658"/>
      <c r="AN159" s="4658"/>
      <c r="AO159" s="4658"/>
      <c r="AP159" s="4658"/>
      <c r="AQ159" s="4658"/>
      <c r="AR159" s="4658"/>
      <c r="AS159" s="4658"/>
      <c r="AT159" s="4658"/>
      <c r="AU159" s="4658"/>
      <c r="AV159" s="4658"/>
      <c r="AW159" s="4658"/>
      <c r="AX159" s="4658"/>
      <c r="AY159" s="4658"/>
      <c r="AZ159" s="4658"/>
      <c r="BA159" s="4658"/>
      <c r="BB159" s="4658"/>
      <c r="BC159" s="4658"/>
      <c r="BD159" s="4658"/>
      <c r="BE159" s="4658"/>
      <c r="BF159" s="4658"/>
      <c r="BG159" s="4658"/>
      <c r="BH159" s="4658"/>
      <c r="BI159" s="4658"/>
      <c r="BJ159" s="4658"/>
      <c r="BK159" s="4659"/>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7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77"/>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701"/>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60"/>
      <c r="U160" s="4661"/>
      <c r="V160" s="2372" t="str">
        <f>IF(OR(V158=0,V158=""),"N/A",V158)</f>
        <v>N/A</v>
      </c>
      <c r="W160" s="4660" t="str">
        <f xml:space="preserve"> IF(OR(AF158=0,AF158=""),"N/A",W158)</f>
        <v>N/A</v>
      </c>
      <c r="X160" s="4662"/>
      <c r="Y160" s="4662"/>
      <c r="Z160" s="4662"/>
      <c r="AA160" s="4662"/>
      <c r="AB160" s="4662"/>
      <c r="AC160" s="4662"/>
      <c r="AD160" s="4662"/>
      <c r="AE160" s="4662"/>
      <c r="AF160" s="4661"/>
      <c r="AG160" s="4660" t="str">
        <f xml:space="preserve"> IF(OR(AP158="",AP158=0),"N/A",AG158)</f>
        <v>N/A</v>
      </c>
      <c r="AH160" s="4662"/>
      <c r="AI160" s="4662"/>
      <c r="AJ160" s="4662"/>
      <c r="AK160" s="4662"/>
      <c r="AL160" s="4662"/>
      <c r="AM160" s="4662"/>
      <c r="AN160" s="4662"/>
      <c r="AO160" s="4662"/>
      <c r="AP160" s="4661"/>
      <c r="AQ160" s="4660" t="str">
        <f xml:space="preserve"> IF(OR(AZ158="",AZ158=0),"N/A",AQ158)</f>
        <v>N/A</v>
      </c>
      <c r="AR160" s="4662"/>
      <c r="AS160" s="4662"/>
      <c r="AT160" s="4662"/>
      <c r="AU160" s="4662"/>
      <c r="AV160" s="4662"/>
      <c r="AW160" s="4662"/>
      <c r="AX160" s="4662"/>
      <c r="AY160" s="4662"/>
      <c r="AZ160" s="4661"/>
      <c r="BA160" s="4660" t="str">
        <f xml:space="preserve"> IF(OR(BJ158="",BJ158=0),"N/A",BA158)</f>
        <v>N/A</v>
      </c>
      <c r="BB160" s="4662"/>
      <c r="BC160" s="4662"/>
      <c r="BD160" s="4662"/>
      <c r="BE160" s="4662"/>
      <c r="BF160" s="4662"/>
      <c r="BG160" s="4662"/>
      <c r="BH160" s="4662"/>
      <c r="BI160" s="4662"/>
      <c r="BJ160" s="4661"/>
      <c r="BK160" s="1085" t="s">
        <v>4676</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701"/>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74" t="s">
        <v>4677</v>
      </c>
      <c r="U161" s="4675"/>
      <c r="V161" s="2373"/>
      <c r="W161" s="4643"/>
      <c r="X161" s="4644"/>
      <c r="Y161" s="4644"/>
      <c r="Z161" s="4644"/>
      <c r="AA161" s="4644"/>
      <c r="AB161" s="4644"/>
      <c r="AC161" s="4644"/>
      <c r="AD161" s="4644"/>
      <c r="AE161" s="4644"/>
      <c r="AF161" s="4645"/>
      <c r="AG161" s="4643"/>
      <c r="AH161" s="4644"/>
      <c r="AI161" s="4644"/>
      <c r="AJ161" s="4644"/>
      <c r="AK161" s="4644"/>
      <c r="AL161" s="4644"/>
      <c r="AM161" s="4644"/>
      <c r="AN161" s="4644"/>
      <c r="AO161" s="4644"/>
      <c r="AP161" s="4645"/>
      <c r="AQ161" s="4643"/>
      <c r="AR161" s="4644"/>
      <c r="AS161" s="4644"/>
      <c r="AT161" s="4644"/>
      <c r="AU161" s="4644"/>
      <c r="AV161" s="4644"/>
      <c r="AW161" s="4644"/>
      <c r="AX161" s="4644"/>
      <c r="AY161" s="4644"/>
      <c r="AZ161" s="4645"/>
      <c r="BA161" s="4643"/>
      <c r="BB161" s="4644"/>
      <c r="BC161" s="4644"/>
      <c r="BD161" s="4644"/>
      <c r="BE161" s="4644"/>
      <c r="BF161" s="4644"/>
      <c r="BG161" s="4644"/>
      <c r="BH161" s="4644"/>
      <c r="BI161" s="4644"/>
      <c r="BJ161" s="4645"/>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53" t="s">
        <v>4678</v>
      </c>
      <c r="BU161" s="4654"/>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701"/>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63" t="s">
        <v>4679</v>
      </c>
      <c r="U162" s="4664"/>
      <c r="V162" s="2371"/>
      <c r="W162" s="4665"/>
      <c r="X162" s="4666"/>
      <c r="Y162" s="4666"/>
      <c r="Z162" s="4666"/>
      <c r="AA162" s="4666"/>
      <c r="AB162" s="4666"/>
      <c r="AC162" s="4666"/>
      <c r="AD162" s="4666"/>
      <c r="AE162" s="4666"/>
      <c r="AF162" s="4667"/>
      <c r="AG162" s="4665"/>
      <c r="AH162" s="4666"/>
      <c r="AI162" s="4666"/>
      <c r="AJ162" s="4666"/>
      <c r="AK162" s="4666"/>
      <c r="AL162" s="4666"/>
      <c r="AM162" s="4666"/>
      <c r="AN162" s="4666"/>
      <c r="AO162" s="4666"/>
      <c r="AP162" s="4667"/>
      <c r="AQ162" s="4665"/>
      <c r="AR162" s="4666"/>
      <c r="AS162" s="4666"/>
      <c r="AT162" s="4666"/>
      <c r="AU162" s="4666"/>
      <c r="AV162" s="4666"/>
      <c r="AW162" s="4666"/>
      <c r="AX162" s="4666"/>
      <c r="AY162" s="4666"/>
      <c r="AZ162" s="4667"/>
      <c r="BA162" s="4665"/>
      <c r="BB162" s="4666"/>
      <c r="BC162" s="4666"/>
      <c r="BD162" s="4666"/>
      <c r="BE162" s="4666"/>
      <c r="BF162" s="4666"/>
      <c r="BG162" s="4666"/>
      <c r="BH162" s="4666"/>
      <c r="BI162" s="4666"/>
      <c r="BJ162" s="4667"/>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5" t="s">
        <v>1693</v>
      </c>
      <c r="BU162" s="4656"/>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701"/>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53" t="s">
        <v>4680</v>
      </c>
      <c r="BU163" s="4654"/>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5" t="s">
        <v>4660</v>
      </c>
      <c r="BU164" s="4656"/>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57" t="s">
        <v>4675</v>
      </c>
      <c r="U165" s="4658"/>
      <c r="V165" s="4658"/>
      <c r="W165" s="4658"/>
      <c r="X165" s="4658"/>
      <c r="Y165" s="4658"/>
      <c r="Z165" s="4658"/>
      <c r="AA165" s="4658"/>
      <c r="AB165" s="4658"/>
      <c r="AC165" s="4658"/>
      <c r="AD165" s="4658"/>
      <c r="AE165" s="4658"/>
      <c r="AF165" s="4658"/>
      <c r="AG165" s="4658"/>
      <c r="AH165" s="4658"/>
      <c r="AI165" s="4658"/>
      <c r="AJ165" s="4658"/>
      <c r="AK165" s="4658"/>
      <c r="AL165" s="4658"/>
      <c r="AM165" s="4658"/>
      <c r="AN165" s="4658"/>
      <c r="AO165" s="4658"/>
      <c r="AP165" s="4658"/>
      <c r="AQ165" s="4658"/>
      <c r="AR165" s="4658"/>
      <c r="AS165" s="4658"/>
      <c r="AT165" s="4658"/>
      <c r="AU165" s="4658"/>
      <c r="AV165" s="4658"/>
      <c r="AW165" s="4658"/>
      <c r="AX165" s="4658"/>
      <c r="AY165" s="4658"/>
      <c r="AZ165" s="4658"/>
      <c r="BA165" s="4658"/>
      <c r="BB165" s="4658"/>
      <c r="BC165" s="4658"/>
      <c r="BD165" s="4658"/>
      <c r="BE165" s="4658"/>
      <c r="BF165" s="4658"/>
      <c r="BG165" s="4658"/>
      <c r="BH165" s="4658"/>
      <c r="BI165" s="4658"/>
      <c r="BJ165" s="4658"/>
      <c r="BK165" s="4659"/>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53" t="s">
        <v>4681</v>
      </c>
      <c r="BU165" s="4654"/>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60"/>
      <c r="U166" s="4661"/>
      <c r="V166" s="2372" t="str">
        <f>IF(OR(V164=0,V164=""),"N/A",V164)</f>
        <v>N/A</v>
      </c>
      <c r="W166" s="4660" t="str">
        <f xml:space="preserve"> IF(OR(AF164=0,AF164=""),"N/A",W164)</f>
        <v>N/A</v>
      </c>
      <c r="X166" s="4662"/>
      <c r="Y166" s="4662"/>
      <c r="Z166" s="4662"/>
      <c r="AA166" s="4662"/>
      <c r="AB166" s="4662"/>
      <c r="AC166" s="4662"/>
      <c r="AD166" s="4662"/>
      <c r="AE166" s="4662"/>
      <c r="AF166" s="4661"/>
      <c r="AG166" s="4660" t="str">
        <f xml:space="preserve"> IF(OR(AP164="",AP164=0),"N/A",AG164)</f>
        <v>N/A</v>
      </c>
      <c r="AH166" s="4662"/>
      <c r="AI166" s="4662"/>
      <c r="AJ166" s="4662"/>
      <c r="AK166" s="4662"/>
      <c r="AL166" s="4662"/>
      <c r="AM166" s="4662"/>
      <c r="AN166" s="4662"/>
      <c r="AO166" s="4662"/>
      <c r="AP166" s="4661"/>
      <c r="AQ166" s="4660" t="str">
        <f xml:space="preserve"> IF(OR(AZ164="",AZ164=0),"N/A",AQ164)</f>
        <v>N/A</v>
      </c>
      <c r="AR166" s="4662"/>
      <c r="AS166" s="4662"/>
      <c r="AT166" s="4662"/>
      <c r="AU166" s="4662"/>
      <c r="AV166" s="4662"/>
      <c r="AW166" s="4662"/>
      <c r="AX166" s="4662"/>
      <c r="AY166" s="4662"/>
      <c r="AZ166" s="4661"/>
      <c r="BA166" s="4660" t="str">
        <f xml:space="preserve"> IF(OR(BJ164="",BJ164=0),"N/A",BA164)</f>
        <v>N/A</v>
      </c>
      <c r="BB166" s="4662"/>
      <c r="BC166" s="4662"/>
      <c r="BD166" s="4662"/>
      <c r="BE166" s="4662"/>
      <c r="BF166" s="4662"/>
      <c r="BG166" s="4662"/>
      <c r="BH166" s="4662"/>
      <c r="BI166" s="4662"/>
      <c r="BJ166" s="4661"/>
      <c r="BK166" s="1085" t="s">
        <v>4676</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5" t="s">
        <v>4654</v>
      </c>
      <c r="BU166" s="4656"/>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74" t="s">
        <v>4677</v>
      </c>
      <c r="U167" s="4675"/>
      <c r="V167" s="2373"/>
      <c r="W167" s="4643"/>
      <c r="X167" s="4644"/>
      <c r="Y167" s="4644"/>
      <c r="Z167" s="4644"/>
      <c r="AA167" s="4644"/>
      <c r="AB167" s="4644"/>
      <c r="AC167" s="4644"/>
      <c r="AD167" s="4644"/>
      <c r="AE167" s="4644"/>
      <c r="AF167" s="4645"/>
      <c r="AG167" s="4643"/>
      <c r="AH167" s="4644"/>
      <c r="AI167" s="4644"/>
      <c r="AJ167" s="4644"/>
      <c r="AK167" s="4644"/>
      <c r="AL167" s="4644"/>
      <c r="AM167" s="4644"/>
      <c r="AN167" s="4644"/>
      <c r="AO167" s="4644"/>
      <c r="AP167" s="4645"/>
      <c r="AQ167" s="4643"/>
      <c r="AR167" s="4644"/>
      <c r="AS167" s="4644"/>
      <c r="AT167" s="4644"/>
      <c r="AU167" s="4644"/>
      <c r="AV167" s="4644"/>
      <c r="AW167" s="4644"/>
      <c r="AX167" s="4644"/>
      <c r="AY167" s="4644"/>
      <c r="AZ167" s="4645"/>
      <c r="BA167" s="4643"/>
      <c r="BB167" s="4644"/>
      <c r="BC167" s="4644"/>
      <c r="BD167" s="4644"/>
      <c r="BE167" s="4644"/>
      <c r="BF167" s="4644"/>
      <c r="BG167" s="4644"/>
      <c r="BH167" s="4644"/>
      <c r="BI167" s="4644"/>
      <c r="BJ167" s="4645"/>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41" t="s">
        <v>4682</v>
      </c>
      <c r="BU167" s="4642"/>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63" t="s">
        <v>4679</v>
      </c>
      <c r="U168" s="4664"/>
      <c r="V168" s="2371"/>
      <c r="W168" s="4665"/>
      <c r="X168" s="4666"/>
      <c r="Y168" s="4666"/>
      <c r="Z168" s="4666"/>
      <c r="AA168" s="4666"/>
      <c r="AB168" s="4666"/>
      <c r="AC168" s="4666"/>
      <c r="AD168" s="4666"/>
      <c r="AE168" s="4666"/>
      <c r="AF168" s="4667"/>
      <c r="AG168" s="4665"/>
      <c r="AH168" s="4666"/>
      <c r="AI168" s="4666"/>
      <c r="AJ168" s="4666"/>
      <c r="AK168" s="4666"/>
      <c r="AL168" s="4666"/>
      <c r="AM168" s="4666"/>
      <c r="AN168" s="4666"/>
      <c r="AO168" s="4666"/>
      <c r="AP168" s="4667"/>
      <c r="AQ168" s="4665"/>
      <c r="AR168" s="4666"/>
      <c r="AS168" s="4666"/>
      <c r="AT168" s="4666"/>
      <c r="AU168" s="4666"/>
      <c r="AV168" s="4666"/>
      <c r="AW168" s="4666"/>
      <c r="AX168" s="4666"/>
      <c r="AY168" s="4666"/>
      <c r="AZ168" s="4667"/>
      <c r="BA168" s="4665"/>
      <c r="BB168" s="4666"/>
      <c r="BC168" s="4666"/>
      <c r="BD168" s="4666"/>
      <c r="BE168" s="4666"/>
      <c r="BF168" s="4666"/>
      <c r="BG168" s="4666"/>
      <c r="BH168" s="4666"/>
      <c r="BI168" s="4666"/>
      <c r="BJ168" s="4667"/>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4683</v>
      </c>
      <c r="BV170" s="1049"/>
      <c r="BW170" s="2365" t="s">
        <v>4684</v>
      </c>
      <c r="BX170" s="2364" t="s">
        <v>4685</v>
      </c>
      <c r="BY170" s="1397" t="s">
        <v>4685</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57" t="s">
        <v>4675</v>
      </c>
      <c r="U171" s="4658"/>
      <c r="V171" s="4658"/>
      <c r="W171" s="4658"/>
      <c r="X171" s="4658"/>
      <c r="Y171" s="4658"/>
      <c r="Z171" s="4658"/>
      <c r="AA171" s="4658"/>
      <c r="AB171" s="4658"/>
      <c r="AC171" s="4658"/>
      <c r="AD171" s="4658"/>
      <c r="AE171" s="4658"/>
      <c r="AF171" s="4658"/>
      <c r="AG171" s="4658"/>
      <c r="AH171" s="4658"/>
      <c r="AI171" s="4658"/>
      <c r="AJ171" s="4658"/>
      <c r="AK171" s="4658"/>
      <c r="AL171" s="4658"/>
      <c r="AM171" s="4658"/>
      <c r="AN171" s="4658"/>
      <c r="AO171" s="4658"/>
      <c r="AP171" s="4658"/>
      <c r="AQ171" s="4658"/>
      <c r="AR171" s="4658"/>
      <c r="AS171" s="4658"/>
      <c r="AT171" s="4658"/>
      <c r="AU171" s="4658"/>
      <c r="AV171" s="4658"/>
      <c r="AW171" s="4658"/>
      <c r="AX171" s="4658"/>
      <c r="AY171" s="4658"/>
      <c r="AZ171" s="4658"/>
      <c r="BA171" s="4658"/>
      <c r="BB171" s="4658"/>
      <c r="BC171" s="4658"/>
      <c r="BD171" s="4658"/>
      <c r="BE171" s="4658"/>
      <c r="BF171" s="4658"/>
      <c r="BG171" s="4658"/>
      <c r="BH171" s="4658"/>
      <c r="BI171" s="4658"/>
      <c r="BJ171" s="4658"/>
      <c r="BK171" s="4659"/>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60"/>
      <c r="U172" s="4661"/>
      <c r="V172" s="2372" t="str">
        <f>IF(OR(V170=0,V170=""),"N/A",V170)</f>
        <v>N/A</v>
      </c>
      <c r="W172" s="4660" t="str">
        <f xml:space="preserve"> IF(OR(AF170=0,AF170=""),"N/A",W170)</f>
        <v>N/A</v>
      </c>
      <c r="X172" s="4662"/>
      <c r="Y172" s="4662"/>
      <c r="Z172" s="4662"/>
      <c r="AA172" s="4662"/>
      <c r="AB172" s="4662"/>
      <c r="AC172" s="4662"/>
      <c r="AD172" s="4662"/>
      <c r="AE172" s="4662"/>
      <c r="AF172" s="4661"/>
      <c r="AG172" s="4660" t="str">
        <f xml:space="preserve"> IF(OR(AP170="",AP170=0),"N/A",AG170)</f>
        <v>N/A</v>
      </c>
      <c r="AH172" s="4662"/>
      <c r="AI172" s="4662"/>
      <c r="AJ172" s="4662"/>
      <c r="AK172" s="4662"/>
      <c r="AL172" s="4662"/>
      <c r="AM172" s="4662"/>
      <c r="AN172" s="4662"/>
      <c r="AO172" s="4662"/>
      <c r="AP172" s="4661"/>
      <c r="AQ172" s="4660" t="str">
        <f xml:space="preserve"> IF(OR(AZ170="",AZ170=0),"N/A",AQ170)</f>
        <v>N/A</v>
      </c>
      <c r="AR172" s="4662"/>
      <c r="AS172" s="4662"/>
      <c r="AT172" s="4662"/>
      <c r="AU172" s="4662"/>
      <c r="AV172" s="4662"/>
      <c r="AW172" s="4662"/>
      <c r="AX172" s="4662"/>
      <c r="AY172" s="4662"/>
      <c r="AZ172" s="4661"/>
      <c r="BA172" s="4660" t="str">
        <f xml:space="preserve"> IF(OR(BJ170="",BJ170=0),"N/A",BA170)</f>
        <v>N/A</v>
      </c>
      <c r="BB172" s="4662"/>
      <c r="BC172" s="4662"/>
      <c r="BD172" s="4662"/>
      <c r="BE172" s="4662"/>
      <c r="BF172" s="4662"/>
      <c r="BG172" s="4662"/>
      <c r="BH172" s="4662"/>
      <c r="BI172" s="4662"/>
      <c r="BJ172" s="4661"/>
      <c r="BK172" s="1085" t="s">
        <v>4676</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4683</v>
      </c>
      <c r="BV172" s="1049"/>
      <c r="BW172" s="2365" t="s">
        <v>4684</v>
      </c>
      <c r="BX172" s="2364" t="s">
        <v>4685</v>
      </c>
      <c r="BY172" s="1398" t="s">
        <v>4685</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74" t="s">
        <v>4677</v>
      </c>
      <c r="U173" s="4675"/>
      <c r="V173" s="2373"/>
      <c r="W173" s="4643"/>
      <c r="X173" s="4644"/>
      <c r="Y173" s="4644"/>
      <c r="Z173" s="4644"/>
      <c r="AA173" s="4644"/>
      <c r="AB173" s="4644"/>
      <c r="AC173" s="4644"/>
      <c r="AD173" s="4644"/>
      <c r="AE173" s="4644"/>
      <c r="AF173" s="4645"/>
      <c r="AG173" s="4643"/>
      <c r="AH173" s="4644"/>
      <c r="AI173" s="4644"/>
      <c r="AJ173" s="4644"/>
      <c r="AK173" s="4644"/>
      <c r="AL173" s="4644"/>
      <c r="AM173" s="4644"/>
      <c r="AN173" s="4644"/>
      <c r="AO173" s="4644"/>
      <c r="AP173" s="4645"/>
      <c r="AQ173" s="4643"/>
      <c r="AR173" s="4644"/>
      <c r="AS173" s="4644"/>
      <c r="AT173" s="4644"/>
      <c r="AU173" s="4644"/>
      <c r="AV173" s="4644"/>
      <c r="AW173" s="4644"/>
      <c r="AX173" s="4644"/>
      <c r="AY173" s="4644"/>
      <c r="AZ173" s="4645"/>
      <c r="BA173" s="4643"/>
      <c r="BB173" s="4644"/>
      <c r="BC173" s="4644"/>
      <c r="BD173" s="4644"/>
      <c r="BE173" s="4644"/>
      <c r="BF173" s="4644"/>
      <c r="BG173" s="4644"/>
      <c r="BH173" s="4644"/>
      <c r="BI173" s="4644"/>
      <c r="BJ173" s="4645"/>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63" t="s">
        <v>4679</v>
      </c>
      <c r="U174" s="4664"/>
      <c r="V174" s="2371"/>
      <c r="W174" s="4665"/>
      <c r="X174" s="4666"/>
      <c r="Y174" s="4666"/>
      <c r="Z174" s="4666"/>
      <c r="AA174" s="4666"/>
      <c r="AB174" s="4666"/>
      <c r="AC174" s="4666"/>
      <c r="AD174" s="4666"/>
      <c r="AE174" s="4666"/>
      <c r="AF174" s="4667"/>
      <c r="AG174" s="4665"/>
      <c r="AH174" s="4666"/>
      <c r="AI174" s="4666"/>
      <c r="AJ174" s="4666"/>
      <c r="AK174" s="4666"/>
      <c r="AL174" s="4666"/>
      <c r="AM174" s="4666"/>
      <c r="AN174" s="4666"/>
      <c r="AO174" s="4666"/>
      <c r="AP174" s="4667"/>
      <c r="AQ174" s="4665"/>
      <c r="AR174" s="4666"/>
      <c r="AS174" s="4666"/>
      <c r="AT174" s="4666"/>
      <c r="AU174" s="4666"/>
      <c r="AV174" s="4666"/>
      <c r="AW174" s="4666"/>
      <c r="AX174" s="4666"/>
      <c r="AY174" s="4666"/>
      <c r="AZ174" s="4667"/>
      <c r="BA174" s="4665"/>
      <c r="BB174" s="4666"/>
      <c r="BC174" s="4666"/>
      <c r="BD174" s="4666"/>
      <c r="BE174" s="4666"/>
      <c r="BF174" s="4666"/>
      <c r="BG174" s="4666"/>
      <c r="BH174" s="4666"/>
      <c r="BI174" s="4666"/>
      <c r="BJ174" s="4667"/>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4683</v>
      </c>
      <c r="BV174" s="1049"/>
      <c r="BW174" s="2365" t="s">
        <v>4684</v>
      </c>
      <c r="BX174" s="2364" t="s">
        <v>4685</v>
      </c>
      <c r="BY174" s="1398" t="s">
        <v>4685</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4683</v>
      </c>
      <c r="BV176" s="1049"/>
      <c r="BW176" s="2365" t="s">
        <v>4684</v>
      </c>
      <c r="BX176" s="2364" t="s">
        <v>4685</v>
      </c>
      <c r="BY176" s="1398" t="s">
        <v>4685</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57" t="s">
        <v>4675</v>
      </c>
      <c r="U177" s="4658"/>
      <c r="V177" s="4658"/>
      <c r="W177" s="4658"/>
      <c r="X177" s="4658"/>
      <c r="Y177" s="4658"/>
      <c r="Z177" s="4658"/>
      <c r="AA177" s="4658"/>
      <c r="AB177" s="4658"/>
      <c r="AC177" s="4658"/>
      <c r="AD177" s="4658"/>
      <c r="AE177" s="4658"/>
      <c r="AF177" s="4658"/>
      <c r="AG177" s="4658"/>
      <c r="AH177" s="4658"/>
      <c r="AI177" s="4658"/>
      <c r="AJ177" s="4658"/>
      <c r="AK177" s="4658"/>
      <c r="AL177" s="4658"/>
      <c r="AM177" s="4658"/>
      <c r="AN177" s="4658"/>
      <c r="AO177" s="4658"/>
      <c r="AP177" s="4658"/>
      <c r="AQ177" s="4658"/>
      <c r="AR177" s="4658"/>
      <c r="AS177" s="4658"/>
      <c r="AT177" s="4658"/>
      <c r="AU177" s="4658"/>
      <c r="AV177" s="4658"/>
      <c r="AW177" s="4658"/>
      <c r="AX177" s="4658"/>
      <c r="AY177" s="4658"/>
      <c r="AZ177" s="4658"/>
      <c r="BA177" s="4658"/>
      <c r="BB177" s="4658"/>
      <c r="BC177" s="4658"/>
      <c r="BD177" s="4658"/>
      <c r="BE177" s="4658"/>
      <c r="BF177" s="4658"/>
      <c r="BG177" s="4658"/>
      <c r="BH177" s="4658"/>
      <c r="BI177" s="4658"/>
      <c r="BJ177" s="4658"/>
      <c r="BK177" s="4659"/>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60"/>
      <c r="U178" s="4661"/>
      <c r="V178" s="2372" t="str">
        <f>IF(OR(V176=0,V176=""),"N/A",V176)</f>
        <v>N/A</v>
      </c>
      <c r="W178" s="4660" t="str">
        <f xml:space="preserve"> IF(OR(AF176=0,AF176=""),"N/A",W176)</f>
        <v>N/A</v>
      </c>
      <c r="X178" s="4662"/>
      <c r="Y178" s="4662"/>
      <c r="Z178" s="4662"/>
      <c r="AA178" s="4662"/>
      <c r="AB178" s="4662"/>
      <c r="AC178" s="4662"/>
      <c r="AD178" s="4662"/>
      <c r="AE178" s="4662"/>
      <c r="AF178" s="4661"/>
      <c r="AG178" s="4660" t="str">
        <f xml:space="preserve"> IF(OR(AP176="",AP176=0),"N/A",AG176)</f>
        <v>N/A</v>
      </c>
      <c r="AH178" s="4662"/>
      <c r="AI178" s="4662"/>
      <c r="AJ178" s="4662"/>
      <c r="AK178" s="4662"/>
      <c r="AL178" s="4662"/>
      <c r="AM178" s="4662"/>
      <c r="AN178" s="4662"/>
      <c r="AO178" s="4662"/>
      <c r="AP178" s="4661"/>
      <c r="AQ178" s="4660" t="str">
        <f xml:space="preserve"> IF(OR(AZ176="",AZ176=0),"N/A",AQ176)</f>
        <v>N/A</v>
      </c>
      <c r="AR178" s="4662"/>
      <c r="AS178" s="4662"/>
      <c r="AT178" s="4662"/>
      <c r="AU178" s="4662"/>
      <c r="AV178" s="4662"/>
      <c r="AW178" s="4662"/>
      <c r="AX178" s="4662"/>
      <c r="AY178" s="4662"/>
      <c r="AZ178" s="4661"/>
      <c r="BA178" s="4660" t="str">
        <f xml:space="preserve"> IF(OR(BJ176="",BJ176=0),"N/A",BA176)</f>
        <v>N/A</v>
      </c>
      <c r="BB178" s="4662"/>
      <c r="BC178" s="4662"/>
      <c r="BD178" s="4662"/>
      <c r="BE178" s="4662"/>
      <c r="BF178" s="4662"/>
      <c r="BG178" s="4662"/>
      <c r="BH178" s="4662"/>
      <c r="BI178" s="4662"/>
      <c r="BJ178" s="4661"/>
      <c r="BK178" s="1085" t="s">
        <v>4676</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4683</v>
      </c>
      <c r="BV178" s="1049"/>
      <c r="BW178" s="2365" t="s">
        <v>4684</v>
      </c>
      <c r="BX178" s="2364" t="s">
        <v>4685</v>
      </c>
      <c r="BY178" s="1398" t="s">
        <v>4685</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74" t="s">
        <v>4677</v>
      </c>
      <c r="U179" s="4675"/>
      <c r="V179" s="2373"/>
      <c r="W179" s="4643"/>
      <c r="X179" s="4644"/>
      <c r="Y179" s="4644"/>
      <c r="Z179" s="4644"/>
      <c r="AA179" s="4644"/>
      <c r="AB179" s="4644"/>
      <c r="AC179" s="4644"/>
      <c r="AD179" s="4644"/>
      <c r="AE179" s="4644"/>
      <c r="AF179" s="4645"/>
      <c r="AG179" s="4643"/>
      <c r="AH179" s="4644"/>
      <c r="AI179" s="4644"/>
      <c r="AJ179" s="4644"/>
      <c r="AK179" s="4644"/>
      <c r="AL179" s="4644"/>
      <c r="AM179" s="4644"/>
      <c r="AN179" s="4644"/>
      <c r="AO179" s="4644"/>
      <c r="AP179" s="4645"/>
      <c r="AQ179" s="4643"/>
      <c r="AR179" s="4644"/>
      <c r="AS179" s="4644"/>
      <c r="AT179" s="4644"/>
      <c r="AU179" s="4644"/>
      <c r="AV179" s="4644"/>
      <c r="AW179" s="4644"/>
      <c r="AX179" s="4644"/>
      <c r="AY179" s="4644"/>
      <c r="AZ179" s="4645"/>
      <c r="BA179" s="4643"/>
      <c r="BB179" s="4644"/>
      <c r="BC179" s="4644"/>
      <c r="BD179" s="4644"/>
      <c r="BE179" s="4644"/>
      <c r="BF179" s="4644"/>
      <c r="BG179" s="4644"/>
      <c r="BH179" s="4644"/>
      <c r="BI179" s="4644"/>
      <c r="BJ179" s="4645"/>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63" t="s">
        <v>4679</v>
      </c>
      <c r="U180" s="4664"/>
      <c r="V180" s="2371"/>
      <c r="W180" s="4665"/>
      <c r="X180" s="4666"/>
      <c r="Y180" s="4666"/>
      <c r="Z180" s="4666"/>
      <c r="AA180" s="4666"/>
      <c r="AB180" s="4666"/>
      <c r="AC180" s="4666"/>
      <c r="AD180" s="4666"/>
      <c r="AE180" s="4666"/>
      <c r="AF180" s="4667"/>
      <c r="AG180" s="4665"/>
      <c r="AH180" s="4666"/>
      <c r="AI180" s="4666"/>
      <c r="AJ180" s="4666"/>
      <c r="AK180" s="4666"/>
      <c r="AL180" s="4666"/>
      <c r="AM180" s="4666"/>
      <c r="AN180" s="4666"/>
      <c r="AO180" s="4666"/>
      <c r="AP180" s="4667"/>
      <c r="AQ180" s="4665"/>
      <c r="AR180" s="4666"/>
      <c r="AS180" s="4666"/>
      <c r="AT180" s="4666"/>
      <c r="AU180" s="4666"/>
      <c r="AV180" s="4666"/>
      <c r="AW180" s="4666"/>
      <c r="AX180" s="4666"/>
      <c r="AY180" s="4666"/>
      <c r="AZ180" s="4667"/>
      <c r="BA180" s="4665"/>
      <c r="BB180" s="4666"/>
      <c r="BC180" s="4666"/>
      <c r="BD180" s="4666"/>
      <c r="BE180" s="4666"/>
      <c r="BF180" s="4666"/>
      <c r="BG180" s="4666"/>
      <c r="BH180" s="4666"/>
      <c r="BI180" s="4666"/>
      <c r="BJ180" s="4667"/>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4683</v>
      </c>
      <c r="BV180" s="1049"/>
      <c r="BW180" s="2365" t="s">
        <v>4684</v>
      </c>
      <c r="BX180" s="2364" t="s">
        <v>4685</v>
      </c>
      <c r="BY180" s="1398" t="s">
        <v>4685</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6"/>
      <c r="BV182" s="4646"/>
      <c r="BW182" s="4646"/>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57" t="s">
        <v>4675</v>
      </c>
      <c r="U183" s="4658"/>
      <c r="V183" s="4658"/>
      <c r="W183" s="4658"/>
      <c r="X183" s="4658"/>
      <c r="Y183" s="4658"/>
      <c r="Z183" s="4658"/>
      <c r="AA183" s="4658"/>
      <c r="AB183" s="4658"/>
      <c r="AC183" s="4658"/>
      <c r="AD183" s="4658"/>
      <c r="AE183" s="4658"/>
      <c r="AF183" s="4658"/>
      <c r="AG183" s="4658"/>
      <c r="AH183" s="4658"/>
      <c r="AI183" s="4658"/>
      <c r="AJ183" s="4658"/>
      <c r="AK183" s="4658"/>
      <c r="AL183" s="4658"/>
      <c r="AM183" s="4658"/>
      <c r="AN183" s="4658"/>
      <c r="AO183" s="4658"/>
      <c r="AP183" s="4658"/>
      <c r="AQ183" s="4658"/>
      <c r="AR183" s="4658"/>
      <c r="AS183" s="4658"/>
      <c r="AT183" s="4658"/>
      <c r="AU183" s="4658"/>
      <c r="AV183" s="4658"/>
      <c r="AW183" s="4658"/>
      <c r="AX183" s="4658"/>
      <c r="AY183" s="4658"/>
      <c r="AZ183" s="4658"/>
      <c r="BA183" s="4658"/>
      <c r="BB183" s="4658"/>
      <c r="BC183" s="4658"/>
      <c r="BD183" s="4658"/>
      <c r="BE183" s="4658"/>
      <c r="BF183" s="4658"/>
      <c r="BG183" s="4658"/>
      <c r="BH183" s="4658"/>
      <c r="BI183" s="4658"/>
      <c r="BJ183" s="4658"/>
      <c r="BK183" s="4659"/>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60"/>
      <c r="U184" s="4661"/>
      <c r="V184" s="2372" t="str">
        <f>IF(OR(V182=0,V182=""),"N/A",V182)</f>
        <v>N/A</v>
      </c>
      <c r="W184" s="4660" t="str">
        <f xml:space="preserve"> IF(OR(AF182=0,AF182=""),"N/A",W182)</f>
        <v>N/A</v>
      </c>
      <c r="X184" s="4662"/>
      <c r="Y184" s="4662"/>
      <c r="Z184" s="4662"/>
      <c r="AA184" s="4662"/>
      <c r="AB184" s="4662"/>
      <c r="AC184" s="4662"/>
      <c r="AD184" s="4662"/>
      <c r="AE184" s="4662"/>
      <c r="AF184" s="4661"/>
      <c r="AG184" s="4660" t="str">
        <f xml:space="preserve"> IF(OR(AP182="",AP182=0),"N/A",AG182)</f>
        <v>N/A</v>
      </c>
      <c r="AH184" s="4662"/>
      <c r="AI184" s="4662"/>
      <c r="AJ184" s="4662"/>
      <c r="AK184" s="4662"/>
      <c r="AL184" s="4662"/>
      <c r="AM184" s="4662"/>
      <c r="AN184" s="4662"/>
      <c r="AO184" s="4662"/>
      <c r="AP184" s="4661"/>
      <c r="AQ184" s="4660" t="str">
        <f xml:space="preserve"> IF(OR(AZ182="",AZ182=0),"N/A",AQ182)</f>
        <v>N/A</v>
      </c>
      <c r="AR184" s="4662"/>
      <c r="AS184" s="4662"/>
      <c r="AT184" s="4662"/>
      <c r="AU184" s="4662"/>
      <c r="AV184" s="4662"/>
      <c r="AW184" s="4662"/>
      <c r="AX184" s="4662"/>
      <c r="AY184" s="4662"/>
      <c r="AZ184" s="4661"/>
      <c r="BA184" s="4660" t="str">
        <f xml:space="preserve"> IF(OR(BJ182="",BJ182=0),"N/A",BA182)</f>
        <v>N/A</v>
      </c>
      <c r="BB184" s="4662"/>
      <c r="BC184" s="4662"/>
      <c r="BD184" s="4662"/>
      <c r="BE184" s="4662"/>
      <c r="BF184" s="4662"/>
      <c r="BG184" s="4662"/>
      <c r="BH184" s="4662"/>
      <c r="BI184" s="4662"/>
      <c r="BJ184" s="4661"/>
      <c r="BK184" s="1085" t="s">
        <v>4676</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708"/>
      <c r="BV184" s="4708"/>
      <c r="BW184" s="4708"/>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74" t="s">
        <v>4677</v>
      </c>
      <c r="U185" s="4675"/>
      <c r="V185" s="2373"/>
      <c r="W185" s="4643"/>
      <c r="X185" s="4644"/>
      <c r="Y185" s="4644"/>
      <c r="Z185" s="4644"/>
      <c r="AA185" s="4644"/>
      <c r="AB185" s="4644"/>
      <c r="AC185" s="4644"/>
      <c r="AD185" s="4644"/>
      <c r="AE185" s="4644"/>
      <c r="AF185" s="4645"/>
      <c r="AG185" s="4643"/>
      <c r="AH185" s="4644"/>
      <c r="AI185" s="4644"/>
      <c r="AJ185" s="4644"/>
      <c r="AK185" s="4644"/>
      <c r="AL185" s="4644"/>
      <c r="AM185" s="4644"/>
      <c r="AN185" s="4644"/>
      <c r="AO185" s="4644"/>
      <c r="AP185" s="4645"/>
      <c r="AQ185" s="4643"/>
      <c r="AR185" s="4644"/>
      <c r="AS185" s="4644"/>
      <c r="AT185" s="4644"/>
      <c r="AU185" s="4644"/>
      <c r="AV185" s="4644"/>
      <c r="AW185" s="4644"/>
      <c r="AX185" s="4644"/>
      <c r="AY185" s="4644"/>
      <c r="AZ185" s="4645"/>
      <c r="BA185" s="4643"/>
      <c r="BB185" s="4644"/>
      <c r="BC185" s="4644"/>
      <c r="BD185" s="4644"/>
      <c r="BE185" s="4644"/>
      <c r="BF185" s="4644"/>
      <c r="BG185" s="4644"/>
      <c r="BH185" s="4644"/>
      <c r="BI185" s="4644"/>
      <c r="BJ185" s="4645"/>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68" t="s">
        <v>4679</v>
      </c>
      <c r="U186" s="4669"/>
      <c r="V186" s="2376"/>
      <c r="W186" s="4670"/>
      <c r="X186" s="4671"/>
      <c r="Y186" s="4671"/>
      <c r="Z186" s="4671"/>
      <c r="AA186" s="4671"/>
      <c r="AB186" s="4671"/>
      <c r="AC186" s="4671"/>
      <c r="AD186" s="4671"/>
      <c r="AE186" s="4671"/>
      <c r="AF186" s="4672"/>
      <c r="AG186" s="4670"/>
      <c r="AH186" s="4671"/>
      <c r="AI186" s="4671"/>
      <c r="AJ186" s="4671"/>
      <c r="AK186" s="4671"/>
      <c r="AL186" s="4671"/>
      <c r="AM186" s="4671"/>
      <c r="AN186" s="4671"/>
      <c r="AO186" s="4671"/>
      <c r="AP186" s="4672"/>
      <c r="AQ186" s="4670"/>
      <c r="AR186" s="4671"/>
      <c r="AS186" s="4671"/>
      <c r="AT186" s="4671"/>
      <c r="AU186" s="4671"/>
      <c r="AV186" s="4671"/>
      <c r="AW186" s="4671"/>
      <c r="AX186" s="4671"/>
      <c r="AY186" s="4671"/>
      <c r="AZ186" s="4672"/>
      <c r="BA186" s="4670"/>
      <c r="BB186" s="4671"/>
      <c r="BC186" s="4671"/>
      <c r="BD186" s="4671"/>
      <c r="BE186" s="4671"/>
      <c r="BF186" s="4671"/>
      <c r="BG186" s="4671"/>
      <c r="BH186" s="4671"/>
      <c r="BI186" s="4671"/>
      <c r="BJ186" s="4672"/>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4686</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73"/>
      <c r="BL187" s="4673"/>
      <c r="BM187" s="4642"/>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41" t="s">
        <v>4688</v>
      </c>
      <c r="BU187" s="4642"/>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4687</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48" t="str">
        <f>IF(OR(E188='Tablas Técnicas'!A$678,E188='Tablas Técnicas'!A$679,E189='Tablas Técnicas'!A$678,E189='Tablas Técnicas'!A$679,E190='Tablas Técnicas'!A$678,E190='Tablas Técnicas'!A$679),"Selecciona la atadura elemental:","")</f>
        <v/>
      </c>
      <c r="AH188" s="4649"/>
      <c r="AI188" s="4649"/>
      <c r="AJ188" s="4649"/>
      <c r="AK188" s="4649"/>
      <c r="AL188" s="4649"/>
      <c r="AM188" s="4649"/>
      <c r="AN188" s="4649"/>
      <c r="AO188" s="4649"/>
      <c r="AP188" s="4649"/>
      <c r="AQ188" s="4649"/>
      <c r="AR188" s="4649"/>
      <c r="AS188" s="4649"/>
      <c r="AT188" s="4649"/>
      <c r="AU188" s="4649"/>
      <c r="AV188" s="4649"/>
      <c r="AW188" s="4649"/>
      <c r="AX188" s="4649"/>
      <c r="AY188" s="4649"/>
      <c r="AZ188" s="4649"/>
      <c r="BA188" s="4649"/>
      <c r="BB188" s="4649"/>
      <c r="BC188" s="4649"/>
      <c r="BD188" s="4649"/>
      <c r="BE188" s="4649"/>
      <c r="BF188" s="4649"/>
      <c r="BG188" s="4649"/>
      <c r="BH188" s="4649"/>
      <c r="BI188" s="4649"/>
      <c r="BJ188" s="4649"/>
      <c r="BK188" s="4650"/>
      <c r="BL188" s="1540"/>
      <c r="BM188" s="1540"/>
      <c r="BN188" s="1084"/>
      <c r="BO188" s="1084"/>
      <c r="BP188" s="1117"/>
      <c r="BQ188" s="1084"/>
      <c r="BR188" s="1084"/>
      <c r="BS188" s="1084"/>
      <c r="BT188" s="4651">
        <f>D156</f>
        <v>1</v>
      </c>
      <c r="BU188" s="4652"/>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4689</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4690</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8173</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8541</v>
      </c>
      <c r="F193" s="1041" t="s">
        <v>1792</v>
      </c>
      <c r="G193" s="1042" t="s">
        <v>1793</v>
      </c>
      <c r="H193" s="1042" t="s">
        <v>1815</v>
      </c>
      <c r="I193" s="1043" t="s">
        <v>3467</v>
      </c>
      <c r="J193" s="1044"/>
      <c r="K193" s="1045"/>
      <c r="L193" s="1043" t="s">
        <v>3468</v>
      </c>
      <c r="M193" s="1044"/>
      <c r="N193" s="1045"/>
      <c r="O193" s="1043" t="s">
        <v>3469</v>
      </c>
      <c r="P193" s="1044"/>
      <c r="Q193" s="1045"/>
      <c r="R193" s="1046" t="s">
        <v>4666</v>
      </c>
      <c r="S193" s="1042" t="s">
        <v>3437</v>
      </c>
      <c r="T193" s="2368" t="s">
        <v>1711</v>
      </c>
      <c r="U193" s="2368" t="s">
        <v>1682</v>
      </c>
      <c r="V193" s="2368" t="s">
        <v>3470</v>
      </c>
      <c r="W193" s="4691" t="s">
        <v>3471</v>
      </c>
      <c r="X193" s="4691"/>
      <c r="Y193" s="4691"/>
      <c r="Z193" s="4691"/>
      <c r="AA193" s="4691"/>
      <c r="AB193" s="4691"/>
      <c r="AC193" s="4691"/>
      <c r="AD193" s="4691"/>
      <c r="AE193" s="4691"/>
      <c r="AF193" s="4691"/>
      <c r="AG193" s="4691"/>
      <c r="AH193" s="4691"/>
      <c r="AI193" s="4691"/>
      <c r="AJ193" s="4691"/>
      <c r="AK193" s="4691"/>
      <c r="AL193" s="4691"/>
      <c r="AM193" s="4691"/>
      <c r="AN193" s="4691"/>
      <c r="AO193" s="4691"/>
      <c r="AP193" s="4691"/>
      <c r="AQ193" s="4691"/>
      <c r="AR193" s="4691"/>
      <c r="AS193" s="4691"/>
      <c r="AT193" s="4691"/>
      <c r="AU193" s="4691"/>
      <c r="AV193" s="4691"/>
      <c r="AW193" s="4691"/>
      <c r="AX193" s="4691"/>
      <c r="AY193" s="4691"/>
      <c r="AZ193" s="4691"/>
      <c r="BA193" s="4691"/>
      <c r="BB193" s="4691"/>
      <c r="BC193" s="4691"/>
      <c r="BD193" s="4691"/>
      <c r="BE193" s="4691"/>
      <c r="BF193" s="4691"/>
      <c r="BG193" s="4691"/>
      <c r="BH193" s="4691"/>
      <c r="BI193" s="4691"/>
      <c r="BJ193" s="4691"/>
      <c r="BK193" s="4691" t="s">
        <v>3472</v>
      </c>
      <c r="BL193" s="4691"/>
      <c r="BM193" s="4679"/>
      <c r="BN193" s="1047" t="s">
        <v>4667</v>
      </c>
      <c r="BO193" s="1047" t="s">
        <v>4668</v>
      </c>
      <c r="BP193" s="1047" t="s">
        <v>4669</v>
      </c>
      <c r="BQ193" s="1047" t="s">
        <v>4670</v>
      </c>
      <c r="BR193" s="1047" t="s">
        <v>4671</v>
      </c>
      <c r="BS193" s="1048" t="s">
        <v>4672</v>
      </c>
      <c r="BT193" s="4653" t="s">
        <v>4673</v>
      </c>
      <c r="BU193" s="4688"/>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3448</v>
      </c>
      <c r="DW194" s="1524" t="s">
        <v>3434</v>
      </c>
      <c r="DX194" s="1525" t="s">
        <v>8176</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53" t="s">
        <v>4674</v>
      </c>
      <c r="BU195" s="4688"/>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70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57" t="s">
        <v>4675</v>
      </c>
      <c r="U196" s="4658"/>
      <c r="V196" s="4658"/>
      <c r="W196" s="4658"/>
      <c r="X196" s="4658"/>
      <c r="Y196" s="4658"/>
      <c r="Z196" s="4658"/>
      <c r="AA196" s="4658"/>
      <c r="AB196" s="4658"/>
      <c r="AC196" s="4658"/>
      <c r="AD196" s="4658"/>
      <c r="AE196" s="4658"/>
      <c r="AF196" s="4658"/>
      <c r="AG196" s="4658"/>
      <c r="AH196" s="4658"/>
      <c r="AI196" s="4658"/>
      <c r="AJ196" s="4658"/>
      <c r="AK196" s="4658"/>
      <c r="AL196" s="4658"/>
      <c r="AM196" s="4658"/>
      <c r="AN196" s="4658"/>
      <c r="AO196" s="4658"/>
      <c r="AP196" s="4658"/>
      <c r="AQ196" s="4658"/>
      <c r="AR196" s="4658"/>
      <c r="AS196" s="4658"/>
      <c r="AT196" s="4658"/>
      <c r="AU196" s="4658"/>
      <c r="AV196" s="4658"/>
      <c r="AW196" s="4658"/>
      <c r="AX196" s="4658"/>
      <c r="AY196" s="4658"/>
      <c r="AZ196" s="4658"/>
      <c r="BA196" s="4658"/>
      <c r="BB196" s="4658"/>
      <c r="BC196" s="4658"/>
      <c r="BD196" s="4658"/>
      <c r="BE196" s="4658"/>
      <c r="BF196" s="4658"/>
      <c r="BG196" s="4658"/>
      <c r="BH196" s="4658"/>
      <c r="BI196" s="4658"/>
      <c r="BJ196" s="4658"/>
      <c r="BK196" s="4687"/>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7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90"/>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701"/>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60"/>
      <c r="U197" s="4683"/>
      <c r="V197" s="2372" t="str">
        <f>IF(OR(V195=0,V195=""),"N/A",V195)</f>
        <v>N/A</v>
      </c>
      <c r="W197" s="4660" t="str">
        <f xml:space="preserve"> IF(OR(AF195=0,AF195=""),"N/A",W195)</f>
        <v>N/A</v>
      </c>
      <c r="X197" s="4662"/>
      <c r="Y197" s="4662"/>
      <c r="Z197" s="4662"/>
      <c r="AA197" s="4662"/>
      <c r="AB197" s="4662"/>
      <c r="AC197" s="4662"/>
      <c r="AD197" s="4662"/>
      <c r="AE197" s="4662"/>
      <c r="AF197" s="4683"/>
      <c r="AG197" s="4660" t="str">
        <f xml:space="preserve"> IF(OR(AP195="",AP195=0),"N/A",AG195)</f>
        <v>N/A</v>
      </c>
      <c r="AH197" s="4662"/>
      <c r="AI197" s="4662"/>
      <c r="AJ197" s="4662"/>
      <c r="AK197" s="4662"/>
      <c r="AL197" s="4662"/>
      <c r="AM197" s="4662"/>
      <c r="AN197" s="4662"/>
      <c r="AO197" s="4662"/>
      <c r="AP197" s="4683"/>
      <c r="AQ197" s="4660" t="str">
        <f xml:space="preserve"> IF(OR(AZ195="",AZ195=0),"N/A",AQ195)</f>
        <v>N/A</v>
      </c>
      <c r="AR197" s="4662"/>
      <c r="AS197" s="4662"/>
      <c r="AT197" s="4662"/>
      <c r="AU197" s="4662"/>
      <c r="AV197" s="4662"/>
      <c r="AW197" s="4662"/>
      <c r="AX197" s="4662"/>
      <c r="AY197" s="4662"/>
      <c r="AZ197" s="4683"/>
      <c r="BA197" s="4660" t="str">
        <f xml:space="preserve"> IF(OR(BJ195="",BJ195=0),"N/A",BA195)</f>
        <v>N/A</v>
      </c>
      <c r="BB197" s="4662"/>
      <c r="BC197" s="4662"/>
      <c r="BD197" s="4662"/>
      <c r="BE197" s="4662"/>
      <c r="BF197" s="4662"/>
      <c r="BG197" s="4662"/>
      <c r="BH197" s="4662"/>
      <c r="BI197" s="4662"/>
      <c r="BJ197" s="4683"/>
      <c r="BK197" s="1085" t="s">
        <v>4676</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701"/>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684" t="s">
        <v>4677</v>
      </c>
      <c r="U198" s="4675"/>
      <c r="V198" s="2373"/>
      <c r="W198" s="4685"/>
      <c r="X198" s="4686"/>
      <c r="Y198" s="4686"/>
      <c r="Z198" s="4686"/>
      <c r="AA198" s="4686"/>
      <c r="AB198" s="4686"/>
      <c r="AC198" s="4686"/>
      <c r="AD198" s="4686"/>
      <c r="AE198" s="4686"/>
      <c r="AF198" s="4645"/>
      <c r="AG198" s="4685"/>
      <c r="AH198" s="4686"/>
      <c r="AI198" s="4686"/>
      <c r="AJ198" s="4686"/>
      <c r="AK198" s="4686"/>
      <c r="AL198" s="4686"/>
      <c r="AM198" s="4686"/>
      <c r="AN198" s="4686"/>
      <c r="AO198" s="4686"/>
      <c r="AP198" s="4645"/>
      <c r="AQ198" s="4685"/>
      <c r="AR198" s="4686"/>
      <c r="AS198" s="4686"/>
      <c r="AT198" s="4686"/>
      <c r="AU198" s="4686"/>
      <c r="AV198" s="4686"/>
      <c r="AW198" s="4686"/>
      <c r="AX198" s="4686"/>
      <c r="AY198" s="4686"/>
      <c r="AZ198" s="4645"/>
      <c r="BA198" s="4685"/>
      <c r="BB198" s="4686"/>
      <c r="BC198" s="4686"/>
      <c r="BD198" s="4686"/>
      <c r="BE198" s="4686"/>
      <c r="BF198" s="4686"/>
      <c r="BG198" s="4686"/>
      <c r="BH198" s="4686"/>
      <c r="BI198" s="4686"/>
      <c r="BJ198" s="4645"/>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53" t="s">
        <v>4678</v>
      </c>
      <c r="BU198" s="4688"/>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701"/>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63" t="s">
        <v>4679</v>
      </c>
      <c r="U199" s="4664"/>
      <c r="V199" s="2371"/>
      <c r="W199" s="4665"/>
      <c r="X199" s="4666"/>
      <c r="Y199" s="4666"/>
      <c r="Z199" s="4666"/>
      <c r="AA199" s="4666"/>
      <c r="AB199" s="4666"/>
      <c r="AC199" s="4666"/>
      <c r="AD199" s="4666"/>
      <c r="AE199" s="4666"/>
      <c r="AF199" s="4667"/>
      <c r="AG199" s="4665"/>
      <c r="AH199" s="4666"/>
      <c r="AI199" s="4666"/>
      <c r="AJ199" s="4666"/>
      <c r="AK199" s="4666"/>
      <c r="AL199" s="4666"/>
      <c r="AM199" s="4666"/>
      <c r="AN199" s="4666"/>
      <c r="AO199" s="4666"/>
      <c r="AP199" s="4667"/>
      <c r="AQ199" s="4665"/>
      <c r="AR199" s="4666"/>
      <c r="AS199" s="4666"/>
      <c r="AT199" s="4666"/>
      <c r="AU199" s="4666"/>
      <c r="AV199" s="4666"/>
      <c r="AW199" s="4666"/>
      <c r="AX199" s="4666"/>
      <c r="AY199" s="4666"/>
      <c r="AZ199" s="4667"/>
      <c r="BA199" s="4665"/>
      <c r="BB199" s="4666"/>
      <c r="BC199" s="4666"/>
      <c r="BD199" s="4666"/>
      <c r="BE199" s="4666"/>
      <c r="BF199" s="4666"/>
      <c r="BG199" s="4666"/>
      <c r="BH199" s="4666"/>
      <c r="BI199" s="4666"/>
      <c r="BJ199" s="4667"/>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5" t="s">
        <v>1693</v>
      </c>
      <c r="BU199" s="4689"/>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701"/>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53" t="s">
        <v>4680</v>
      </c>
      <c r="BU200" s="4688"/>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5" t="s">
        <v>4660</v>
      </c>
      <c r="BU201" s="4689"/>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57" t="s">
        <v>4675</v>
      </c>
      <c r="U202" s="4658"/>
      <c r="V202" s="4658"/>
      <c r="W202" s="4658"/>
      <c r="X202" s="4658"/>
      <c r="Y202" s="4658"/>
      <c r="Z202" s="4658"/>
      <c r="AA202" s="4658"/>
      <c r="AB202" s="4658"/>
      <c r="AC202" s="4658"/>
      <c r="AD202" s="4658"/>
      <c r="AE202" s="4658"/>
      <c r="AF202" s="4658"/>
      <c r="AG202" s="4658"/>
      <c r="AH202" s="4658"/>
      <c r="AI202" s="4658"/>
      <c r="AJ202" s="4658"/>
      <c r="AK202" s="4658"/>
      <c r="AL202" s="4658"/>
      <c r="AM202" s="4658"/>
      <c r="AN202" s="4658"/>
      <c r="AO202" s="4658"/>
      <c r="AP202" s="4658"/>
      <c r="AQ202" s="4658"/>
      <c r="AR202" s="4658"/>
      <c r="AS202" s="4658"/>
      <c r="AT202" s="4658"/>
      <c r="AU202" s="4658"/>
      <c r="AV202" s="4658"/>
      <c r="AW202" s="4658"/>
      <c r="AX202" s="4658"/>
      <c r="AY202" s="4658"/>
      <c r="AZ202" s="4658"/>
      <c r="BA202" s="4658"/>
      <c r="BB202" s="4658"/>
      <c r="BC202" s="4658"/>
      <c r="BD202" s="4658"/>
      <c r="BE202" s="4658"/>
      <c r="BF202" s="4658"/>
      <c r="BG202" s="4658"/>
      <c r="BH202" s="4658"/>
      <c r="BI202" s="4658"/>
      <c r="BJ202" s="4658"/>
      <c r="BK202" s="4687"/>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53" t="s">
        <v>4681</v>
      </c>
      <c r="BU202" s="4688"/>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60"/>
      <c r="U203" s="4683"/>
      <c r="V203" s="2372" t="str">
        <f>IF(OR(V201=0,V201=""),"N/A",V201)</f>
        <v>N/A</v>
      </c>
      <c r="W203" s="4660" t="str">
        <f xml:space="preserve"> IF(OR(AF201=0,AF201=""),"N/A",W201)</f>
        <v>N/A</v>
      </c>
      <c r="X203" s="4662"/>
      <c r="Y203" s="4662"/>
      <c r="Z203" s="4662"/>
      <c r="AA203" s="4662"/>
      <c r="AB203" s="4662"/>
      <c r="AC203" s="4662"/>
      <c r="AD203" s="4662"/>
      <c r="AE203" s="4662"/>
      <c r="AF203" s="4683"/>
      <c r="AG203" s="4660" t="str">
        <f xml:space="preserve"> IF(OR(AP201="",AP201=0),"N/A",AG201)</f>
        <v>N/A</v>
      </c>
      <c r="AH203" s="4662"/>
      <c r="AI203" s="4662"/>
      <c r="AJ203" s="4662"/>
      <c r="AK203" s="4662"/>
      <c r="AL203" s="4662"/>
      <c r="AM203" s="4662"/>
      <c r="AN203" s="4662"/>
      <c r="AO203" s="4662"/>
      <c r="AP203" s="4683"/>
      <c r="AQ203" s="4660" t="str">
        <f xml:space="preserve"> IF(OR(AZ201="",AZ201=0),"N/A",AQ201)</f>
        <v>N/A</v>
      </c>
      <c r="AR203" s="4662"/>
      <c r="AS203" s="4662"/>
      <c r="AT203" s="4662"/>
      <c r="AU203" s="4662"/>
      <c r="AV203" s="4662"/>
      <c r="AW203" s="4662"/>
      <c r="AX203" s="4662"/>
      <c r="AY203" s="4662"/>
      <c r="AZ203" s="4683"/>
      <c r="BA203" s="4660" t="str">
        <f xml:space="preserve"> IF(OR(BJ201="",BJ201=0),"N/A",BA201)</f>
        <v>N/A</v>
      </c>
      <c r="BB203" s="4662"/>
      <c r="BC203" s="4662"/>
      <c r="BD203" s="4662"/>
      <c r="BE203" s="4662"/>
      <c r="BF203" s="4662"/>
      <c r="BG203" s="4662"/>
      <c r="BH203" s="4662"/>
      <c r="BI203" s="4662"/>
      <c r="BJ203" s="4683"/>
      <c r="BK203" s="1085" t="s">
        <v>4676</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5" t="s">
        <v>4654</v>
      </c>
      <c r="BU203" s="4689"/>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684" t="s">
        <v>4677</v>
      </c>
      <c r="U204" s="4675"/>
      <c r="V204" s="2373"/>
      <c r="W204" s="4685"/>
      <c r="X204" s="4686"/>
      <c r="Y204" s="4686"/>
      <c r="Z204" s="4686"/>
      <c r="AA204" s="4686"/>
      <c r="AB204" s="4686"/>
      <c r="AC204" s="4686"/>
      <c r="AD204" s="4686"/>
      <c r="AE204" s="4686"/>
      <c r="AF204" s="4645"/>
      <c r="AG204" s="4685"/>
      <c r="AH204" s="4686"/>
      <c r="AI204" s="4686"/>
      <c r="AJ204" s="4686"/>
      <c r="AK204" s="4686"/>
      <c r="AL204" s="4686"/>
      <c r="AM204" s="4686"/>
      <c r="AN204" s="4686"/>
      <c r="AO204" s="4686"/>
      <c r="AP204" s="4645"/>
      <c r="AQ204" s="4685"/>
      <c r="AR204" s="4686"/>
      <c r="AS204" s="4686"/>
      <c r="AT204" s="4686"/>
      <c r="AU204" s="4686"/>
      <c r="AV204" s="4686"/>
      <c r="AW204" s="4686"/>
      <c r="AX204" s="4686"/>
      <c r="AY204" s="4686"/>
      <c r="AZ204" s="4645"/>
      <c r="BA204" s="4685"/>
      <c r="BB204" s="4686"/>
      <c r="BC204" s="4686"/>
      <c r="BD204" s="4686"/>
      <c r="BE204" s="4686"/>
      <c r="BF204" s="4686"/>
      <c r="BG204" s="4686"/>
      <c r="BH204" s="4686"/>
      <c r="BI204" s="4686"/>
      <c r="BJ204" s="4645"/>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41" t="s">
        <v>4682</v>
      </c>
      <c r="BU204" s="4682"/>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63" t="s">
        <v>4679</v>
      </c>
      <c r="U205" s="4664"/>
      <c r="V205" s="2371"/>
      <c r="W205" s="4665"/>
      <c r="X205" s="4666"/>
      <c r="Y205" s="4666"/>
      <c r="Z205" s="4666"/>
      <c r="AA205" s="4666"/>
      <c r="AB205" s="4666"/>
      <c r="AC205" s="4666"/>
      <c r="AD205" s="4666"/>
      <c r="AE205" s="4666"/>
      <c r="AF205" s="4667"/>
      <c r="AG205" s="4665"/>
      <c r="AH205" s="4666"/>
      <c r="AI205" s="4666"/>
      <c r="AJ205" s="4666"/>
      <c r="AK205" s="4666"/>
      <c r="AL205" s="4666"/>
      <c r="AM205" s="4666"/>
      <c r="AN205" s="4666"/>
      <c r="AO205" s="4666"/>
      <c r="AP205" s="4667"/>
      <c r="AQ205" s="4665"/>
      <c r="AR205" s="4666"/>
      <c r="AS205" s="4666"/>
      <c r="AT205" s="4666"/>
      <c r="AU205" s="4666"/>
      <c r="AV205" s="4666"/>
      <c r="AW205" s="4666"/>
      <c r="AX205" s="4666"/>
      <c r="AY205" s="4666"/>
      <c r="AZ205" s="4667"/>
      <c r="BA205" s="4665"/>
      <c r="BB205" s="4666"/>
      <c r="BC205" s="4666"/>
      <c r="BD205" s="4666"/>
      <c r="BE205" s="4666"/>
      <c r="BF205" s="4666"/>
      <c r="BG205" s="4666"/>
      <c r="BH205" s="4666"/>
      <c r="BI205" s="4666"/>
      <c r="BJ205" s="4667"/>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4683</v>
      </c>
      <c r="BV207" s="1049"/>
      <c r="BW207" s="2365" t="s">
        <v>4684</v>
      </c>
      <c r="BX207" s="2364" t="s">
        <v>4685</v>
      </c>
      <c r="BY207" s="1397" t="s">
        <v>4685</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57" t="s">
        <v>4675</v>
      </c>
      <c r="U208" s="4658"/>
      <c r="V208" s="4658"/>
      <c r="W208" s="4658"/>
      <c r="X208" s="4658"/>
      <c r="Y208" s="4658"/>
      <c r="Z208" s="4658"/>
      <c r="AA208" s="4658"/>
      <c r="AB208" s="4658"/>
      <c r="AC208" s="4658"/>
      <c r="AD208" s="4658"/>
      <c r="AE208" s="4658"/>
      <c r="AF208" s="4658"/>
      <c r="AG208" s="4658"/>
      <c r="AH208" s="4658"/>
      <c r="AI208" s="4658"/>
      <c r="AJ208" s="4658"/>
      <c r="AK208" s="4658"/>
      <c r="AL208" s="4658"/>
      <c r="AM208" s="4658"/>
      <c r="AN208" s="4658"/>
      <c r="AO208" s="4658"/>
      <c r="AP208" s="4658"/>
      <c r="AQ208" s="4658"/>
      <c r="AR208" s="4658"/>
      <c r="AS208" s="4658"/>
      <c r="AT208" s="4658"/>
      <c r="AU208" s="4658"/>
      <c r="AV208" s="4658"/>
      <c r="AW208" s="4658"/>
      <c r="AX208" s="4658"/>
      <c r="AY208" s="4658"/>
      <c r="AZ208" s="4658"/>
      <c r="BA208" s="4658"/>
      <c r="BB208" s="4658"/>
      <c r="BC208" s="4658"/>
      <c r="BD208" s="4658"/>
      <c r="BE208" s="4658"/>
      <c r="BF208" s="4658"/>
      <c r="BG208" s="4658"/>
      <c r="BH208" s="4658"/>
      <c r="BI208" s="4658"/>
      <c r="BJ208" s="4658"/>
      <c r="BK208" s="4687"/>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60"/>
      <c r="U209" s="4683"/>
      <c r="V209" s="2372" t="str">
        <f>IF(OR(V207=0,V207=""),"N/A",V207)</f>
        <v>N/A</v>
      </c>
      <c r="W209" s="4660" t="str">
        <f xml:space="preserve"> IF(OR(AF207=0,AF207=""),"N/A",W207)</f>
        <v>N/A</v>
      </c>
      <c r="X209" s="4662"/>
      <c r="Y209" s="4662"/>
      <c r="Z209" s="4662"/>
      <c r="AA209" s="4662"/>
      <c r="AB209" s="4662"/>
      <c r="AC209" s="4662"/>
      <c r="AD209" s="4662"/>
      <c r="AE209" s="4662"/>
      <c r="AF209" s="4683"/>
      <c r="AG209" s="4660" t="str">
        <f xml:space="preserve"> IF(OR(AP207="",AP207=0),"N/A",AG207)</f>
        <v>N/A</v>
      </c>
      <c r="AH209" s="4662"/>
      <c r="AI209" s="4662"/>
      <c r="AJ209" s="4662"/>
      <c r="AK209" s="4662"/>
      <c r="AL209" s="4662"/>
      <c r="AM209" s="4662"/>
      <c r="AN209" s="4662"/>
      <c r="AO209" s="4662"/>
      <c r="AP209" s="4683"/>
      <c r="AQ209" s="4660" t="str">
        <f xml:space="preserve"> IF(OR(AZ207="",AZ207=0),"N/A",AQ207)</f>
        <v>N/A</v>
      </c>
      <c r="AR209" s="4662"/>
      <c r="AS209" s="4662"/>
      <c r="AT209" s="4662"/>
      <c r="AU209" s="4662"/>
      <c r="AV209" s="4662"/>
      <c r="AW209" s="4662"/>
      <c r="AX209" s="4662"/>
      <c r="AY209" s="4662"/>
      <c r="AZ209" s="4683"/>
      <c r="BA209" s="4660" t="str">
        <f xml:space="preserve"> IF(OR(BJ207="",BJ207=0),"N/A",BA207)</f>
        <v>N/A</v>
      </c>
      <c r="BB209" s="4662"/>
      <c r="BC209" s="4662"/>
      <c r="BD209" s="4662"/>
      <c r="BE209" s="4662"/>
      <c r="BF209" s="4662"/>
      <c r="BG209" s="4662"/>
      <c r="BH209" s="4662"/>
      <c r="BI209" s="4662"/>
      <c r="BJ209" s="4683"/>
      <c r="BK209" s="1085" t="s">
        <v>4676</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4683</v>
      </c>
      <c r="BV209" s="1049"/>
      <c r="BW209" s="2365" t="s">
        <v>4684</v>
      </c>
      <c r="BX209" s="2364" t="s">
        <v>4685</v>
      </c>
      <c r="BY209" s="1398" t="s">
        <v>4685</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684" t="s">
        <v>4677</v>
      </c>
      <c r="U210" s="4675"/>
      <c r="V210" s="2373"/>
      <c r="W210" s="4685"/>
      <c r="X210" s="4686"/>
      <c r="Y210" s="4686"/>
      <c r="Z210" s="4686"/>
      <c r="AA210" s="4686"/>
      <c r="AB210" s="4686"/>
      <c r="AC210" s="4686"/>
      <c r="AD210" s="4686"/>
      <c r="AE210" s="4686"/>
      <c r="AF210" s="4645"/>
      <c r="AG210" s="4685"/>
      <c r="AH210" s="4686"/>
      <c r="AI210" s="4686"/>
      <c r="AJ210" s="4686"/>
      <c r="AK210" s="4686"/>
      <c r="AL210" s="4686"/>
      <c r="AM210" s="4686"/>
      <c r="AN210" s="4686"/>
      <c r="AO210" s="4686"/>
      <c r="AP210" s="4645"/>
      <c r="AQ210" s="4685"/>
      <c r="AR210" s="4686"/>
      <c r="AS210" s="4686"/>
      <c r="AT210" s="4686"/>
      <c r="AU210" s="4686"/>
      <c r="AV210" s="4686"/>
      <c r="AW210" s="4686"/>
      <c r="AX210" s="4686"/>
      <c r="AY210" s="4686"/>
      <c r="AZ210" s="4645"/>
      <c r="BA210" s="4685"/>
      <c r="BB210" s="4686"/>
      <c r="BC210" s="4686"/>
      <c r="BD210" s="4686"/>
      <c r="BE210" s="4686"/>
      <c r="BF210" s="4686"/>
      <c r="BG210" s="4686"/>
      <c r="BH210" s="4686"/>
      <c r="BI210" s="4686"/>
      <c r="BJ210" s="4645"/>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63" t="s">
        <v>4679</v>
      </c>
      <c r="U211" s="4664"/>
      <c r="V211" s="2371"/>
      <c r="W211" s="4665"/>
      <c r="X211" s="4666"/>
      <c r="Y211" s="4666"/>
      <c r="Z211" s="4666"/>
      <c r="AA211" s="4666"/>
      <c r="AB211" s="4666"/>
      <c r="AC211" s="4666"/>
      <c r="AD211" s="4666"/>
      <c r="AE211" s="4666"/>
      <c r="AF211" s="4667"/>
      <c r="AG211" s="4665"/>
      <c r="AH211" s="4666"/>
      <c r="AI211" s="4666"/>
      <c r="AJ211" s="4666"/>
      <c r="AK211" s="4666"/>
      <c r="AL211" s="4666"/>
      <c r="AM211" s="4666"/>
      <c r="AN211" s="4666"/>
      <c r="AO211" s="4666"/>
      <c r="AP211" s="4667"/>
      <c r="AQ211" s="4665"/>
      <c r="AR211" s="4666"/>
      <c r="AS211" s="4666"/>
      <c r="AT211" s="4666"/>
      <c r="AU211" s="4666"/>
      <c r="AV211" s="4666"/>
      <c r="AW211" s="4666"/>
      <c r="AX211" s="4666"/>
      <c r="AY211" s="4666"/>
      <c r="AZ211" s="4667"/>
      <c r="BA211" s="4665"/>
      <c r="BB211" s="4666"/>
      <c r="BC211" s="4666"/>
      <c r="BD211" s="4666"/>
      <c r="BE211" s="4666"/>
      <c r="BF211" s="4666"/>
      <c r="BG211" s="4666"/>
      <c r="BH211" s="4666"/>
      <c r="BI211" s="4666"/>
      <c r="BJ211" s="4667"/>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4683</v>
      </c>
      <c r="BV211" s="1049"/>
      <c r="BW211" s="2365" t="s">
        <v>4684</v>
      </c>
      <c r="BX211" s="2364" t="s">
        <v>4685</v>
      </c>
      <c r="BY211" s="1398" t="s">
        <v>4685</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4683</v>
      </c>
      <c r="BV213" s="1049"/>
      <c r="BW213" s="2365" t="s">
        <v>4684</v>
      </c>
      <c r="BX213" s="2364" t="s">
        <v>4685</v>
      </c>
      <c r="BY213" s="1398" t="s">
        <v>4685</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57" t="s">
        <v>4675</v>
      </c>
      <c r="U214" s="4658"/>
      <c r="V214" s="4658"/>
      <c r="W214" s="4658"/>
      <c r="X214" s="4658"/>
      <c r="Y214" s="4658"/>
      <c r="Z214" s="4658"/>
      <c r="AA214" s="4658"/>
      <c r="AB214" s="4658"/>
      <c r="AC214" s="4658"/>
      <c r="AD214" s="4658"/>
      <c r="AE214" s="4658"/>
      <c r="AF214" s="4658"/>
      <c r="AG214" s="4658"/>
      <c r="AH214" s="4658"/>
      <c r="AI214" s="4658"/>
      <c r="AJ214" s="4658"/>
      <c r="AK214" s="4658"/>
      <c r="AL214" s="4658"/>
      <c r="AM214" s="4658"/>
      <c r="AN214" s="4658"/>
      <c r="AO214" s="4658"/>
      <c r="AP214" s="4658"/>
      <c r="AQ214" s="4658"/>
      <c r="AR214" s="4658"/>
      <c r="AS214" s="4658"/>
      <c r="AT214" s="4658"/>
      <c r="AU214" s="4658"/>
      <c r="AV214" s="4658"/>
      <c r="AW214" s="4658"/>
      <c r="AX214" s="4658"/>
      <c r="AY214" s="4658"/>
      <c r="AZ214" s="4658"/>
      <c r="BA214" s="4658"/>
      <c r="BB214" s="4658"/>
      <c r="BC214" s="4658"/>
      <c r="BD214" s="4658"/>
      <c r="BE214" s="4658"/>
      <c r="BF214" s="4658"/>
      <c r="BG214" s="4658"/>
      <c r="BH214" s="4658"/>
      <c r="BI214" s="4658"/>
      <c r="BJ214" s="4658"/>
      <c r="BK214" s="4687"/>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60"/>
      <c r="U215" s="4683"/>
      <c r="V215" s="2372" t="str">
        <f>IF(OR(V213=0,V213=""),"N/A",V213)</f>
        <v>N/A</v>
      </c>
      <c r="W215" s="4660" t="str">
        <f xml:space="preserve"> IF(OR(AF213=0,AF213=""),"N/A",W213)</f>
        <v>N/A</v>
      </c>
      <c r="X215" s="4662"/>
      <c r="Y215" s="4662"/>
      <c r="Z215" s="4662"/>
      <c r="AA215" s="4662"/>
      <c r="AB215" s="4662"/>
      <c r="AC215" s="4662"/>
      <c r="AD215" s="4662"/>
      <c r="AE215" s="4662"/>
      <c r="AF215" s="4683"/>
      <c r="AG215" s="4660" t="str">
        <f xml:space="preserve"> IF(OR(AP213="",AP213=0),"N/A",AG213)</f>
        <v>N/A</v>
      </c>
      <c r="AH215" s="4662"/>
      <c r="AI215" s="4662"/>
      <c r="AJ215" s="4662"/>
      <c r="AK215" s="4662"/>
      <c r="AL215" s="4662"/>
      <c r="AM215" s="4662"/>
      <c r="AN215" s="4662"/>
      <c r="AO215" s="4662"/>
      <c r="AP215" s="4683"/>
      <c r="AQ215" s="4660" t="str">
        <f xml:space="preserve"> IF(OR(AZ213="",AZ213=0),"N/A",AQ213)</f>
        <v>N/A</v>
      </c>
      <c r="AR215" s="4662"/>
      <c r="AS215" s="4662"/>
      <c r="AT215" s="4662"/>
      <c r="AU215" s="4662"/>
      <c r="AV215" s="4662"/>
      <c r="AW215" s="4662"/>
      <c r="AX215" s="4662"/>
      <c r="AY215" s="4662"/>
      <c r="AZ215" s="4683"/>
      <c r="BA215" s="4660" t="str">
        <f xml:space="preserve"> IF(OR(BJ213="",BJ213=0),"N/A",BA213)</f>
        <v>N/A</v>
      </c>
      <c r="BB215" s="4662"/>
      <c r="BC215" s="4662"/>
      <c r="BD215" s="4662"/>
      <c r="BE215" s="4662"/>
      <c r="BF215" s="4662"/>
      <c r="BG215" s="4662"/>
      <c r="BH215" s="4662"/>
      <c r="BI215" s="4662"/>
      <c r="BJ215" s="4683"/>
      <c r="BK215" s="1085" t="s">
        <v>4676</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4683</v>
      </c>
      <c r="BV215" s="1049"/>
      <c r="BW215" s="2365" t="s">
        <v>4684</v>
      </c>
      <c r="BX215" s="2364" t="s">
        <v>4685</v>
      </c>
      <c r="BY215" s="1398" t="s">
        <v>4685</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684" t="s">
        <v>4677</v>
      </c>
      <c r="U216" s="4675"/>
      <c r="V216" s="2373"/>
      <c r="W216" s="4685"/>
      <c r="X216" s="4686"/>
      <c r="Y216" s="4686"/>
      <c r="Z216" s="4686"/>
      <c r="AA216" s="4686"/>
      <c r="AB216" s="4686"/>
      <c r="AC216" s="4686"/>
      <c r="AD216" s="4686"/>
      <c r="AE216" s="4686"/>
      <c r="AF216" s="4645"/>
      <c r="AG216" s="4685"/>
      <c r="AH216" s="4686"/>
      <c r="AI216" s="4686"/>
      <c r="AJ216" s="4686"/>
      <c r="AK216" s="4686"/>
      <c r="AL216" s="4686"/>
      <c r="AM216" s="4686"/>
      <c r="AN216" s="4686"/>
      <c r="AO216" s="4686"/>
      <c r="AP216" s="4645"/>
      <c r="AQ216" s="4685"/>
      <c r="AR216" s="4686"/>
      <c r="AS216" s="4686"/>
      <c r="AT216" s="4686"/>
      <c r="AU216" s="4686"/>
      <c r="AV216" s="4686"/>
      <c r="AW216" s="4686"/>
      <c r="AX216" s="4686"/>
      <c r="AY216" s="4686"/>
      <c r="AZ216" s="4645"/>
      <c r="BA216" s="4685"/>
      <c r="BB216" s="4686"/>
      <c r="BC216" s="4686"/>
      <c r="BD216" s="4686"/>
      <c r="BE216" s="4686"/>
      <c r="BF216" s="4686"/>
      <c r="BG216" s="4686"/>
      <c r="BH216" s="4686"/>
      <c r="BI216" s="4686"/>
      <c r="BJ216" s="4645"/>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63" t="s">
        <v>4679</v>
      </c>
      <c r="U217" s="4664"/>
      <c r="V217" s="2371"/>
      <c r="W217" s="4665"/>
      <c r="X217" s="4666"/>
      <c r="Y217" s="4666"/>
      <c r="Z217" s="4666"/>
      <c r="AA217" s="4666"/>
      <c r="AB217" s="4666"/>
      <c r="AC217" s="4666"/>
      <c r="AD217" s="4666"/>
      <c r="AE217" s="4666"/>
      <c r="AF217" s="4667"/>
      <c r="AG217" s="4665"/>
      <c r="AH217" s="4666"/>
      <c r="AI217" s="4666"/>
      <c r="AJ217" s="4666"/>
      <c r="AK217" s="4666"/>
      <c r="AL217" s="4666"/>
      <c r="AM217" s="4666"/>
      <c r="AN217" s="4666"/>
      <c r="AO217" s="4666"/>
      <c r="AP217" s="4667"/>
      <c r="AQ217" s="4665"/>
      <c r="AR217" s="4666"/>
      <c r="AS217" s="4666"/>
      <c r="AT217" s="4666"/>
      <c r="AU217" s="4666"/>
      <c r="AV217" s="4666"/>
      <c r="AW217" s="4666"/>
      <c r="AX217" s="4666"/>
      <c r="AY217" s="4666"/>
      <c r="AZ217" s="4667"/>
      <c r="BA217" s="4665"/>
      <c r="BB217" s="4666"/>
      <c r="BC217" s="4666"/>
      <c r="BD217" s="4666"/>
      <c r="BE217" s="4666"/>
      <c r="BF217" s="4666"/>
      <c r="BG217" s="4666"/>
      <c r="BH217" s="4666"/>
      <c r="BI217" s="4666"/>
      <c r="BJ217" s="4667"/>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4683</v>
      </c>
      <c r="BV217" s="1049"/>
      <c r="BW217" s="2365" t="s">
        <v>4684</v>
      </c>
      <c r="BX217" s="2364" t="s">
        <v>4685</v>
      </c>
      <c r="BY217" s="1398" t="s">
        <v>4685</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6"/>
      <c r="BV219" s="4646"/>
      <c r="BW219" s="4646"/>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57" t="s">
        <v>4675</v>
      </c>
      <c r="U220" s="4658"/>
      <c r="V220" s="4658"/>
      <c r="W220" s="4658"/>
      <c r="X220" s="4658"/>
      <c r="Y220" s="4658"/>
      <c r="Z220" s="4658"/>
      <c r="AA220" s="4658"/>
      <c r="AB220" s="4658"/>
      <c r="AC220" s="4658"/>
      <c r="AD220" s="4658"/>
      <c r="AE220" s="4658"/>
      <c r="AF220" s="4658"/>
      <c r="AG220" s="4658"/>
      <c r="AH220" s="4658"/>
      <c r="AI220" s="4658"/>
      <c r="AJ220" s="4658"/>
      <c r="AK220" s="4658"/>
      <c r="AL220" s="4658"/>
      <c r="AM220" s="4658"/>
      <c r="AN220" s="4658"/>
      <c r="AO220" s="4658"/>
      <c r="AP220" s="4658"/>
      <c r="AQ220" s="4658"/>
      <c r="AR220" s="4658"/>
      <c r="AS220" s="4658"/>
      <c r="AT220" s="4658"/>
      <c r="AU220" s="4658"/>
      <c r="AV220" s="4658"/>
      <c r="AW220" s="4658"/>
      <c r="AX220" s="4658"/>
      <c r="AY220" s="4658"/>
      <c r="AZ220" s="4658"/>
      <c r="BA220" s="4658"/>
      <c r="BB220" s="4658"/>
      <c r="BC220" s="4658"/>
      <c r="BD220" s="4658"/>
      <c r="BE220" s="4658"/>
      <c r="BF220" s="4658"/>
      <c r="BG220" s="4658"/>
      <c r="BH220" s="4658"/>
      <c r="BI220" s="4658"/>
      <c r="BJ220" s="4658"/>
      <c r="BK220" s="4687"/>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60"/>
      <c r="U221" s="4683"/>
      <c r="V221" s="2372" t="str">
        <f>IF(OR(V219=0,V219=""),"N/A",V219)</f>
        <v>N/A</v>
      </c>
      <c r="W221" s="4660" t="str">
        <f xml:space="preserve"> IF(OR(AF219=0,AF219=""),"N/A",W219)</f>
        <v>N/A</v>
      </c>
      <c r="X221" s="4662"/>
      <c r="Y221" s="4662"/>
      <c r="Z221" s="4662"/>
      <c r="AA221" s="4662"/>
      <c r="AB221" s="4662"/>
      <c r="AC221" s="4662"/>
      <c r="AD221" s="4662"/>
      <c r="AE221" s="4662"/>
      <c r="AF221" s="4683"/>
      <c r="AG221" s="4660" t="str">
        <f xml:space="preserve"> IF(OR(AP219="",AP219=0),"N/A",AG219)</f>
        <v>N/A</v>
      </c>
      <c r="AH221" s="4662"/>
      <c r="AI221" s="4662"/>
      <c r="AJ221" s="4662"/>
      <c r="AK221" s="4662"/>
      <c r="AL221" s="4662"/>
      <c r="AM221" s="4662"/>
      <c r="AN221" s="4662"/>
      <c r="AO221" s="4662"/>
      <c r="AP221" s="4683"/>
      <c r="AQ221" s="4660" t="str">
        <f xml:space="preserve"> IF(OR(AZ219="",AZ219=0),"N/A",AQ219)</f>
        <v>N/A</v>
      </c>
      <c r="AR221" s="4662"/>
      <c r="AS221" s="4662"/>
      <c r="AT221" s="4662"/>
      <c r="AU221" s="4662"/>
      <c r="AV221" s="4662"/>
      <c r="AW221" s="4662"/>
      <c r="AX221" s="4662"/>
      <c r="AY221" s="4662"/>
      <c r="AZ221" s="4683"/>
      <c r="BA221" s="4660" t="str">
        <f xml:space="preserve"> IF(OR(BJ219="",BJ219=0),"N/A",BA219)</f>
        <v>N/A</v>
      </c>
      <c r="BB221" s="4662"/>
      <c r="BC221" s="4662"/>
      <c r="BD221" s="4662"/>
      <c r="BE221" s="4662"/>
      <c r="BF221" s="4662"/>
      <c r="BG221" s="4662"/>
      <c r="BH221" s="4662"/>
      <c r="BI221" s="4662"/>
      <c r="BJ221" s="4683"/>
      <c r="BK221" s="1085" t="s">
        <v>4676</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708"/>
      <c r="BV221" s="4708"/>
      <c r="BW221" s="4708"/>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684" t="s">
        <v>4677</v>
      </c>
      <c r="U222" s="4675"/>
      <c r="V222" s="2373"/>
      <c r="W222" s="4685"/>
      <c r="X222" s="4686"/>
      <c r="Y222" s="4686"/>
      <c r="Z222" s="4686"/>
      <c r="AA222" s="4686"/>
      <c r="AB222" s="4686"/>
      <c r="AC222" s="4686"/>
      <c r="AD222" s="4686"/>
      <c r="AE222" s="4686"/>
      <c r="AF222" s="4645"/>
      <c r="AG222" s="4685"/>
      <c r="AH222" s="4686"/>
      <c r="AI222" s="4686"/>
      <c r="AJ222" s="4686"/>
      <c r="AK222" s="4686"/>
      <c r="AL222" s="4686"/>
      <c r="AM222" s="4686"/>
      <c r="AN222" s="4686"/>
      <c r="AO222" s="4686"/>
      <c r="AP222" s="4645"/>
      <c r="AQ222" s="4685"/>
      <c r="AR222" s="4686"/>
      <c r="AS222" s="4686"/>
      <c r="AT222" s="4686"/>
      <c r="AU222" s="4686"/>
      <c r="AV222" s="4686"/>
      <c r="AW222" s="4686"/>
      <c r="AX222" s="4686"/>
      <c r="AY222" s="4686"/>
      <c r="AZ222" s="4645"/>
      <c r="BA222" s="4685"/>
      <c r="BB222" s="4686"/>
      <c r="BC222" s="4686"/>
      <c r="BD222" s="4686"/>
      <c r="BE222" s="4686"/>
      <c r="BF222" s="4686"/>
      <c r="BG222" s="4686"/>
      <c r="BH222" s="4686"/>
      <c r="BI222" s="4686"/>
      <c r="BJ222" s="4645"/>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63" t="s">
        <v>4679</v>
      </c>
      <c r="U223" s="4664"/>
      <c r="V223" s="2376"/>
      <c r="W223" s="4665"/>
      <c r="X223" s="4666"/>
      <c r="Y223" s="4666"/>
      <c r="Z223" s="4666"/>
      <c r="AA223" s="4666"/>
      <c r="AB223" s="4666"/>
      <c r="AC223" s="4666"/>
      <c r="AD223" s="4666"/>
      <c r="AE223" s="4666"/>
      <c r="AF223" s="4667"/>
      <c r="AG223" s="4665"/>
      <c r="AH223" s="4666"/>
      <c r="AI223" s="4666"/>
      <c r="AJ223" s="4666"/>
      <c r="AK223" s="4666"/>
      <c r="AL223" s="4666"/>
      <c r="AM223" s="4666"/>
      <c r="AN223" s="4666"/>
      <c r="AO223" s="4666"/>
      <c r="AP223" s="4667"/>
      <c r="AQ223" s="4665"/>
      <c r="AR223" s="4666"/>
      <c r="AS223" s="4666"/>
      <c r="AT223" s="4666"/>
      <c r="AU223" s="4666"/>
      <c r="AV223" s="4666"/>
      <c r="AW223" s="4666"/>
      <c r="AX223" s="4666"/>
      <c r="AY223" s="4666"/>
      <c r="AZ223" s="4667"/>
      <c r="BA223" s="4665"/>
      <c r="BB223" s="4666"/>
      <c r="BC223" s="4666"/>
      <c r="BD223" s="4666"/>
      <c r="BE223" s="4666"/>
      <c r="BF223" s="4666"/>
      <c r="BG223" s="4666"/>
      <c r="BH223" s="4666"/>
      <c r="BI223" s="4666"/>
      <c r="BJ223" s="4667"/>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4686</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73"/>
      <c r="BL224" s="4673"/>
      <c r="BM224" s="4682"/>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41" t="s">
        <v>4688</v>
      </c>
      <c r="BU224" s="4682"/>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4687</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48" t="str">
        <f>IF(OR(E225='Tablas Técnicas'!A$678,E225='Tablas Técnicas'!A$679,E226='Tablas Técnicas'!A$678,E226='Tablas Técnicas'!A$679,E227='Tablas Técnicas'!A$678,E227='Tablas Técnicas'!A$679),"Selecciona la atadura elemental:","")</f>
        <v/>
      </c>
      <c r="AH225" s="4649"/>
      <c r="AI225" s="4649"/>
      <c r="AJ225" s="4649"/>
      <c r="AK225" s="4649"/>
      <c r="AL225" s="4649"/>
      <c r="AM225" s="4649"/>
      <c r="AN225" s="4649"/>
      <c r="AO225" s="4649"/>
      <c r="AP225" s="4649"/>
      <c r="AQ225" s="4649"/>
      <c r="AR225" s="4649"/>
      <c r="AS225" s="4649"/>
      <c r="AT225" s="4649"/>
      <c r="AU225" s="4649"/>
      <c r="AV225" s="4649"/>
      <c r="AW225" s="4649"/>
      <c r="AX225" s="4649"/>
      <c r="AY225" s="4649"/>
      <c r="AZ225" s="4649"/>
      <c r="BA225" s="4649"/>
      <c r="BB225" s="4649"/>
      <c r="BC225" s="4649"/>
      <c r="BD225" s="4649"/>
      <c r="BE225" s="4649"/>
      <c r="BF225" s="4649"/>
      <c r="BG225" s="4649"/>
      <c r="BH225" s="4649"/>
      <c r="BI225" s="4649"/>
      <c r="BJ225" s="4649"/>
      <c r="BK225" s="4680"/>
      <c r="BL225" s="1540"/>
      <c r="BM225" s="1540"/>
      <c r="BN225" s="1084"/>
      <c r="BO225" s="1084"/>
      <c r="BP225" s="1117"/>
      <c r="BQ225" s="1084"/>
      <c r="BR225" s="1084"/>
      <c r="BS225" s="1084"/>
      <c r="BT225" s="4651">
        <f>D193</f>
        <v>1</v>
      </c>
      <c r="BU225" s="4681"/>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4689</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4690</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8173</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8541</v>
      </c>
      <c r="F230" s="1041" t="s">
        <v>1792</v>
      </c>
      <c r="G230" s="1042" t="s">
        <v>1793</v>
      </c>
      <c r="H230" s="1042" t="s">
        <v>1815</v>
      </c>
      <c r="I230" s="1043" t="s">
        <v>3467</v>
      </c>
      <c r="J230" s="1044"/>
      <c r="K230" s="1045"/>
      <c r="L230" s="1043" t="s">
        <v>3468</v>
      </c>
      <c r="M230" s="1044"/>
      <c r="N230" s="1045"/>
      <c r="O230" s="1043" t="s">
        <v>3469</v>
      </c>
      <c r="P230" s="1044"/>
      <c r="Q230" s="1045"/>
      <c r="R230" s="1046" t="s">
        <v>4666</v>
      </c>
      <c r="S230" s="1042" t="s">
        <v>3437</v>
      </c>
      <c r="T230" s="2368" t="s">
        <v>1711</v>
      </c>
      <c r="U230" s="2368" t="s">
        <v>1682</v>
      </c>
      <c r="V230" s="2368" t="s">
        <v>3470</v>
      </c>
      <c r="W230" s="4678" t="s">
        <v>3471</v>
      </c>
      <c r="X230" s="4678"/>
      <c r="Y230" s="4678"/>
      <c r="Z230" s="4678"/>
      <c r="AA230" s="4678"/>
      <c r="AB230" s="4678"/>
      <c r="AC230" s="4678"/>
      <c r="AD230" s="4678"/>
      <c r="AE230" s="4678"/>
      <c r="AF230" s="4678"/>
      <c r="AG230" s="4678"/>
      <c r="AH230" s="4678"/>
      <c r="AI230" s="4678"/>
      <c r="AJ230" s="4678"/>
      <c r="AK230" s="4678"/>
      <c r="AL230" s="4678"/>
      <c r="AM230" s="4678"/>
      <c r="AN230" s="4678"/>
      <c r="AO230" s="4678"/>
      <c r="AP230" s="4678"/>
      <c r="AQ230" s="4678"/>
      <c r="AR230" s="4678"/>
      <c r="AS230" s="4678"/>
      <c r="AT230" s="4678"/>
      <c r="AU230" s="4678"/>
      <c r="AV230" s="4678"/>
      <c r="AW230" s="4678"/>
      <c r="AX230" s="4678"/>
      <c r="AY230" s="4678"/>
      <c r="AZ230" s="4678"/>
      <c r="BA230" s="4678"/>
      <c r="BB230" s="4678"/>
      <c r="BC230" s="4678"/>
      <c r="BD230" s="4678"/>
      <c r="BE230" s="4678"/>
      <c r="BF230" s="4678"/>
      <c r="BG230" s="4678"/>
      <c r="BH230" s="4678"/>
      <c r="BI230" s="4678"/>
      <c r="BJ230" s="4678"/>
      <c r="BK230" s="4678" t="s">
        <v>3472</v>
      </c>
      <c r="BL230" s="4678"/>
      <c r="BM230" s="4679"/>
      <c r="BN230" s="1047" t="s">
        <v>4667</v>
      </c>
      <c r="BO230" s="1047" t="s">
        <v>4668</v>
      </c>
      <c r="BP230" s="1047" t="s">
        <v>4669</v>
      </c>
      <c r="BQ230" s="1047" t="s">
        <v>4670</v>
      </c>
      <c r="BR230" s="1047" t="s">
        <v>4671</v>
      </c>
      <c r="BS230" s="1048" t="s">
        <v>4672</v>
      </c>
      <c r="BT230" s="4653" t="s">
        <v>4673</v>
      </c>
      <c r="BU230" s="4654"/>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3448</v>
      </c>
      <c r="DW231" s="1524" t="s">
        <v>3434</v>
      </c>
      <c r="DX231" s="1525" t="s">
        <v>8176</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53" t="s">
        <v>4674</v>
      </c>
      <c r="BU232" s="4654"/>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70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57" t="s">
        <v>4675</v>
      </c>
      <c r="U233" s="4658"/>
      <c r="V233" s="4658"/>
      <c r="W233" s="4658"/>
      <c r="X233" s="4658"/>
      <c r="Y233" s="4658"/>
      <c r="Z233" s="4658"/>
      <c r="AA233" s="4658"/>
      <c r="AB233" s="4658"/>
      <c r="AC233" s="4658"/>
      <c r="AD233" s="4658"/>
      <c r="AE233" s="4658"/>
      <c r="AF233" s="4658"/>
      <c r="AG233" s="4658"/>
      <c r="AH233" s="4658"/>
      <c r="AI233" s="4658"/>
      <c r="AJ233" s="4658"/>
      <c r="AK233" s="4658"/>
      <c r="AL233" s="4658"/>
      <c r="AM233" s="4658"/>
      <c r="AN233" s="4658"/>
      <c r="AO233" s="4658"/>
      <c r="AP233" s="4658"/>
      <c r="AQ233" s="4658"/>
      <c r="AR233" s="4658"/>
      <c r="AS233" s="4658"/>
      <c r="AT233" s="4658"/>
      <c r="AU233" s="4658"/>
      <c r="AV233" s="4658"/>
      <c r="AW233" s="4658"/>
      <c r="AX233" s="4658"/>
      <c r="AY233" s="4658"/>
      <c r="AZ233" s="4658"/>
      <c r="BA233" s="4658"/>
      <c r="BB233" s="4658"/>
      <c r="BC233" s="4658"/>
      <c r="BD233" s="4658"/>
      <c r="BE233" s="4658"/>
      <c r="BF233" s="4658"/>
      <c r="BG233" s="4658"/>
      <c r="BH233" s="4658"/>
      <c r="BI233" s="4658"/>
      <c r="BJ233" s="4658"/>
      <c r="BK233" s="4659"/>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7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77"/>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701"/>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60"/>
      <c r="U234" s="4661"/>
      <c r="V234" s="2372" t="str">
        <f>IF(OR(V232=0,V232=""),"N/A",V232)</f>
        <v>N/A</v>
      </c>
      <c r="W234" s="4660" t="str">
        <f xml:space="preserve"> IF(OR(AF232=0,AF232=""),"N/A",W232)</f>
        <v>N/A</v>
      </c>
      <c r="X234" s="4662"/>
      <c r="Y234" s="4662"/>
      <c r="Z234" s="4662"/>
      <c r="AA234" s="4662"/>
      <c r="AB234" s="4662"/>
      <c r="AC234" s="4662"/>
      <c r="AD234" s="4662"/>
      <c r="AE234" s="4662"/>
      <c r="AF234" s="4661"/>
      <c r="AG234" s="4660" t="str">
        <f xml:space="preserve"> IF(OR(AP232="",AP232=0),"N/A",AG232)</f>
        <v>N/A</v>
      </c>
      <c r="AH234" s="4662"/>
      <c r="AI234" s="4662"/>
      <c r="AJ234" s="4662"/>
      <c r="AK234" s="4662"/>
      <c r="AL234" s="4662"/>
      <c r="AM234" s="4662"/>
      <c r="AN234" s="4662"/>
      <c r="AO234" s="4662"/>
      <c r="AP234" s="4661"/>
      <c r="AQ234" s="4660" t="str">
        <f xml:space="preserve"> IF(OR(AZ232="",AZ232=0),"N/A",AQ232)</f>
        <v>N/A</v>
      </c>
      <c r="AR234" s="4662"/>
      <c r="AS234" s="4662"/>
      <c r="AT234" s="4662"/>
      <c r="AU234" s="4662"/>
      <c r="AV234" s="4662"/>
      <c r="AW234" s="4662"/>
      <c r="AX234" s="4662"/>
      <c r="AY234" s="4662"/>
      <c r="AZ234" s="4661"/>
      <c r="BA234" s="4660" t="str">
        <f xml:space="preserve"> IF(OR(BJ232="",BJ232=0),"N/A",BA232)</f>
        <v>N/A</v>
      </c>
      <c r="BB234" s="4662"/>
      <c r="BC234" s="4662"/>
      <c r="BD234" s="4662"/>
      <c r="BE234" s="4662"/>
      <c r="BF234" s="4662"/>
      <c r="BG234" s="4662"/>
      <c r="BH234" s="4662"/>
      <c r="BI234" s="4662"/>
      <c r="BJ234" s="4661"/>
      <c r="BK234" s="1085" t="s">
        <v>4676</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701"/>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74" t="s">
        <v>4677</v>
      </c>
      <c r="U235" s="4675"/>
      <c r="V235" s="2373"/>
      <c r="W235" s="4643"/>
      <c r="X235" s="4644"/>
      <c r="Y235" s="4644"/>
      <c r="Z235" s="4644"/>
      <c r="AA235" s="4644"/>
      <c r="AB235" s="4644"/>
      <c r="AC235" s="4644"/>
      <c r="AD235" s="4644"/>
      <c r="AE235" s="4644"/>
      <c r="AF235" s="4645"/>
      <c r="AG235" s="4643"/>
      <c r="AH235" s="4644"/>
      <c r="AI235" s="4644"/>
      <c r="AJ235" s="4644"/>
      <c r="AK235" s="4644"/>
      <c r="AL235" s="4644"/>
      <c r="AM235" s="4644"/>
      <c r="AN235" s="4644"/>
      <c r="AO235" s="4644"/>
      <c r="AP235" s="4645"/>
      <c r="AQ235" s="4643"/>
      <c r="AR235" s="4644"/>
      <c r="AS235" s="4644"/>
      <c r="AT235" s="4644"/>
      <c r="AU235" s="4644"/>
      <c r="AV235" s="4644"/>
      <c r="AW235" s="4644"/>
      <c r="AX235" s="4644"/>
      <c r="AY235" s="4644"/>
      <c r="AZ235" s="4645"/>
      <c r="BA235" s="4643"/>
      <c r="BB235" s="4644"/>
      <c r="BC235" s="4644"/>
      <c r="BD235" s="4644"/>
      <c r="BE235" s="4644"/>
      <c r="BF235" s="4644"/>
      <c r="BG235" s="4644"/>
      <c r="BH235" s="4644"/>
      <c r="BI235" s="4644"/>
      <c r="BJ235" s="4645"/>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53" t="s">
        <v>4678</v>
      </c>
      <c r="BU235" s="4654"/>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701"/>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63" t="s">
        <v>4679</v>
      </c>
      <c r="U236" s="4664"/>
      <c r="V236" s="2371"/>
      <c r="W236" s="4665"/>
      <c r="X236" s="4666"/>
      <c r="Y236" s="4666"/>
      <c r="Z236" s="4666"/>
      <c r="AA236" s="4666"/>
      <c r="AB236" s="4666"/>
      <c r="AC236" s="4666"/>
      <c r="AD236" s="4666"/>
      <c r="AE236" s="4666"/>
      <c r="AF236" s="4667"/>
      <c r="AG236" s="4665"/>
      <c r="AH236" s="4666"/>
      <c r="AI236" s="4666"/>
      <c r="AJ236" s="4666"/>
      <c r="AK236" s="4666"/>
      <c r="AL236" s="4666"/>
      <c r="AM236" s="4666"/>
      <c r="AN236" s="4666"/>
      <c r="AO236" s="4666"/>
      <c r="AP236" s="4667"/>
      <c r="AQ236" s="4665"/>
      <c r="AR236" s="4666"/>
      <c r="AS236" s="4666"/>
      <c r="AT236" s="4666"/>
      <c r="AU236" s="4666"/>
      <c r="AV236" s="4666"/>
      <c r="AW236" s="4666"/>
      <c r="AX236" s="4666"/>
      <c r="AY236" s="4666"/>
      <c r="AZ236" s="4667"/>
      <c r="BA236" s="4665"/>
      <c r="BB236" s="4666"/>
      <c r="BC236" s="4666"/>
      <c r="BD236" s="4666"/>
      <c r="BE236" s="4666"/>
      <c r="BF236" s="4666"/>
      <c r="BG236" s="4666"/>
      <c r="BH236" s="4666"/>
      <c r="BI236" s="4666"/>
      <c r="BJ236" s="4667"/>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5" t="s">
        <v>1693</v>
      </c>
      <c r="BU236" s="4656"/>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701"/>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53" t="s">
        <v>4680</v>
      </c>
      <c r="BU237" s="4654"/>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5" t="s">
        <v>4660</v>
      </c>
      <c r="BU238" s="4656"/>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57" t="s">
        <v>4675</v>
      </c>
      <c r="U239" s="4658"/>
      <c r="V239" s="4658"/>
      <c r="W239" s="4658"/>
      <c r="X239" s="4658"/>
      <c r="Y239" s="4658"/>
      <c r="Z239" s="4658"/>
      <c r="AA239" s="4658"/>
      <c r="AB239" s="4658"/>
      <c r="AC239" s="4658"/>
      <c r="AD239" s="4658"/>
      <c r="AE239" s="4658"/>
      <c r="AF239" s="4658"/>
      <c r="AG239" s="4658"/>
      <c r="AH239" s="4658"/>
      <c r="AI239" s="4658"/>
      <c r="AJ239" s="4658"/>
      <c r="AK239" s="4658"/>
      <c r="AL239" s="4658"/>
      <c r="AM239" s="4658"/>
      <c r="AN239" s="4658"/>
      <c r="AO239" s="4658"/>
      <c r="AP239" s="4658"/>
      <c r="AQ239" s="4658"/>
      <c r="AR239" s="4658"/>
      <c r="AS239" s="4658"/>
      <c r="AT239" s="4658"/>
      <c r="AU239" s="4658"/>
      <c r="AV239" s="4658"/>
      <c r="AW239" s="4658"/>
      <c r="AX239" s="4658"/>
      <c r="AY239" s="4658"/>
      <c r="AZ239" s="4658"/>
      <c r="BA239" s="4658"/>
      <c r="BB239" s="4658"/>
      <c r="BC239" s="4658"/>
      <c r="BD239" s="4658"/>
      <c r="BE239" s="4658"/>
      <c r="BF239" s="4658"/>
      <c r="BG239" s="4658"/>
      <c r="BH239" s="4658"/>
      <c r="BI239" s="4658"/>
      <c r="BJ239" s="4658"/>
      <c r="BK239" s="4659"/>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53" t="s">
        <v>4681</v>
      </c>
      <c r="BU239" s="4654"/>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60"/>
      <c r="U240" s="4661"/>
      <c r="V240" s="2372" t="str">
        <f>IF(OR(V238=0,V238=""),"N/A",V238)</f>
        <v>N/A</v>
      </c>
      <c r="W240" s="4660" t="str">
        <f xml:space="preserve"> IF(OR(AF238=0,AF238=""),"N/A",W238)</f>
        <v>N/A</v>
      </c>
      <c r="X240" s="4662"/>
      <c r="Y240" s="4662"/>
      <c r="Z240" s="4662"/>
      <c r="AA240" s="4662"/>
      <c r="AB240" s="4662"/>
      <c r="AC240" s="4662"/>
      <c r="AD240" s="4662"/>
      <c r="AE240" s="4662"/>
      <c r="AF240" s="4661"/>
      <c r="AG240" s="4660" t="str">
        <f xml:space="preserve"> IF(OR(AP238="",AP238=0),"N/A",AG238)</f>
        <v>N/A</v>
      </c>
      <c r="AH240" s="4662"/>
      <c r="AI240" s="4662"/>
      <c r="AJ240" s="4662"/>
      <c r="AK240" s="4662"/>
      <c r="AL240" s="4662"/>
      <c r="AM240" s="4662"/>
      <c r="AN240" s="4662"/>
      <c r="AO240" s="4662"/>
      <c r="AP240" s="4661"/>
      <c r="AQ240" s="4660" t="str">
        <f xml:space="preserve"> IF(OR(AZ238="",AZ238=0),"N/A",AQ238)</f>
        <v>N/A</v>
      </c>
      <c r="AR240" s="4662"/>
      <c r="AS240" s="4662"/>
      <c r="AT240" s="4662"/>
      <c r="AU240" s="4662"/>
      <c r="AV240" s="4662"/>
      <c r="AW240" s="4662"/>
      <c r="AX240" s="4662"/>
      <c r="AY240" s="4662"/>
      <c r="AZ240" s="4661"/>
      <c r="BA240" s="4660" t="str">
        <f xml:space="preserve"> IF(OR(BJ238="",BJ238=0),"N/A",BA238)</f>
        <v>N/A</v>
      </c>
      <c r="BB240" s="4662"/>
      <c r="BC240" s="4662"/>
      <c r="BD240" s="4662"/>
      <c r="BE240" s="4662"/>
      <c r="BF240" s="4662"/>
      <c r="BG240" s="4662"/>
      <c r="BH240" s="4662"/>
      <c r="BI240" s="4662"/>
      <c r="BJ240" s="4661"/>
      <c r="BK240" s="1085" t="s">
        <v>4676</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5" t="s">
        <v>4654</v>
      </c>
      <c r="BU240" s="4656"/>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74" t="s">
        <v>4677</v>
      </c>
      <c r="U241" s="4675"/>
      <c r="V241" s="2373"/>
      <c r="W241" s="4643"/>
      <c r="X241" s="4644"/>
      <c r="Y241" s="4644"/>
      <c r="Z241" s="4644"/>
      <c r="AA241" s="4644"/>
      <c r="AB241" s="4644"/>
      <c r="AC241" s="4644"/>
      <c r="AD241" s="4644"/>
      <c r="AE241" s="4644"/>
      <c r="AF241" s="4645"/>
      <c r="AG241" s="4643"/>
      <c r="AH241" s="4644"/>
      <c r="AI241" s="4644"/>
      <c r="AJ241" s="4644"/>
      <c r="AK241" s="4644"/>
      <c r="AL241" s="4644"/>
      <c r="AM241" s="4644"/>
      <c r="AN241" s="4644"/>
      <c r="AO241" s="4644"/>
      <c r="AP241" s="4645"/>
      <c r="AQ241" s="4643"/>
      <c r="AR241" s="4644"/>
      <c r="AS241" s="4644"/>
      <c r="AT241" s="4644"/>
      <c r="AU241" s="4644"/>
      <c r="AV241" s="4644"/>
      <c r="AW241" s="4644"/>
      <c r="AX241" s="4644"/>
      <c r="AY241" s="4644"/>
      <c r="AZ241" s="4645"/>
      <c r="BA241" s="4643"/>
      <c r="BB241" s="4644"/>
      <c r="BC241" s="4644"/>
      <c r="BD241" s="4644"/>
      <c r="BE241" s="4644"/>
      <c r="BF241" s="4644"/>
      <c r="BG241" s="4644"/>
      <c r="BH241" s="4644"/>
      <c r="BI241" s="4644"/>
      <c r="BJ241" s="4645"/>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41" t="s">
        <v>4682</v>
      </c>
      <c r="BU241" s="4642"/>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63" t="s">
        <v>4679</v>
      </c>
      <c r="U242" s="4664"/>
      <c r="V242" s="2371"/>
      <c r="W242" s="4665"/>
      <c r="X242" s="4666"/>
      <c r="Y242" s="4666"/>
      <c r="Z242" s="4666"/>
      <c r="AA242" s="4666"/>
      <c r="AB242" s="4666"/>
      <c r="AC242" s="4666"/>
      <c r="AD242" s="4666"/>
      <c r="AE242" s="4666"/>
      <c r="AF242" s="4667"/>
      <c r="AG242" s="4665"/>
      <c r="AH242" s="4666"/>
      <c r="AI242" s="4666"/>
      <c r="AJ242" s="4666"/>
      <c r="AK242" s="4666"/>
      <c r="AL242" s="4666"/>
      <c r="AM242" s="4666"/>
      <c r="AN242" s="4666"/>
      <c r="AO242" s="4666"/>
      <c r="AP242" s="4667"/>
      <c r="AQ242" s="4665"/>
      <c r="AR242" s="4666"/>
      <c r="AS242" s="4666"/>
      <c r="AT242" s="4666"/>
      <c r="AU242" s="4666"/>
      <c r="AV242" s="4666"/>
      <c r="AW242" s="4666"/>
      <c r="AX242" s="4666"/>
      <c r="AY242" s="4666"/>
      <c r="AZ242" s="4667"/>
      <c r="BA242" s="4665"/>
      <c r="BB242" s="4666"/>
      <c r="BC242" s="4666"/>
      <c r="BD242" s="4666"/>
      <c r="BE242" s="4666"/>
      <c r="BF242" s="4666"/>
      <c r="BG242" s="4666"/>
      <c r="BH242" s="4666"/>
      <c r="BI242" s="4666"/>
      <c r="BJ242" s="4667"/>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4683</v>
      </c>
      <c r="BV244" s="1049"/>
      <c r="BW244" s="2365" t="s">
        <v>4684</v>
      </c>
      <c r="BX244" s="2364" t="s">
        <v>4685</v>
      </c>
      <c r="BY244" s="1397" t="s">
        <v>4685</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57" t="s">
        <v>4675</v>
      </c>
      <c r="U245" s="4658"/>
      <c r="V245" s="4658"/>
      <c r="W245" s="4658"/>
      <c r="X245" s="4658"/>
      <c r="Y245" s="4658"/>
      <c r="Z245" s="4658"/>
      <c r="AA245" s="4658"/>
      <c r="AB245" s="4658"/>
      <c r="AC245" s="4658"/>
      <c r="AD245" s="4658"/>
      <c r="AE245" s="4658"/>
      <c r="AF245" s="4658"/>
      <c r="AG245" s="4658"/>
      <c r="AH245" s="4658"/>
      <c r="AI245" s="4658"/>
      <c r="AJ245" s="4658"/>
      <c r="AK245" s="4658"/>
      <c r="AL245" s="4658"/>
      <c r="AM245" s="4658"/>
      <c r="AN245" s="4658"/>
      <c r="AO245" s="4658"/>
      <c r="AP245" s="4658"/>
      <c r="AQ245" s="4658"/>
      <c r="AR245" s="4658"/>
      <c r="AS245" s="4658"/>
      <c r="AT245" s="4658"/>
      <c r="AU245" s="4658"/>
      <c r="AV245" s="4658"/>
      <c r="AW245" s="4658"/>
      <c r="AX245" s="4658"/>
      <c r="AY245" s="4658"/>
      <c r="AZ245" s="4658"/>
      <c r="BA245" s="4658"/>
      <c r="BB245" s="4658"/>
      <c r="BC245" s="4658"/>
      <c r="BD245" s="4658"/>
      <c r="BE245" s="4658"/>
      <c r="BF245" s="4658"/>
      <c r="BG245" s="4658"/>
      <c r="BH245" s="4658"/>
      <c r="BI245" s="4658"/>
      <c r="BJ245" s="4658"/>
      <c r="BK245" s="4659"/>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60"/>
      <c r="U246" s="4661"/>
      <c r="V246" s="2372" t="str">
        <f>IF(OR(V244=0,V244=""),"N/A",V244)</f>
        <v>N/A</v>
      </c>
      <c r="W246" s="4660" t="str">
        <f xml:space="preserve"> IF(OR(AF244=0,AF244=""),"N/A",W244)</f>
        <v>N/A</v>
      </c>
      <c r="X246" s="4662"/>
      <c r="Y246" s="4662"/>
      <c r="Z246" s="4662"/>
      <c r="AA246" s="4662"/>
      <c r="AB246" s="4662"/>
      <c r="AC246" s="4662"/>
      <c r="AD246" s="4662"/>
      <c r="AE246" s="4662"/>
      <c r="AF246" s="4661"/>
      <c r="AG246" s="4660" t="str">
        <f xml:space="preserve"> IF(OR(AP244="",AP244=0),"N/A",AG244)</f>
        <v>N/A</v>
      </c>
      <c r="AH246" s="4662"/>
      <c r="AI246" s="4662"/>
      <c r="AJ246" s="4662"/>
      <c r="AK246" s="4662"/>
      <c r="AL246" s="4662"/>
      <c r="AM246" s="4662"/>
      <c r="AN246" s="4662"/>
      <c r="AO246" s="4662"/>
      <c r="AP246" s="4661"/>
      <c r="AQ246" s="4660" t="str">
        <f xml:space="preserve"> IF(OR(AZ244="",AZ244=0),"N/A",AQ244)</f>
        <v>N/A</v>
      </c>
      <c r="AR246" s="4662"/>
      <c r="AS246" s="4662"/>
      <c r="AT246" s="4662"/>
      <c r="AU246" s="4662"/>
      <c r="AV246" s="4662"/>
      <c r="AW246" s="4662"/>
      <c r="AX246" s="4662"/>
      <c r="AY246" s="4662"/>
      <c r="AZ246" s="4661"/>
      <c r="BA246" s="4660" t="str">
        <f xml:space="preserve"> IF(OR(BJ244="",BJ244=0),"N/A",BA244)</f>
        <v>N/A</v>
      </c>
      <c r="BB246" s="4662"/>
      <c r="BC246" s="4662"/>
      <c r="BD246" s="4662"/>
      <c r="BE246" s="4662"/>
      <c r="BF246" s="4662"/>
      <c r="BG246" s="4662"/>
      <c r="BH246" s="4662"/>
      <c r="BI246" s="4662"/>
      <c r="BJ246" s="4661"/>
      <c r="BK246" s="1085" t="s">
        <v>4676</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4683</v>
      </c>
      <c r="BV246" s="1049"/>
      <c r="BW246" s="2365" t="s">
        <v>4684</v>
      </c>
      <c r="BX246" s="2364" t="s">
        <v>4685</v>
      </c>
      <c r="BY246" s="1398" t="s">
        <v>4685</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74" t="s">
        <v>4677</v>
      </c>
      <c r="U247" s="4675"/>
      <c r="V247" s="2373"/>
      <c r="W247" s="4643"/>
      <c r="X247" s="4644"/>
      <c r="Y247" s="4644"/>
      <c r="Z247" s="4644"/>
      <c r="AA247" s="4644"/>
      <c r="AB247" s="4644"/>
      <c r="AC247" s="4644"/>
      <c r="AD247" s="4644"/>
      <c r="AE247" s="4644"/>
      <c r="AF247" s="4645"/>
      <c r="AG247" s="4643"/>
      <c r="AH247" s="4644"/>
      <c r="AI247" s="4644"/>
      <c r="AJ247" s="4644"/>
      <c r="AK247" s="4644"/>
      <c r="AL247" s="4644"/>
      <c r="AM247" s="4644"/>
      <c r="AN247" s="4644"/>
      <c r="AO247" s="4644"/>
      <c r="AP247" s="4645"/>
      <c r="AQ247" s="4643"/>
      <c r="AR247" s="4644"/>
      <c r="AS247" s="4644"/>
      <c r="AT247" s="4644"/>
      <c r="AU247" s="4644"/>
      <c r="AV247" s="4644"/>
      <c r="AW247" s="4644"/>
      <c r="AX247" s="4644"/>
      <c r="AY247" s="4644"/>
      <c r="AZ247" s="4645"/>
      <c r="BA247" s="4643"/>
      <c r="BB247" s="4644"/>
      <c r="BC247" s="4644"/>
      <c r="BD247" s="4644"/>
      <c r="BE247" s="4644"/>
      <c r="BF247" s="4644"/>
      <c r="BG247" s="4644"/>
      <c r="BH247" s="4644"/>
      <c r="BI247" s="4644"/>
      <c r="BJ247" s="4645"/>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63" t="s">
        <v>4679</v>
      </c>
      <c r="U248" s="4664"/>
      <c r="V248" s="2371"/>
      <c r="W248" s="4665"/>
      <c r="X248" s="4666"/>
      <c r="Y248" s="4666"/>
      <c r="Z248" s="4666"/>
      <c r="AA248" s="4666"/>
      <c r="AB248" s="4666"/>
      <c r="AC248" s="4666"/>
      <c r="AD248" s="4666"/>
      <c r="AE248" s="4666"/>
      <c r="AF248" s="4667"/>
      <c r="AG248" s="4665"/>
      <c r="AH248" s="4666"/>
      <c r="AI248" s="4666"/>
      <c r="AJ248" s="4666"/>
      <c r="AK248" s="4666"/>
      <c r="AL248" s="4666"/>
      <c r="AM248" s="4666"/>
      <c r="AN248" s="4666"/>
      <c r="AO248" s="4666"/>
      <c r="AP248" s="4667"/>
      <c r="AQ248" s="4665"/>
      <c r="AR248" s="4666"/>
      <c r="AS248" s="4666"/>
      <c r="AT248" s="4666"/>
      <c r="AU248" s="4666"/>
      <c r="AV248" s="4666"/>
      <c r="AW248" s="4666"/>
      <c r="AX248" s="4666"/>
      <c r="AY248" s="4666"/>
      <c r="AZ248" s="4667"/>
      <c r="BA248" s="4665"/>
      <c r="BB248" s="4666"/>
      <c r="BC248" s="4666"/>
      <c r="BD248" s="4666"/>
      <c r="BE248" s="4666"/>
      <c r="BF248" s="4666"/>
      <c r="BG248" s="4666"/>
      <c r="BH248" s="4666"/>
      <c r="BI248" s="4666"/>
      <c r="BJ248" s="4667"/>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4683</v>
      </c>
      <c r="BV248" s="1049"/>
      <c r="BW248" s="2365" t="s">
        <v>4684</v>
      </c>
      <c r="BX248" s="2364" t="s">
        <v>4685</v>
      </c>
      <c r="BY248" s="1398" t="s">
        <v>4685</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4683</v>
      </c>
      <c r="BV250" s="1049"/>
      <c r="BW250" s="2365" t="s">
        <v>4684</v>
      </c>
      <c r="BX250" s="2364" t="s">
        <v>4685</v>
      </c>
      <c r="BY250" s="1398" t="s">
        <v>4685</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57" t="s">
        <v>4675</v>
      </c>
      <c r="U251" s="4658"/>
      <c r="V251" s="4658"/>
      <c r="W251" s="4658"/>
      <c r="X251" s="4658"/>
      <c r="Y251" s="4658"/>
      <c r="Z251" s="4658"/>
      <c r="AA251" s="4658"/>
      <c r="AB251" s="4658"/>
      <c r="AC251" s="4658"/>
      <c r="AD251" s="4658"/>
      <c r="AE251" s="4658"/>
      <c r="AF251" s="4658"/>
      <c r="AG251" s="4658"/>
      <c r="AH251" s="4658"/>
      <c r="AI251" s="4658"/>
      <c r="AJ251" s="4658"/>
      <c r="AK251" s="4658"/>
      <c r="AL251" s="4658"/>
      <c r="AM251" s="4658"/>
      <c r="AN251" s="4658"/>
      <c r="AO251" s="4658"/>
      <c r="AP251" s="4658"/>
      <c r="AQ251" s="4658"/>
      <c r="AR251" s="4658"/>
      <c r="AS251" s="4658"/>
      <c r="AT251" s="4658"/>
      <c r="AU251" s="4658"/>
      <c r="AV251" s="4658"/>
      <c r="AW251" s="4658"/>
      <c r="AX251" s="4658"/>
      <c r="AY251" s="4658"/>
      <c r="AZ251" s="4658"/>
      <c r="BA251" s="4658"/>
      <c r="BB251" s="4658"/>
      <c r="BC251" s="4658"/>
      <c r="BD251" s="4658"/>
      <c r="BE251" s="4658"/>
      <c r="BF251" s="4658"/>
      <c r="BG251" s="4658"/>
      <c r="BH251" s="4658"/>
      <c r="BI251" s="4658"/>
      <c r="BJ251" s="4658"/>
      <c r="BK251" s="4659"/>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60"/>
      <c r="U252" s="4661"/>
      <c r="V252" s="2372" t="str">
        <f>IF(OR(V250=0,V250=""),"N/A",V250)</f>
        <v>N/A</v>
      </c>
      <c r="W252" s="4660" t="str">
        <f xml:space="preserve"> IF(OR(AF250=0,AF250=""),"N/A",W250)</f>
        <v>N/A</v>
      </c>
      <c r="X252" s="4662"/>
      <c r="Y252" s="4662"/>
      <c r="Z252" s="4662"/>
      <c r="AA252" s="4662"/>
      <c r="AB252" s="4662"/>
      <c r="AC252" s="4662"/>
      <c r="AD252" s="4662"/>
      <c r="AE252" s="4662"/>
      <c r="AF252" s="4661"/>
      <c r="AG252" s="4660" t="str">
        <f xml:space="preserve"> IF(OR(AP250="",AP250=0),"N/A",AG250)</f>
        <v>N/A</v>
      </c>
      <c r="AH252" s="4662"/>
      <c r="AI252" s="4662"/>
      <c r="AJ252" s="4662"/>
      <c r="AK252" s="4662"/>
      <c r="AL252" s="4662"/>
      <c r="AM252" s="4662"/>
      <c r="AN252" s="4662"/>
      <c r="AO252" s="4662"/>
      <c r="AP252" s="4661"/>
      <c r="AQ252" s="4660" t="str">
        <f xml:space="preserve"> IF(OR(AZ250="",AZ250=0),"N/A",AQ250)</f>
        <v>N/A</v>
      </c>
      <c r="AR252" s="4662"/>
      <c r="AS252" s="4662"/>
      <c r="AT252" s="4662"/>
      <c r="AU252" s="4662"/>
      <c r="AV252" s="4662"/>
      <c r="AW252" s="4662"/>
      <c r="AX252" s="4662"/>
      <c r="AY252" s="4662"/>
      <c r="AZ252" s="4661"/>
      <c r="BA252" s="4660" t="str">
        <f xml:space="preserve"> IF(OR(BJ250="",BJ250=0),"N/A",BA250)</f>
        <v>N/A</v>
      </c>
      <c r="BB252" s="4662"/>
      <c r="BC252" s="4662"/>
      <c r="BD252" s="4662"/>
      <c r="BE252" s="4662"/>
      <c r="BF252" s="4662"/>
      <c r="BG252" s="4662"/>
      <c r="BH252" s="4662"/>
      <c r="BI252" s="4662"/>
      <c r="BJ252" s="4661"/>
      <c r="BK252" s="1085" t="s">
        <v>4676</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4683</v>
      </c>
      <c r="BV252" s="1049"/>
      <c r="BW252" s="2365" t="s">
        <v>4684</v>
      </c>
      <c r="BX252" s="2364" t="s">
        <v>4685</v>
      </c>
      <c r="BY252" s="1398" t="s">
        <v>4685</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74" t="s">
        <v>4677</v>
      </c>
      <c r="U253" s="4675"/>
      <c r="V253" s="2373"/>
      <c r="W253" s="4643"/>
      <c r="X253" s="4644"/>
      <c r="Y253" s="4644"/>
      <c r="Z253" s="4644"/>
      <c r="AA253" s="4644"/>
      <c r="AB253" s="4644"/>
      <c r="AC253" s="4644"/>
      <c r="AD253" s="4644"/>
      <c r="AE253" s="4644"/>
      <c r="AF253" s="4645"/>
      <c r="AG253" s="4643"/>
      <c r="AH253" s="4644"/>
      <c r="AI253" s="4644"/>
      <c r="AJ253" s="4644"/>
      <c r="AK253" s="4644"/>
      <c r="AL253" s="4644"/>
      <c r="AM253" s="4644"/>
      <c r="AN253" s="4644"/>
      <c r="AO253" s="4644"/>
      <c r="AP253" s="4645"/>
      <c r="AQ253" s="4643"/>
      <c r="AR253" s="4644"/>
      <c r="AS253" s="4644"/>
      <c r="AT253" s="4644"/>
      <c r="AU253" s="4644"/>
      <c r="AV253" s="4644"/>
      <c r="AW253" s="4644"/>
      <c r="AX253" s="4644"/>
      <c r="AY253" s="4644"/>
      <c r="AZ253" s="4645"/>
      <c r="BA253" s="4643"/>
      <c r="BB253" s="4644"/>
      <c r="BC253" s="4644"/>
      <c r="BD253" s="4644"/>
      <c r="BE253" s="4644"/>
      <c r="BF253" s="4644"/>
      <c r="BG253" s="4644"/>
      <c r="BH253" s="4644"/>
      <c r="BI253" s="4644"/>
      <c r="BJ253" s="4645"/>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63" t="s">
        <v>4679</v>
      </c>
      <c r="U254" s="4664"/>
      <c r="V254" s="2371"/>
      <c r="W254" s="4665"/>
      <c r="X254" s="4666"/>
      <c r="Y254" s="4666"/>
      <c r="Z254" s="4666"/>
      <c r="AA254" s="4666"/>
      <c r="AB254" s="4666"/>
      <c r="AC254" s="4666"/>
      <c r="AD254" s="4666"/>
      <c r="AE254" s="4666"/>
      <c r="AF254" s="4667"/>
      <c r="AG254" s="4665"/>
      <c r="AH254" s="4666"/>
      <c r="AI254" s="4666"/>
      <c r="AJ254" s="4666"/>
      <c r="AK254" s="4666"/>
      <c r="AL254" s="4666"/>
      <c r="AM254" s="4666"/>
      <c r="AN254" s="4666"/>
      <c r="AO254" s="4666"/>
      <c r="AP254" s="4667"/>
      <c r="AQ254" s="4665"/>
      <c r="AR254" s="4666"/>
      <c r="AS254" s="4666"/>
      <c r="AT254" s="4666"/>
      <c r="AU254" s="4666"/>
      <c r="AV254" s="4666"/>
      <c r="AW254" s="4666"/>
      <c r="AX254" s="4666"/>
      <c r="AY254" s="4666"/>
      <c r="AZ254" s="4667"/>
      <c r="BA254" s="4665"/>
      <c r="BB254" s="4666"/>
      <c r="BC254" s="4666"/>
      <c r="BD254" s="4666"/>
      <c r="BE254" s="4666"/>
      <c r="BF254" s="4666"/>
      <c r="BG254" s="4666"/>
      <c r="BH254" s="4666"/>
      <c r="BI254" s="4666"/>
      <c r="BJ254" s="4667"/>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4683</v>
      </c>
      <c r="BV254" s="1049"/>
      <c r="BW254" s="2365" t="s">
        <v>4684</v>
      </c>
      <c r="BX254" s="2364" t="s">
        <v>4685</v>
      </c>
      <c r="BY254" s="1398" t="s">
        <v>4685</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6"/>
      <c r="BV256" s="4646"/>
      <c r="BW256" s="4646"/>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57" t="s">
        <v>4675</v>
      </c>
      <c r="U257" s="4658"/>
      <c r="V257" s="4658"/>
      <c r="W257" s="4658"/>
      <c r="X257" s="4658"/>
      <c r="Y257" s="4658"/>
      <c r="Z257" s="4658"/>
      <c r="AA257" s="4658"/>
      <c r="AB257" s="4658"/>
      <c r="AC257" s="4658"/>
      <c r="AD257" s="4658"/>
      <c r="AE257" s="4658"/>
      <c r="AF257" s="4658"/>
      <c r="AG257" s="4658"/>
      <c r="AH257" s="4658"/>
      <c r="AI257" s="4658"/>
      <c r="AJ257" s="4658"/>
      <c r="AK257" s="4658"/>
      <c r="AL257" s="4658"/>
      <c r="AM257" s="4658"/>
      <c r="AN257" s="4658"/>
      <c r="AO257" s="4658"/>
      <c r="AP257" s="4658"/>
      <c r="AQ257" s="4658"/>
      <c r="AR257" s="4658"/>
      <c r="AS257" s="4658"/>
      <c r="AT257" s="4658"/>
      <c r="AU257" s="4658"/>
      <c r="AV257" s="4658"/>
      <c r="AW257" s="4658"/>
      <c r="AX257" s="4658"/>
      <c r="AY257" s="4658"/>
      <c r="AZ257" s="4658"/>
      <c r="BA257" s="4658"/>
      <c r="BB257" s="4658"/>
      <c r="BC257" s="4658"/>
      <c r="BD257" s="4658"/>
      <c r="BE257" s="4658"/>
      <c r="BF257" s="4658"/>
      <c r="BG257" s="4658"/>
      <c r="BH257" s="4658"/>
      <c r="BI257" s="4658"/>
      <c r="BJ257" s="4658"/>
      <c r="BK257" s="4659"/>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60"/>
      <c r="U258" s="4661"/>
      <c r="V258" s="2372" t="str">
        <f>IF(OR(V256=0,V256=""),"N/A",V256)</f>
        <v>N/A</v>
      </c>
      <c r="W258" s="4660" t="str">
        <f xml:space="preserve"> IF(OR(AF256=0,AF256=""),"N/A",W256)</f>
        <v>N/A</v>
      </c>
      <c r="X258" s="4662"/>
      <c r="Y258" s="4662"/>
      <c r="Z258" s="4662"/>
      <c r="AA258" s="4662"/>
      <c r="AB258" s="4662"/>
      <c r="AC258" s="4662"/>
      <c r="AD258" s="4662"/>
      <c r="AE258" s="4662"/>
      <c r="AF258" s="4661"/>
      <c r="AG258" s="4660" t="str">
        <f xml:space="preserve"> IF(OR(AP256="",AP256=0),"N/A",AG256)</f>
        <v>N/A</v>
      </c>
      <c r="AH258" s="4662"/>
      <c r="AI258" s="4662"/>
      <c r="AJ258" s="4662"/>
      <c r="AK258" s="4662"/>
      <c r="AL258" s="4662"/>
      <c r="AM258" s="4662"/>
      <c r="AN258" s="4662"/>
      <c r="AO258" s="4662"/>
      <c r="AP258" s="4661"/>
      <c r="AQ258" s="4660" t="str">
        <f xml:space="preserve"> IF(OR(AZ256="",AZ256=0),"N/A",AQ256)</f>
        <v>N/A</v>
      </c>
      <c r="AR258" s="4662"/>
      <c r="AS258" s="4662"/>
      <c r="AT258" s="4662"/>
      <c r="AU258" s="4662"/>
      <c r="AV258" s="4662"/>
      <c r="AW258" s="4662"/>
      <c r="AX258" s="4662"/>
      <c r="AY258" s="4662"/>
      <c r="AZ258" s="4661"/>
      <c r="BA258" s="4660" t="str">
        <f xml:space="preserve"> IF(OR(BJ256="",BJ256=0),"N/A",BA256)</f>
        <v>N/A</v>
      </c>
      <c r="BB258" s="4662"/>
      <c r="BC258" s="4662"/>
      <c r="BD258" s="4662"/>
      <c r="BE258" s="4662"/>
      <c r="BF258" s="4662"/>
      <c r="BG258" s="4662"/>
      <c r="BH258" s="4662"/>
      <c r="BI258" s="4662"/>
      <c r="BJ258" s="4661"/>
      <c r="BK258" s="1085" t="s">
        <v>4676</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708"/>
      <c r="BV258" s="4708"/>
      <c r="BW258" s="4708"/>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74" t="s">
        <v>4677</v>
      </c>
      <c r="U259" s="4675"/>
      <c r="V259" s="2373"/>
      <c r="W259" s="4643"/>
      <c r="X259" s="4644"/>
      <c r="Y259" s="4644"/>
      <c r="Z259" s="4644"/>
      <c r="AA259" s="4644"/>
      <c r="AB259" s="4644"/>
      <c r="AC259" s="4644"/>
      <c r="AD259" s="4644"/>
      <c r="AE259" s="4644"/>
      <c r="AF259" s="4645"/>
      <c r="AG259" s="4643"/>
      <c r="AH259" s="4644"/>
      <c r="AI259" s="4644"/>
      <c r="AJ259" s="4644"/>
      <c r="AK259" s="4644"/>
      <c r="AL259" s="4644"/>
      <c r="AM259" s="4644"/>
      <c r="AN259" s="4644"/>
      <c r="AO259" s="4644"/>
      <c r="AP259" s="4645"/>
      <c r="AQ259" s="4643"/>
      <c r="AR259" s="4644"/>
      <c r="AS259" s="4644"/>
      <c r="AT259" s="4644"/>
      <c r="AU259" s="4644"/>
      <c r="AV259" s="4644"/>
      <c r="AW259" s="4644"/>
      <c r="AX259" s="4644"/>
      <c r="AY259" s="4644"/>
      <c r="AZ259" s="4645"/>
      <c r="BA259" s="4643"/>
      <c r="BB259" s="4644"/>
      <c r="BC259" s="4644"/>
      <c r="BD259" s="4644"/>
      <c r="BE259" s="4644"/>
      <c r="BF259" s="4644"/>
      <c r="BG259" s="4644"/>
      <c r="BH259" s="4644"/>
      <c r="BI259" s="4644"/>
      <c r="BJ259" s="4645"/>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68" t="s">
        <v>4679</v>
      </c>
      <c r="U260" s="4669"/>
      <c r="V260" s="2376"/>
      <c r="W260" s="4670"/>
      <c r="X260" s="4671"/>
      <c r="Y260" s="4671"/>
      <c r="Z260" s="4671"/>
      <c r="AA260" s="4671"/>
      <c r="AB260" s="4671"/>
      <c r="AC260" s="4671"/>
      <c r="AD260" s="4671"/>
      <c r="AE260" s="4671"/>
      <c r="AF260" s="4672"/>
      <c r="AG260" s="4670"/>
      <c r="AH260" s="4671"/>
      <c r="AI260" s="4671"/>
      <c r="AJ260" s="4671"/>
      <c r="AK260" s="4671"/>
      <c r="AL260" s="4671"/>
      <c r="AM260" s="4671"/>
      <c r="AN260" s="4671"/>
      <c r="AO260" s="4671"/>
      <c r="AP260" s="4672"/>
      <c r="AQ260" s="4670"/>
      <c r="AR260" s="4671"/>
      <c r="AS260" s="4671"/>
      <c r="AT260" s="4671"/>
      <c r="AU260" s="4671"/>
      <c r="AV260" s="4671"/>
      <c r="AW260" s="4671"/>
      <c r="AX260" s="4671"/>
      <c r="AY260" s="4671"/>
      <c r="AZ260" s="4672"/>
      <c r="BA260" s="4670"/>
      <c r="BB260" s="4671"/>
      <c r="BC260" s="4671"/>
      <c r="BD260" s="4671"/>
      <c r="BE260" s="4671"/>
      <c r="BF260" s="4671"/>
      <c r="BG260" s="4671"/>
      <c r="BH260" s="4671"/>
      <c r="BI260" s="4671"/>
      <c r="BJ260" s="4672"/>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4686</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73"/>
      <c r="BL261" s="4673"/>
      <c r="BM261" s="4642"/>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41" t="s">
        <v>4688</v>
      </c>
      <c r="BU261" s="4642"/>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4687</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48" t="str">
        <f>IF(OR(E262='Tablas Técnicas'!A$678,E262='Tablas Técnicas'!A$679,E263='Tablas Técnicas'!A$678,E263='Tablas Técnicas'!A$679,E264='Tablas Técnicas'!A$678,E264='Tablas Técnicas'!A$679),"Selecciona la atadura elemental:","")</f>
        <v/>
      </c>
      <c r="AH262" s="4649"/>
      <c r="AI262" s="4649"/>
      <c r="AJ262" s="4649"/>
      <c r="AK262" s="4649"/>
      <c r="AL262" s="4649"/>
      <c r="AM262" s="4649"/>
      <c r="AN262" s="4649"/>
      <c r="AO262" s="4649"/>
      <c r="AP262" s="4649"/>
      <c r="AQ262" s="4649"/>
      <c r="AR262" s="4649"/>
      <c r="AS262" s="4649"/>
      <c r="AT262" s="4649"/>
      <c r="AU262" s="4649"/>
      <c r="AV262" s="4649"/>
      <c r="AW262" s="4649"/>
      <c r="AX262" s="4649"/>
      <c r="AY262" s="4649"/>
      <c r="AZ262" s="4649"/>
      <c r="BA262" s="4649"/>
      <c r="BB262" s="4649"/>
      <c r="BC262" s="4649"/>
      <c r="BD262" s="4649"/>
      <c r="BE262" s="4649"/>
      <c r="BF262" s="4649"/>
      <c r="BG262" s="4649"/>
      <c r="BH262" s="4649"/>
      <c r="BI262" s="4649"/>
      <c r="BJ262" s="4649"/>
      <c r="BK262" s="4650"/>
      <c r="BL262" s="1540"/>
      <c r="BM262" s="1540"/>
      <c r="BN262" s="1084"/>
      <c r="BO262" s="1084"/>
      <c r="BP262" s="1117"/>
      <c r="BQ262" s="1084"/>
      <c r="BR262" s="1084"/>
      <c r="BS262" s="1084"/>
      <c r="BT262" s="4651">
        <f>D230</f>
        <v>1</v>
      </c>
      <c r="BU262" s="4652"/>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4689</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4690</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8173</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8541</v>
      </c>
      <c r="F267" s="1041" t="s">
        <v>1792</v>
      </c>
      <c r="G267" s="1042" t="s">
        <v>1793</v>
      </c>
      <c r="H267" s="1042" t="s">
        <v>1815</v>
      </c>
      <c r="I267" s="1043" t="s">
        <v>3467</v>
      </c>
      <c r="J267" s="1044"/>
      <c r="K267" s="1045"/>
      <c r="L267" s="1043" t="s">
        <v>3468</v>
      </c>
      <c r="M267" s="1044"/>
      <c r="N267" s="1045"/>
      <c r="O267" s="1043" t="s">
        <v>3469</v>
      </c>
      <c r="P267" s="1044"/>
      <c r="Q267" s="1045"/>
      <c r="R267" s="1046" t="s">
        <v>4666</v>
      </c>
      <c r="S267" s="1042" t="s">
        <v>3437</v>
      </c>
      <c r="T267" s="2368" t="s">
        <v>1711</v>
      </c>
      <c r="U267" s="2368" t="s">
        <v>1682</v>
      </c>
      <c r="V267" s="2368" t="s">
        <v>3470</v>
      </c>
      <c r="W267" s="4678" t="s">
        <v>3471</v>
      </c>
      <c r="X267" s="4678"/>
      <c r="Y267" s="4678"/>
      <c r="Z267" s="4678"/>
      <c r="AA267" s="4678"/>
      <c r="AB267" s="4678"/>
      <c r="AC267" s="4678"/>
      <c r="AD267" s="4678"/>
      <c r="AE267" s="4678"/>
      <c r="AF267" s="4678"/>
      <c r="AG267" s="4678"/>
      <c r="AH267" s="4678"/>
      <c r="AI267" s="4678"/>
      <c r="AJ267" s="4678"/>
      <c r="AK267" s="4678"/>
      <c r="AL267" s="4678"/>
      <c r="AM267" s="4678"/>
      <c r="AN267" s="4678"/>
      <c r="AO267" s="4678"/>
      <c r="AP267" s="4678"/>
      <c r="AQ267" s="4678"/>
      <c r="AR267" s="4678"/>
      <c r="AS267" s="4678"/>
      <c r="AT267" s="4678"/>
      <c r="AU267" s="4678"/>
      <c r="AV267" s="4678"/>
      <c r="AW267" s="4678"/>
      <c r="AX267" s="4678"/>
      <c r="AY267" s="4678"/>
      <c r="AZ267" s="4678"/>
      <c r="BA267" s="4678"/>
      <c r="BB267" s="4678"/>
      <c r="BC267" s="4678"/>
      <c r="BD267" s="4678"/>
      <c r="BE267" s="4678"/>
      <c r="BF267" s="4678"/>
      <c r="BG267" s="4678"/>
      <c r="BH267" s="4678"/>
      <c r="BI267" s="4678"/>
      <c r="BJ267" s="4678"/>
      <c r="BK267" s="4678" t="s">
        <v>3472</v>
      </c>
      <c r="BL267" s="4678"/>
      <c r="BM267" s="4679"/>
      <c r="BN267" s="1047" t="s">
        <v>4667</v>
      </c>
      <c r="BO267" s="1047" t="s">
        <v>4668</v>
      </c>
      <c r="BP267" s="1047" t="s">
        <v>4669</v>
      </c>
      <c r="BQ267" s="1047" t="s">
        <v>4670</v>
      </c>
      <c r="BR267" s="1047" t="s">
        <v>4671</v>
      </c>
      <c r="BS267" s="1048" t="s">
        <v>4672</v>
      </c>
      <c r="BT267" s="4653" t="s">
        <v>4673</v>
      </c>
      <c r="BU267" s="4654"/>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3448</v>
      </c>
      <c r="DW268" s="1524" t="s">
        <v>3434</v>
      </c>
      <c r="DX268" s="1525" t="s">
        <v>8176</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53" t="s">
        <v>4674</v>
      </c>
      <c r="BU269" s="4654"/>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70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57" t="s">
        <v>4675</v>
      </c>
      <c r="U270" s="4658"/>
      <c r="V270" s="4658"/>
      <c r="W270" s="4658"/>
      <c r="X270" s="4658"/>
      <c r="Y270" s="4658"/>
      <c r="Z270" s="4658"/>
      <c r="AA270" s="4658"/>
      <c r="AB270" s="4658"/>
      <c r="AC270" s="4658"/>
      <c r="AD270" s="4658"/>
      <c r="AE270" s="4658"/>
      <c r="AF270" s="4658"/>
      <c r="AG270" s="4658"/>
      <c r="AH270" s="4658"/>
      <c r="AI270" s="4658"/>
      <c r="AJ270" s="4658"/>
      <c r="AK270" s="4658"/>
      <c r="AL270" s="4658"/>
      <c r="AM270" s="4658"/>
      <c r="AN270" s="4658"/>
      <c r="AO270" s="4658"/>
      <c r="AP270" s="4658"/>
      <c r="AQ270" s="4658"/>
      <c r="AR270" s="4658"/>
      <c r="AS270" s="4658"/>
      <c r="AT270" s="4658"/>
      <c r="AU270" s="4658"/>
      <c r="AV270" s="4658"/>
      <c r="AW270" s="4658"/>
      <c r="AX270" s="4658"/>
      <c r="AY270" s="4658"/>
      <c r="AZ270" s="4658"/>
      <c r="BA270" s="4658"/>
      <c r="BB270" s="4658"/>
      <c r="BC270" s="4658"/>
      <c r="BD270" s="4658"/>
      <c r="BE270" s="4658"/>
      <c r="BF270" s="4658"/>
      <c r="BG270" s="4658"/>
      <c r="BH270" s="4658"/>
      <c r="BI270" s="4658"/>
      <c r="BJ270" s="4658"/>
      <c r="BK270" s="4659"/>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7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77"/>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701"/>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60"/>
      <c r="U271" s="4661"/>
      <c r="V271" s="2372" t="str">
        <f>IF(OR(V269=0,V269=""),"N/A",V269)</f>
        <v>N/A</v>
      </c>
      <c r="W271" s="4660" t="str">
        <f xml:space="preserve"> IF(OR(AF269=0,AF269=""),"N/A",W269)</f>
        <v>N/A</v>
      </c>
      <c r="X271" s="4662"/>
      <c r="Y271" s="4662"/>
      <c r="Z271" s="4662"/>
      <c r="AA271" s="4662"/>
      <c r="AB271" s="4662"/>
      <c r="AC271" s="4662"/>
      <c r="AD271" s="4662"/>
      <c r="AE271" s="4662"/>
      <c r="AF271" s="4661"/>
      <c r="AG271" s="4660" t="str">
        <f xml:space="preserve"> IF(OR(AP269="",AP269=0),"N/A",AG269)</f>
        <v>N/A</v>
      </c>
      <c r="AH271" s="4662"/>
      <c r="AI271" s="4662"/>
      <c r="AJ271" s="4662"/>
      <c r="AK271" s="4662"/>
      <c r="AL271" s="4662"/>
      <c r="AM271" s="4662"/>
      <c r="AN271" s="4662"/>
      <c r="AO271" s="4662"/>
      <c r="AP271" s="4661"/>
      <c r="AQ271" s="4660" t="str">
        <f xml:space="preserve"> IF(OR(AZ269="",AZ269=0),"N/A",AQ269)</f>
        <v>N/A</v>
      </c>
      <c r="AR271" s="4662"/>
      <c r="AS271" s="4662"/>
      <c r="AT271" s="4662"/>
      <c r="AU271" s="4662"/>
      <c r="AV271" s="4662"/>
      <c r="AW271" s="4662"/>
      <c r="AX271" s="4662"/>
      <c r="AY271" s="4662"/>
      <c r="AZ271" s="4661"/>
      <c r="BA271" s="4660" t="str">
        <f xml:space="preserve"> IF(OR(BJ269="",BJ269=0),"N/A",BA269)</f>
        <v>N/A</v>
      </c>
      <c r="BB271" s="4662"/>
      <c r="BC271" s="4662"/>
      <c r="BD271" s="4662"/>
      <c r="BE271" s="4662"/>
      <c r="BF271" s="4662"/>
      <c r="BG271" s="4662"/>
      <c r="BH271" s="4662"/>
      <c r="BI271" s="4662"/>
      <c r="BJ271" s="4661"/>
      <c r="BK271" s="1085" t="s">
        <v>4676</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701"/>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74" t="s">
        <v>4677</v>
      </c>
      <c r="U272" s="4675"/>
      <c r="V272" s="2373"/>
      <c r="W272" s="4643"/>
      <c r="X272" s="4644"/>
      <c r="Y272" s="4644"/>
      <c r="Z272" s="4644"/>
      <c r="AA272" s="4644"/>
      <c r="AB272" s="4644"/>
      <c r="AC272" s="4644"/>
      <c r="AD272" s="4644"/>
      <c r="AE272" s="4644"/>
      <c r="AF272" s="4645"/>
      <c r="AG272" s="4643"/>
      <c r="AH272" s="4644"/>
      <c r="AI272" s="4644"/>
      <c r="AJ272" s="4644"/>
      <c r="AK272" s="4644"/>
      <c r="AL272" s="4644"/>
      <c r="AM272" s="4644"/>
      <c r="AN272" s="4644"/>
      <c r="AO272" s="4644"/>
      <c r="AP272" s="4645"/>
      <c r="AQ272" s="4643"/>
      <c r="AR272" s="4644"/>
      <c r="AS272" s="4644"/>
      <c r="AT272" s="4644"/>
      <c r="AU272" s="4644"/>
      <c r="AV272" s="4644"/>
      <c r="AW272" s="4644"/>
      <c r="AX272" s="4644"/>
      <c r="AY272" s="4644"/>
      <c r="AZ272" s="4645"/>
      <c r="BA272" s="4643"/>
      <c r="BB272" s="4644"/>
      <c r="BC272" s="4644"/>
      <c r="BD272" s="4644"/>
      <c r="BE272" s="4644"/>
      <c r="BF272" s="4644"/>
      <c r="BG272" s="4644"/>
      <c r="BH272" s="4644"/>
      <c r="BI272" s="4644"/>
      <c r="BJ272" s="4645"/>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53" t="s">
        <v>4678</v>
      </c>
      <c r="BU272" s="4654"/>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701"/>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63" t="s">
        <v>4679</v>
      </c>
      <c r="U273" s="4664"/>
      <c r="V273" s="2371"/>
      <c r="W273" s="4665"/>
      <c r="X273" s="4666"/>
      <c r="Y273" s="4666"/>
      <c r="Z273" s="4666"/>
      <c r="AA273" s="4666"/>
      <c r="AB273" s="4666"/>
      <c r="AC273" s="4666"/>
      <c r="AD273" s="4666"/>
      <c r="AE273" s="4666"/>
      <c r="AF273" s="4667"/>
      <c r="AG273" s="4665"/>
      <c r="AH273" s="4666"/>
      <c r="AI273" s="4666"/>
      <c r="AJ273" s="4666"/>
      <c r="AK273" s="4666"/>
      <c r="AL273" s="4666"/>
      <c r="AM273" s="4666"/>
      <c r="AN273" s="4666"/>
      <c r="AO273" s="4666"/>
      <c r="AP273" s="4667"/>
      <c r="AQ273" s="4665"/>
      <c r="AR273" s="4666"/>
      <c r="AS273" s="4666"/>
      <c r="AT273" s="4666"/>
      <c r="AU273" s="4666"/>
      <c r="AV273" s="4666"/>
      <c r="AW273" s="4666"/>
      <c r="AX273" s="4666"/>
      <c r="AY273" s="4666"/>
      <c r="AZ273" s="4667"/>
      <c r="BA273" s="4665"/>
      <c r="BB273" s="4666"/>
      <c r="BC273" s="4666"/>
      <c r="BD273" s="4666"/>
      <c r="BE273" s="4666"/>
      <c r="BF273" s="4666"/>
      <c r="BG273" s="4666"/>
      <c r="BH273" s="4666"/>
      <c r="BI273" s="4666"/>
      <c r="BJ273" s="4667"/>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5" t="s">
        <v>1693</v>
      </c>
      <c r="BU273" s="4656"/>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701"/>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53" t="s">
        <v>4680</v>
      </c>
      <c r="BU274" s="4654"/>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5" t="s">
        <v>4660</v>
      </c>
      <c r="BU275" s="4656"/>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57" t="s">
        <v>4675</v>
      </c>
      <c r="U276" s="4658"/>
      <c r="V276" s="4658"/>
      <c r="W276" s="4658"/>
      <c r="X276" s="4658"/>
      <c r="Y276" s="4658"/>
      <c r="Z276" s="4658"/>
      <c r="AA276" s="4658"/>
      <c r="AB276" s="4658"/>
      <c r="AC276" s="4658"/>
      <c r="AD276" s="4658"/>
      <c r="AE276" s="4658"/>
      <c r="AF276" s="4658"/>
      <c r="AG276" s="4658"/>
      <c r="AH276" s="4658"/>
      <c r="AI276" s="4658"/>
      <c r="AJ276" s="4658"/>
      <c r="AK276" s="4658"/>
      <c r="AL276" s="4658"/>
      <c r="AM276" s="4658"/>
      <c r="AN276" s="4658"/>
      <c r="AO276" s="4658"/>
      <c r="AP276" s="4658"/>
      <c r="AQ276" s="4658"/>
      <c r="AR276" s="4658"/>
      <c r="AS276" s="4658"/>
      <c r="AT276" s="4658"/>
      <c r="AU276" s="4658"/>
      <c r="AV276" s="4658"/>
      <c r="AW276" s="4658"/>
      <c r="AX276" s="4658"/>
      <c r="AY276" s="4658"/>
      <c r="AZ276" s="4658"/>
      <c r="BA276" s="4658"/>
      <c r="BB276" s="4658"/>
      <c r="BC276" s="4658"/>
      <c r="BD276" s="4658"/>
      <c r="BE276" s="4658"/>
      <c r="BF276" s="4658"/>
      <c r="BG276" s="4658"/>
      <c r="BH276" s="4658"/>
      <c r="BI276" s="4658"/>
      <c r="BJ276" s="4658"/>
      <c r="BK276" s="4659"/>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53" t="s">
        <v>4681</v>
      </c>
      <c r="BU276" s="4654"/>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60"/>
      <c r="U277" s="4661"/>
      <c r="V277" s="2372" t="str">
        <f>IF(OR(V275=0,V275=""),"N/A",V275)</f>
        <v>N/A</v>
      </c>
      <c r="W277" s="4660" t="str">
        <f xml:space="preserve"> IF(OR(AF275=0,AF275=""),"N/A",W275)</f>
        <v>N/A</v>
      </c>
      <c r="X277" s="4662"/>
      <c r="Y277" s="4662"/>
      <c r="Z277" s="4662"/>
      <c r="AA277" s="4662"/>
      <c r="AB277" s="4662"/>
      <c r="AC277" s="4662"/>
      <c r="AD277" s="4662"/>
      <c r="AE277" s="4662"/>
      <c r="AF277" s="4661"/>
      <c r="AG277" s="4660" t="str">
        <f xml:space="preserve"> IF(OR(AP275="",AP275=0),"N/A",AG275)</f>
        <v>N/A</v>
      </c>
      <c r="AH277" s="4662"/>
      <c r="AI277" s="4662"/>
      <c r="AJ277" s="4662"/>
      <c r="AK277" s="4662"/>
      <c r="AL277" s="4662"/>
      <c r="AM277" s="4662"/>
      <c r="AN277" s="4662"/>
      <c r="AO277" s="4662"/>
      <c r="AP277" s="4661"/>
      <c r="AQ277" s="4660" t="str">
        <f xml:space="preserve"> IF(OR(AZ275="",AZ275=0),"N/A",AQ275)</f>
        <v>N/A</v>
      </c>
      <c r="AR277" s="4662"/>
      <c r="AS277" s="4662"/>
      <c r="AT277" s="4662"/>
      <c r="AU277" s="4662"/>
      <c r="AV277" s="4662"/>
      <c r="AW277" s="4662"/>
      <c r="AX277" s="4662"/>
      <c r="AY277" s="4662"/>
      <c r="AZ277" s="4661"/>
      <c r="BA277" s="4660" t="str">
        <f xml:space="preserve"> IF(OR(BJ275="",BJ275=0),"N/A",BA275)</f>
        <v>N/A</v>
      </c>
      <c r="BB277" s="4662"/>
      <c r="BC277" s="4662"/>
      <c r="BD277" s="4662"/>
      <c r="BE277" s="4662"/>
      <c r="BF277" s="4662"/>
      <c r="BG277" s="4662"/>
      <c r="BH277" s="4662"/>
      <c r="BI277" s="4662"/>
      <c r="BJ277" s="4661"/>
      <c r="BK277" s="1085" t="s">
        <v>4676</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5" t="s">
        <v>4654</v>
      </c>
      <c r="BU277" s="4656"/>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74" t="s">
        <v>4677</v>
      </c>
      <c r="U278" s="4675"/>
      <c r="V278" s="2373"/>
      <c r="W278" s="4643"/>
      <c r="X278" s="4644"/>
      <c r="Y278" s="4644"/>
      <c r="Z278" s="4644"/>
      <c r="AA278" s="4644"/>
      <c r="AB278" s="4644"/>
      <c r="AC278" s="4644"/>
      <c r="AD278" s="4644"/>
      <c r="AE278" s="4644"/>
      <c r="AF278" s="4645"/>
      <c r="AG278" s="4643"/>
      <c r="AH278" s="4644"/>
      <c r="AI278" s="4644"/>
      <c r="AJ278" s="4644"/>
      <c r="AK278" s="4644"/>
      <c r="AL278" s="4644"/>
      <c r="AM278" s="4644"/>
      <c r="AN278" s="4644"/>
      <c r="AO278" s="4644"/>
      <c r="AP278" s="4645"/>
      <c r="AQ278" s="4643"/>
      <c r="AR278" s="4644"/>
      <c r="AS278" s="4644"/>
      <c r="AT278" s="4644"/>
      <c r="AU278" s="4644"/>
      <c r="AV278" s="4644"/>
      <c r="AW278" s="4644"/>
      <c r="AX278" s="4644"/>
      <c r="AY278" s="4644"/>
      <c r="AZ278" s="4645"/>
      <c r="BA278" s="4643"/>
      <c r="BB278" s="4644"/>
      <c r="BC278" s="4644"/>
      <c r="BD278" s="4644"/>
      <c r="BE278" s="4644"/>
      <c r="BF278" s="4644"/>
      <c r="BG278" s="4644"/>
      <c r="BH278" s="4644"/>
      <c r="BI278" s="4644"/>
      <c r="BJ278" s="4645"/>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41" t="s">
        <v>4682</v>
      </c>
      <c r="BU278" s="4642"/>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63" t="s">
        <v>4679</v>
      </c>
      <c r="U279" s="4664"/>
      <c r="V279" s="2371"/>
      <c r="W279" s="4665"/>
      <c r="X279" s="4666"/>
      <c r="Y279" s="4666"/>
      <c r="Z279" s="4666"/>
      <c r="AA279" s="4666"/>
      <c r="AB279" s="4666"/>
      <c r="AC279" s="4666"/>
      <c r="AD279" s="4666"/>
      <c r="AE279" s="4666"/>
      <c r="AF279" s="4667"/>
      <c r="AG279" s="4665"/>
      <c r="AH279" s="4666"/>
      <c r="AI279" s="4666"/>
      <c r="AJ279" s="4666"/>
      <c r="AK279" s="4666"/>
      <c r="AL279" s="4666"/>
      <c r="AM279" s="4666"/>
      <c r="AN279" s="4666"/>
      <c r="AO279" s="4666"/>
      <c r="AP279" s="4667"/>
      <c r="AQ279" s="4665"/>
      <c r="AR279" s="4666"/>
      <c r="AS279" s="4666"/>
      <c r="AT279" s="4666"/>
      <c r="AU279" s="4666"/>
      <c r="AV279" s="4666"/>
      <c r="AW279" s="4666"/>
      <c r="AX279" s="4666"/>
      <c r="AY279" s="4666"/>
      <c r="AZ279" s="4667"/>
      <c r="BA279" s="4665"/>
      <c r="BB279" s="4666"/>
      <c r="BC279" s="4666"/>
      <c r="BD279" s="4666"/>
      <c r="BE279" s="4666"/>
      <c r="BF279" s="4666"/>
      <c r="BG279" s="4666"/>
      <c r="BH279" s="4666"/>
      <c r="BI279" s="4666"/>
      <c r="BJ279" s="4667"/>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4683</v>
      </c>
      <c r="BV281" s="1049"/>
      <c r="BW281" s="2365" t="s">
        <v>4684</v>
      </c>
      <c r="BX281" s="2364" t="s">
        <v>4685</v>
      </c>
      <c r="BY281" s="1397" t="s">
        <v>4685</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57" t="s">
        <v>4675</v>
      </c>
      <c r="U282" s="4658"/>
      <c r="V282" s="4658"/>
      <c r="W282" s="4658"/>
      <c r="X282" s="4658"/>
      <c r="Y282" s="4658"/>
      <c r="Z282" s="4658"/>
      <c r="AA282" s="4658"/>
      <c r="AB282" s="4658"/>
      <c r="AC282" s="4658"/>
      <c r="AD282" s="4658"/>
      <c r="AE282" s="4658"/>
      <c r="AF282" s="4658"/>
      <c r="AG282" s="4658"/>
      <c r="AH282" s="4658"/>
      <c r="AI282" s="4658"/>
      <c r="AJ282" s="4658"/>
      <c r="AK282" s="4658"/>
      <c r="AL282" s="4658"/>
      <c r="AM282" s="4658"/>
      <c r="AN282" s="4658"/>
      <c r="AO282" s="4658"/>
      <c r="AP282" s="4658"/>
      <c r="AQ282" s="4658"/>
      <c r="AR282" s="4658"/>
      <c r="AS282" s="4658"/>
      <c r="AT282" s="4658"/>
      <c r="AU282" s="4658"/>
      <c r="AV282" s="4658"/>
      <c r="AW282" s="4658"/>
      <c r="AX282" s="4658"/>
      <c r="AY282" s="4658"/>
      <c r="AZ282" s="4658"/>
      <c r="BA282" s="4658"/>
      <c r="BB282" s="4658"/>
      <c r="BC282" s="4658"/>
      <c r="BD282" s="4658"/>
      <c r="BE282" s="4658"/>
      <c r="BF282" s="4658"/>
      <c r="BG282" s="4658"/>
      <c r="BH282" s="4658"/>
      <c r="BI282" s="4658"/>
      <c r="BJ282" s="4658"/>
      <c r="BK282" s="4659"/>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60"/>
      <c r="U283" s="4661"/>
      <c r="V283" s="2372" t="str">
        <f>IF(OR(V281=0,V281=""),"N/A",V281)</f>
        <v>N/A</v>
      </c>
      <c r="W283" s="4660" t="str">
        <f xml:space="preserve"> IF(OR(AF281=0,AF281=""),"N/A",W281)</f>
        <v>N/A</v>
      </c>
      <c r="X283" s="4662"/>
      <c r="Y283" s="4662"/>
      <c r="Z283" s="4662"/>
      <c r="AA283" s="4662"/>
      <c r="AB283" s="4662"/>
      <c r="AC283" s="4662"/>
      <c r="AD283" s="4662"/>
      <c r="AE283" s="4662"/>
      <c r="AF283" s="4661"/>
      <c r="AG283" s="4660" t="str">
        <f xml:space="preserve"> IF(OR(AP281="",AP281=0),"N/A",AG281)</f>
        <v>N/A</v>
      </c>
      <c r="AH283" s="4662"/>
      <c r="AI283" s="4662"/>
      <c r="AJ283" s="4662"/>
      <c r="AK283" s="4662"/>
      <c r="AL283" s="4662"/>
      <c r="AM283" s="4662"/>
      <c r="AN283" s="4662"/>
      <c r="AO283" s="4662"/>
      <c r="AP283" s="4661"/>
      <c r="AQ283" s="4660" t="str">
        <f xml:space="preserve"> IF(OR(AZ281="",AZ281=0),"N/A",AQ281)</f>
        <v>N/A</v>
      </c>
      <c r="AR283" s="4662"/>
      <c r="AS283" s="4662"/>
      <c r="AT283" s="4662"/>
      <c r="AU283" s="4662"/>
      <c r="AV283" s="4662"/>
      <c r="AW283" s="4662"/>
      <c r="AX283" s="4662"/>
      <c r="AY283" s="4662"/>
      <c r="AZ283" s="4661"/>
      <c r="BA283" s="4660" t="str">
        <f xml:space="preserve"> IF(OR(BJ281="",BJ281=0),"N/A",BA281)</f>
        <v>N/A</v>
      </c>
      <c r="BB283" s="4662"/>
      <c r="BC283" s="4662"/>
      <c r="BD283" s="4662"/>
      <c r="BE283" s="4662"/>
      <c r="BF283" s="4662"/>
      <c r="BG283" s="4662"/>
      <c r="BH283" s="4662"/>
      <c r="BI283" s="4662"/>
      <c r="BJ283" s="4661"/>
      <c r="BK283" s="1085" t="s">
        <v>4676</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4683</v>
      </c>
      <c r="BV283" s="1049"/>
      <c r="BW283" s="2365" t="s">
        <v>4684</v>
      </c>
      <c r="BX283" s="2364" t="s">
        <v>4685</v>
      </c>
      <c r="BY283" s="1398" t="s">
        <v>4685</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74" t="s">
        <v>4677</v>
      </c>
      <c r="U284" s="4675"/>
      <c r="V284" s="2373"/>
      <c r="W284" s="4643"/>
      <c r="X284" s="4644"/>
      <c r="Y284" s="4644"/>
      <c r="Z284" s="4644"/>
      <c r="AA284" s="4644"/>
      <c r="AB284" s="4644"/>
      <c r="AC284" s="4644"/>
      <c r="AD284" s="4644"/>
      <c r="AE284" s="4644"/>
      <c r="AF284" s="4645"/>
      <c r="AG284" s="4643"/>
      <c r="AH284" s="4644"/>
      <c r="AI284" s="4644"/>
      <c r="AJ284" s="4644"/>
      <c r="AK284" s="4644"/>
      <c r="AL284" s="4644"/>
      <c r="AM284" s="4644"/>
      <c r="AN284" s="4644"/>
      <c r="AO284" s="4644"/>
      <c r="AP284" s="4645"/>
      <c r="AQ284" s="4643"/>
      <c r="AR284" s="4644"/>
      <c r="AS284" s="4644"/>
      <c r="AT284" s="4644"/>
      <c r="AU284" s="4644"/>
      <c r="AV284" s="4644"/>
      <c r="AW284" s="4644"/>
      <c r="AX284" s="4644"/>
      <c r="AY284" s="4644"/>
      <c r="AZ284" s="4645"/>
      <c r="BA284" s="4643"/>
      <c r="BB284" s="4644"/>
      <c r="BC284" s="4644"/>
      <c r="BD284" s="4644"/>
      <c r="BE284" s="4644"/>
      <c r="BF284" s="4644"/>
      <c r="BG284" s="4644"/>
      <c r="BH284" s="4644"/>
      <c r="BI284" s="4644"/>
      <c r="BJ284" s="4645"/>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63" t="s">
        <v>4679</v>
      </c>
      <c r="U285" s="4664"/>
      <c r="V285" s="2371"/>
      <c r="W285" s="4665"/>
      <c r="X285" s="4666"/>
      <c r="Y285" s="4666"/>
      <c r="Z285" s="4666"/>
      <c r="AA285" s="4666"/>
      <c r="AB285" s="4666"/>
      <c r="AC285" s="4666"/>
      <c r="AD285" s="4666"/>
      <c r="AE285" s="4666"/>
      <c r="AF285" s="4667"/>
      <c r="AG285" s="4665"/>
      <c r="AH285" s="4666"/>
      <c r="AI285" s="4666"/>
      <c r="AJ285" s="4666"/>
      <c r="AK285" s="4666"/>
      <c r="AL285" s="4666"/>
      <c r="AM285" s="4666"/>
      <c r="AN285" s="4666"/>
      <c r="AO285" s="4666"/>
      <c r="AP285" s="4667"/>
      <c r="AQ285" s="4665"/>
      <c r="AR285" s="4666"/>
      <c r="AS285" s="4666"/>
      <c r="AT285" s="4666"/>
      <c r="AU285" s="4666"/>
      <c r="AV285" s="4666"/>
      <c r="AW285" s="4666"/>
      <c r="AX285" s="4666"/>
      <c r="AY285" s="4666"/>
      <c r="AZ285" s="4667"/>
      <c r="BA285" s="4665"/>
      <c r="BB285" s="4666"/>
      <c r="BC285" s="4666"/>
      <c r="BD285" s="4666"/>
      <c r="BE285" s="4666"/>
      <c r="BF285" s="4666"/>
      <c r="BG285" s="4666"/>
      <c r="BH285" s="4666"/>
      <c r="BI285" s="4666"/>
      <c r="BJ285" s="4667"/>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4683</v>
      </c>
      <c r="BV285" s="1049"/>
      <c r="BW285" s="2365" t="s">
        <v>4684</v>
      </c>
      <c r="BX285" s="2364" t="s">
        <v>4685</v>
      </c>
      <c r="BY285" s="1398" t="s">
        <v>4685</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4683</v>
      </c>
      <c r="BV287" s="1049"/>
      <c r="BW287" s="2365" t="s">
        <v>4684</v>
      </c>
      <c r="BX287" s="2364" t="s">
        <v>4685</v>
      </c>
      <c r="BY287" s="1398" t="s">
        <v>4685</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57" t="s">
        <v>4675</v>
      </c>
      <c r="U288" s="4658"/>
      <c r="V288" s="4658"/>
      <c r="W288" s="4658"/>
      <c r="X288" s="4658"/>
      <c r="Y288" s="4658"/>
      <c r="Z288" s="4658"/>
      <c r="AA288" s="4658"/>
      <c r="AB288" s="4658"/>
      <c r="AC288" s="4658"/>
      <c r="AD288" s="4658"/>
      <c r="AE288" s="4658"/>
      <c r="AF288" s="4658"/>
      <c r="AG288" s="4658"/>
      <c r="AH288" s="4658"/>
      <c r="AI288" s="4658"/>
      <c r="AJ288" s="4658"/>
      <c r="AK288" s="4658"/>
      <c r="AL288" s="4658"/>
      <c r="AM288" s="4658"/>
      <c r="AN288" s="4658"/>
      <c r="AO288" s="4658"/>
      <c r="AP288" s="4658"/>
      <c r="AQ288" s="4658"/>
      <c r="AR288" s="4658"/>
      <c r="AS288" s="4658"/>
      <c r="AT288" s="4658"/>
      <c r="AU288" s="4658"/>
      <c r="AV288" s="4658"/>
      <c r="AW288" s="4658"/>
      <c r="AX288" s="4658"/>
      <c r="AY288" s="4658"/>
      <c r="AZ288" s="4658"/>
      <c r="BA288" s="4658"/>
      <c r="BB288" s="4658"/>
      <c r="BC288" s="4658"/>
      <c r="BD288" s="4658"/>
      <c r="BE288" s="4658"/>
      <c r="BF288" s="4658"/>
      <c r="BG288" s="4658"/>
      <c r="BH288" s="4658"/>
      <c r="BI288" s="4658"/>
      <c r="BJ288" s="4658"/>
      <c r="BK288" s="4659"/>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60"/>
      <c r="U289" s="4661"/>
      <c r="V289" s="2372" t="str">
        <f>IF(OR(V287=0,V287=""),"N/A",V287)</f>
        <v>N/A</v>
      </c>
      <c r="W289" s="4660" t="str">
        <f xml:space="preserve"> IF(OR(AF287=0,AF287=""),"N/A",W287)</f>
        <v>N/A</v>
      </c>
      <c r="X289" s="4662"/>
      <c r="Y289" s="4662"/>
      <c r="Z289" s="4662"/>
      <c r="AA289" s="4662"/>
      <c r="AB289" s="4662"/>
      <c r="AC289" s="4662"/>
      <c r="AD289" s="4662"/>
      <c r="AE289" s="4662"/>
      <c r="AF289" s="4661"/>
      <c r="AG289" s="4660" t="str">
        <f xml:space="preserve"> IF(OR(AP287="",AP287=0),"N/A",AG287)</f>
        <v>N/A</v>
      </c>
      <c r="AH289" s="4662"/>
      <c r="AI289" s="4662"/>
      <c r="AJ289" s="4662"/>
      <c r="AK289" s="4662"/>
      <c r="AL289" s="4662"/>
      <c r="AM289" s="4662"/>
      <c r="AN289" s="4662"/>
      <c r="AO289" s="4662"/>
      <c r="AP289" s="4661"/>
      <c r="AQ289" s="4660" t="str">
        <f xml:space="preserve"> IF(OR(AZ287="",AZ287=0),"N/A",AQ287)</f>
        <v>N/A</v>
      </c>
      <c r="AR289" s="4662"/>
      <c r="AS289" s="4662"/>
      <c r="AT289" s="4662"/>
      <c r="AU289" s="4662"/>
      <c r="AV289" s="4662"/>
      <c r="AW289" s="4662"/>
      <c r="AX289" s="4662"/>
      <c r="AY289" s="4662"/>
      <c r="AZ289" s="4661"/>
      <c r="BA289" s="4660" t="str">
        <f xml:space="preserve"> IF(OR(BJ287="",BJ287=0),"N/A",BA287)</f>
        <v>N/A</v>
      </c>
      <c r="BB289" s="4662"/>
      <c r="BC289" s="4662"/>
      <c r="BD289" s="4662"/>
      <c r="BE289" s="4662"/>
      <c r="BF289" s="4662"/>
      <c r="BG289" s="4662"/>
      <c r="BH289" s="4662"/>
      <c r="BI289" s="4662"/>
      <c r="BJ289" s="4661"/>
      <c r="BK289" s="1085" t="s">
        <v>4676</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4683</v>
      </c>
      <c r="BV289" s="1049"/>
      <c r="BW289" s="2365" t="s">
        <v>4684</v>
      </c>
      <c r="BX289" s="2364" t="s">
        <v>4685</v>
      </c>
      <c r="BY289" s="1398" t="s">
        <v>4685</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74" t="s">
        <v>4677</v>
      </c>
      <c r="U290" s="4675"/>
      <c r="V290" s="2373"/>
      <c r="W290" s="4643"/>
      <c r="X290" s="4644"/>
      <c r="Y290" s="4644"/>
      <c r="Z290" s="4644"/>
      <c r="AA290" s="4644"/>
      <c r="AB290" s="4644"/>
      <c r="AC290" s="4644"/>
      <c r="AD290" s="4644"/>
      <c r="AE290" s="4644"/>
      <c r="AF290" s="4645"/>
      <c r="AG290" s="4643"/>
      <c r="AH290" s="4644"/>
      <c r="AI290" s="4644"/>
      <c r="AJ290" s="4644"/>
      <c r="AK290" s="4644"/>
      <c r="AL290" s="4644"/>
      <c r="AM290" s="4644"/>
      <c r="AN290" s="4644"/>
      <c r="AO290" s="4644"/>
      <c r="AP290" s="4645"/>
      <c r="AQ290" s="4643"/>
      <c r="AR290" s="4644"/>
      <c r="AS290" s="4644"/>
      <c r="AT290" s="4644"/>
      <c r="AU290" s="4644"/>
      <c r="AV290" s="4644"/>
      <c r="AW290" s="4644"/>
      <c r="AX290" s="4644"/>
      <c r="AY290" s="4644"/>
      <c r="AZ290" s="4645"/>
      <c r="BA290" s="4643"/>
      <c r="BB290" s="4644"/>
      <c r="BC290" s="4644"/>
      <c r="BD290" s="4644"/>
      <c r="BE290" s="4644"/>
      <c r="BF290" s="4644"/>
      <c r="BG290" s="4644"/>
      <c r="BH290" s="4644"/>
      <c r="BI290" s="4644"/>
      <c r="BJ290" s="4645"/>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63" t="s">
        <v>4679</v>
      </c>
      <c r="U291" s="4664"/>
      <c r="V291" s="2371"/>
      <c r="W291" s="4665"/>
      <c r="X291" s="4666"/>
      <c r="Y291" s="4666"/>
      <c r="Z291" s="4666"/>
      <c r="AA291" s="4666"/>
      <c r="AB291" s="4666"/>
      <c r="AC291" s="4666"/>
      <c r="AD291" s="4666"/>
      <c r="AE291" s="4666"/>
      <c r="AF291" s="4667"/>
      <c r="AG291" s="4665"/>
      <c r="AH291" s="4666"/>
      <c r="AI291" s="4666"/>
      <c r="AJ291" s="4666"/>
      <c r="AK291" s="4666"/>
      <c r="AL291" s="4666"/>
      <c r="AM291" s="4666"/>
      <c r="AN291" s="4666"/>
      <c r="AO291" s="4666"/>
      <c r="AP291" s="4667"/>
      <c r="AQ291" s="4665"/>
      <c r="AR291" s="4666"/>
      <c r="AS291" s="4666"/>
      <c r="AT291" s="4666"/>
      <c r="AU291" s="4666"/>
      <c r="AV291" s="4666"/>
      <c r="AW291" s="4666"/>
      <c r="AX291" s="4666"/>
      <c r="AY291" s="4666"/>
      <c r="AZ291" s="4667"/>
      <c r="BA291" s="4665"/>
      <c r="BB291" s="4666"/>
      <c r="BC291" s="4666"/>
      <c r="BD291" s="4666"/>
      <c r="BE291" s="4666"/>
      <c r="BF291" s="4666"/>
      <c r="BG291" s="4666"/>
      <c r="BH291" s="4666"/>
      <c r="BI291" s="4666"/>
      <c r="BJ291" s="4667"/>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4683</v>
      </c>
      <c r="BV291" s="1049"/>
      <c r="BW291" s="2365" t="s">
        <v>4684</v>
      </c>
      <c r="BX291" s="2364" t="s">
        <v>4685</v>
      </c>
      <c r="BY291" s="1398" t="s">
        <v>4685</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6"/>
      <c r="BV293" s="4646"/>
      <c r="BW293" s="4646"/>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57" t="s">
        <v>4675</v>
      </c>
      <c r="U294" s="4658"/>
      <c r="V294" s="4658"/>
      <c r="W294" s="4658"/>
      <c r="X294" s="4658"/>
      <c r="Y294" s="4658"/>
      <c r="Z294" s="4658"/>
      <c r="AA294" s="4658"/>
      <c r="AB294" s="4658"/>
      <c r="AC294" s="4658"/>
      <c r="AD294" s="4658"/>
      <c r="AE294" s="4658"/>
      <c r="AF294" s="4658"/>
      <c r="AG294" s="4658"/>
      <c r="AH294" s="4658"/>
      <c r="AI294" s="4658"/>
      <c r="AJ294" s="4658"/>
      <c r="AK294" s="4658"/>
      <c r="AL294" s="4658"/>
      <c r="AM294" s="4658"/>
      <c r="AN294" s="4658"/>
      <c r="AO294" s="4658"/>
      <c r="AP294" s="4658"/>
      <c r="AQ294" s="4658"/>
      <c r="AR294" s="4658"/>
      <c r="AS294" s="4658"/>
      <c r="AT294" s="4658"/>
      <c r="AU294" s="4658"/>
      <c r="AV294" s="4658"/>
      <c r="AW294" s="4658"/>
      <c r="AX294" s="4658"/>
      <c r="AY294" s="4658"/>
      <c r="AZ294" s="4658"/>
      <c r="BA294" s="4658"/>
      <c r="BB294" s="4658"/>
      <c r="BC294" s="4658"/>
      <c r="BD294" s="4658"/>
      <c r="BE294" s="4658"/>
      <c r="BF294" s="4658"/>
      <c r="BG294" s="4658"/>
      <c r="BH294" s="4658"/>
      <c r="BI294" s="4658"/>
      <c r="BJ294" s="4658"/>
      <c r="BK294" s="4659"/>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60"/>
      <c r="U295" s="4661"/>
      <c r="V295" s="2372" t="str">
        <f>IF(OR(V293=0,V293=""),"N/A",V293)</f>
        <v>N/A</v>
      </c>
      <c r="W295" s="4660" t="str">
        <f xml:space="preserve"> IF(OR(AF293=0,AF293=""),"N/A",W293)</f>
        <v>N/A</v>
      </c>
      <c r="X295" s="4662"/>
      <c r="Y295" s="4662"/>
      <c r="Z295" s="4662"/>
      <c r="AA295" s="4662"/>
      <c r="AB295" s="4662"/>
      <c r="AC295" s="4662"/>
      <c r="AD295" s="4662"/>
      <c r="AE295" s="4662"/>
      <c r="AF295" s="4661"/>
      <c r="AG295" s="4660" t="str">
        <f xml:space="preserve"> IF(OR(AP293="",AP293=0),"N/A",AG293)</f>
        <v>N/A</v>
      </c>
      <c r="AH295" s="4662"/>
      <c r="AI295" s="4662"/>
      <c r="AJ295" s="4662"/>
      <c r="AK295" s="4662"/>
      <c r="AL295" s="4662"/>
      <c r="AM295" s="4662"/>
      <c r="AN295" s="4662"/>
      <c r="AO295" s="4662"/>
      <c r="AP295" s="4661"/>
      <c r="AQ295" s="4660" t="str">
        <f xml:space="preserve"> IF(OR(AZ293="",AZ293=0),"N/A",AQ293)</f>
        <v>N/A</v>
      </c>
      <c r="AR295" s="4662"/>
      <c r="AS295" s="4662"/>
      <c r="AT295" s="4662"/>
      <c r="AU295" s="4662"/>
      <c r="AV295" s="4662"/>
      <c r="AW295" s="4662"/>
      <c r="AX295" s="4662"/>
      <c r="AY295" s="4662"/>
      <c r="AZ295" s="4661"/>
      <c r="BA295" s="4660" t="str">
        <f xml:space="preserve"> IF(OR(BJ293="",BJ293=0),"N/A",BA293)</f>
        <v>N/A</v>
      </c>
      <c r="BB295" s="4662"/>
      <c r="BC295" s="4662"/>
      <c r="BD295" s="4662"/>
      <c r="BE295" s="4662"/>
      <c r="BF295" s="4662"/>
      <c r="BG295" s="4662"/>
      <c r="BH295" s="4662"/>
      <c r="BI295" s="4662"/>
      <c r="BJ295" s="4661"/>
      <c r="BK295" s="1085" t="s">
        <v>4676</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708"/>
      <c r="BV295" s="4708"/>
      <c r="BW295" s="4708"/>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74" t="s">
        <v>4677</v>
      </c>
      <c r="U296" s="4675"/>
      <c r="V296" s="2373"/>
      <c r="W296" s="4643"/>
      <c r="X296" s="4644"/>
      <c r="Y296" s="4644"/>
      <c r="Z296" s="4644"/>
      <c r="AA296" s="4644"/>
      <c r="AB296" s="4644"/>
      <c r="AC296" s="4644"/>
      <c r="AD296" s="4644"/>
      <c r="AE296" s="4644"/>
      <c r="AF296" s="4645"/>
      <c r="AG296" s="4643"/>
      <c r="AH296" s="4644"/>
      <c r="AI296" s="4644"/>
      <c r="AJ296" s="4644"/>
      <c r="AK296" s="4644"/>
      <c r="AL296" s="4644"/>
      <c r="AM296" s="4644"/>
      <c r="AN296" s="4644"/>
      <c r="AO296" s="4644"/>
      <c r="AP296" s="4645"/>
      <c r="AQ296" s="4643"/>
      <c r="AR296" s="4644"/>
      <c r="AS296" s="4644"/>
      <c r="AT296" s="4644"/>
      <c r="AU296" s="4644"/>
      <c r="AV296" s="4644"/>
      <c r="AW296" s="4644"/>
      <c r="AX296" s="4644"/>
      <c r="AY296" s="4644"/>
      <c r="AZ296" s="4645"/>
      <c r="BA296" s="4643"/>
      <c r="BB296" s="4644"/>
      <c r="BC296" s="4644"/>
      <c r="BD296" s="4644"/>
      <c r="BE296" s="4644"/>
      <c r="BF296" s="4644"/>
      <c r="BG296" s="4644"/>
      <c r="BH296" s="4644"/>
      <c r="BI296" s="4644"/>
      <c r="BJ296" s="4645"/>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68" t="s">
        <v>4679</v>
      </c>
      <c r="U297" s="4669"/>
      <c r="V297" s="2376"/>
      <c r="W297" s="4670"/>
      <c r="X297" s="4671"/>
      <c r="Y297" s="4671"/>
      <c r="Z297" s="4671"/>
      <c r="AA297" s="4671"/>
      <c r="AB297" s="4671"/>
      <c r="AC297" s="4671"/>
      <c r="AD297" s="4671"/>
      <c r="AE297" s="4671"/>
      <c r="AF297" s="4672"/>
      <c r="AG297" s="4670"/>
      <c r="AH297" s="4671"/>
      <c r="AI297" s="4671"/>
      <c r="AJ297" s="4671"/>
      <c r="AK297" s="4671"/>
      <c r="AL297" s="4671"/>
      <c r="AM297" s="4671"/>
      <c r="AN297" s="4671"/>
      <c r="AO297" s="4671"/>
      <c r="AP297" s="4672"/>
      <c r="AQ297" s="4670"/>
      <c r="AR297" s="4671"/>
      <c r="AS297" s="4671"/>
      <c r="AT297" s="4671"/>
      <c r="AU297" s="4671"/>
      <c r="AV297" s="4671"/>
      <c r="AW297" s="4671"/>
      <c r="AX297" s="4671"/>
      <c r="AY297" s="4671"/>
      <c r="AZ297" s="4672"/>
      <c r="BA297" s="4670"/>
      <c r="BB297" s="4671"/>
      <c r="BC297" s="4671"/>
      <c r="BD297" s="4671"/>
      <c r="BE297" s="4671"/>
      <c r="BF297" s="4671"/>
      <c r="BG297" s="4671"/>
      <c r="BH297" s="4671"/>
      <c r="BI297" s="4671"/>
      <c r="BJ297" s="4672"/>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4686</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73"/>
      <c r="BL298" s="4673"/>
      <c r="BM298" s="4642"/>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41" t="s">
        <v>4688</v>
      </c>
      <c r="BU298" s="4642"/>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4687</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48" t="str">
        <f>IF(OR(E299='Tablas Técnicas'!A$678,E299='Tablas Técnicas'!A$679,E300='Tablas Técnicas'!A$678,E300='Tablas Técnicas'!A$679,E301='Tablas Técnicas'!A$678,E301='Tablas Técnicas'!A$679),"Selecciona la atadura elemental:","")</f>
        <v/>
      </c>
      <c r="AH299" s="4649"/>
      <c r="AI299" s="4649"/>
      <c r="AJ299" s="4649"/>
      <c r="AK299" s="4649"/>
      <c r="AL299" s="4649"/>
      <c r="AM299" s="4649"/>
      <c r="AN299" s="4649"/>
      <c r="AO299" s="4649"/>
      <c r="AP299" s="4649"/>
      <c r="AQ299" s="4649"/>
      <c r="AR299" s="4649"/>
      <c r="AS299" s="4649"/>
      <c r="AT299" s="4649"/>
      <c r="AU299" s="4649"/>
      <c r="AV299" s="4649"/>
      <c r="AW299" s="4649"/>
      <c r="AX299" s="4649"/>
      <c r="AY299" s="4649"/>
      <c r="AZ299" s="4649"/>
      <c r="BA299" s="4649"/>
      <c r="BB299" s="4649"/>
      <c r="BC299" s="4649"/>
      <c r="BD299" s="4649"/>
      <c r="BE299" s="4649"/>
      <c r="BF299" s="4649"/>
      <c r="BG299" s="4649"/>
      <c r="BH299" s="4649"/>
      <c r="BI299" s="4649"/>
      <c r="BJ299" s="4649"/>
      <c r="BK299" s="4650"/>
      <c r="BL299" s="1540"/>
      <c r="BM299" s="1540"/>
      <c r="BN299" s="1084"/>
      <c r="BO299" s="1084"/>
      <c r="BP299" s="1117"/>
      <c r="BQ299" s="1084"/>
      <c r="BR299" s="1084"/>
      <c r="BS299" s="1084"/>
      <c r="BT299" s="4651">
        <f>D267</f>
        <v>1</v>
      </c>
      <c r="BU299" s="4652"/>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4689</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4690</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8173</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8541</v>
      </c>
      <c r="F304" s="1041" t="s">
        <v>1792</v>
      </c>
      <c r="G304" s="1042" t="s">
        <v>1793</v>
      </c>
      <c r="H304" s="1042" t="s">
        <v>1815</v>
      </c>
      <c r="I304" s="1043" t="s">
        <v>3467</v>
      </c>
      <c r="J304" s="1044"/>
      <c r="K304" s="1045"/>
      <c r="L304" s="1043" t="s">
        <v>3468</v>
      </c>
      <c r="M304" s="1044"/>
      <c r="N304" s="1045"/>
      <c r="O304" s="1043" t="s">
        <v>3469</v>
      </c>
      <c r="P304" s="1044"/>
      <c r="Q304" s="1045"/>
      <c r="R304" s="1046" t="s">
        <v>4666</v>
      </c>
      <c r="S304" s="1042" t="s">
        <v>3437</v>
      </c>
      <c r="T304" s="2368" t="s">
        <v>1711</v>
      </c>
      <c r="U304" s="2368" t="s">
        <v>1682</v>
      </c>
      <c r="V304" s="2368" t="s">
        <v>3470</v>
      </c>
      <c r="W304" s="4678" t="s">
        <v>3471</v>
      </c>
      <c r="X304" s="4678"/>
      <c r="Y304" s="4678"/>
      <c r="Z304" s="4678"/>
      <c r="AA304" s="4678"/>
      <c r="AB304" s="4678"/>
      <c r="AC304" s="4678"/>
      <c r="AD304" s="4678"/>
      <c r="AE304" s="4678"/>
      <c r="AF304" s="4678"/>
      <c r="AG304" s="4678"/>
      <c r="AH304" s="4678"/>
      <c r="AI304" s="4678"/>
      <c r="AJ304" s="4678"/>
      <c r="AK304" s="4678"/>
      <c r="AL304" s="4678"/>
      <c r="AM304" s="4678"/>
      <c r="AN304" s="4678"/>
      <c r="AO304" s="4678"/>
      <c r="AP304" s="4678"/>
      <c r="AQ304" s="4678"/>
      <c r="AR304" s="4678"/>
      <c r="AS304" s="4678"/>
      <c r="AT304" s="4678"/>
      <c r="AU304" s="4678"/>
      <c r="AV304" s="4678"/>
      <c r="AW304" s="4678"/>
      <c r="AX304" s="4678"/>
      <c r="AY304" s="4678"/>
      <c r="AZ304" s="4678"/>
      <c r="BA304" s="4678"/>
      <c r="BB304" s="4678"/>
      <c r="BC304" s="4678"/>
      <c r="BD304" s="4678"/>
      <c r="BE304" s="4678"/>
      <c r="BF304" s="4678"/>
      <c r="BG304" s="4678"/>
      <c r="BH304" s="4678"/>
      <c r="BI304" s="4678"/>
      <c r="BJ304" s="4678"/>
      <c r="BK304" s="4678" t="s">
        <v>3472</v>
      </c>
      <c r="BL304" s="4678"/>
      <c r="BM304" s="4679"/>
      <c r="BN304" s="1047" t="s">
        <v>4667</v>
      </c>
      <c r="BO304" s="1047" t="s">
        <v>4668</v>
      </c>
      <c r="BP304" s="1047" t="s">
        <v>4669</v>
      </c>
      <c r="BQ304" s="1047" t="s">
        <v>4670</v>
      </c>
      <c r="BR304" s="1047" t="s">
        <v>4671</v>
      </c>
      <c r="BS304" s="1048" t="s">
        <v>4672</v>
      </c>
      <c r="BT304" s="4653" t="s">
        <v>4673</v>
      </c>
      <c r="BU304" s="4654"/>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3448</v>
      </c>
      <c r="DW305" s="1524" t="s">
        <v>3434</v>
      </c>
      <c r="DX305" s="1525" t="s">
        <v>8176</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53" t="s">
        <v>4674</v>
      </c>
      <c r="BU306" s="4654"/>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70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57" t="s">
        <v>4675</v>
      </c>
      <c r="U307" s="4658"/>
      <c r="V307" s="4658"/>
      <c r="W307" s="4658"/>
      <c r="X307" s="4658"/>
      <c r="Y307" s="4658"/>
      <c r="Z307" s="4658"/>
      <c r="AA307" s="4658"/>
      <c r="AB307" s="4658"/>
      <c r="AC307" s="4658"/>
      <c r="AD307" s="4658"/>
      <c r="AE307" s="4658"/>
      <c r="AF307" s="4658"/>
      <c r="AG307" s="4658"/>
      <c r="AH307" s="4658"/>
      <c r="AI307" s="4658"/>
      <c r="AJ307" s="4658"/>
      <c r="AK307" s="4658"/>
      <c r="AL307" s="4658"/>
      <c r="AM307" s="4658"/>
      <c r="AN307" s="4658"/>
      <c r="AO307" s="4658"/>
      <c r="AP307" s="4658"/>
      <c r="AQ307" s="4658"/>
      <c r="AR307" s="4658"/>
      <c r="AS307" s="4658"/>
      <c r="AT307" s="4658"/>
      <c r="AU307" s="4658"/>
      <c r="AV307" s="4658"/>
      <c r="AW307" s="4658"/>
      <c r="AX307" s="4658"/>
      <c r="AY307" s="4658"/>
      <c r="AZ307" s="4658"/>
      <c r="BA307" s="4658"/>
      <c r="BB307" s="4658"/>
      <c r="BC307" s="4658"/>
      <c r="BD307" s="4658"/>
      <c r="BE307" s="4658"/>
      <c r="BF307" s="4658"/>
      <c r="BG307" s="4658"/>
      <c r="BH307" s="4658"/>
      <c r="BI307" s="4658"/>
      <c r="BJ307" s="4658"/>
      <c r="BK307" s="4659"/>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7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77"/>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701"/>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60"/>
      <c r="U308" s="4661"/>
      <c r="V308" s="2372" t="str">
        <f>IF(OR(V306=0,V306=""),"N/A",V306)</f>
        <v>N/A</v>
      </c>
      <c r="W308" s="4660" t="str">
        <f xml:space="preserve"> IF(OR(AF306=0,AF306=""),"N/A",W306)</f>
        <v>N/A</v>
      </c>
      <c r="X308" s="4662"/>
      <c r="Y308" s="4662"/>
      <c r="Z308" s="4662"/>
      <c r="AA308" s="4662"/>
      <c r="AB308" s="4662"/>
      <c r="AC308" s="4662"/>
      <c r="AD308" s="4662"/>
      <c r="AE308" s="4662"/>
      <c r="AF308" s="4661"/>
      <c r="AG308" s="4660" t="str">
        <f xml:space="preserve"> IF(OR(AP306="",AP306=0),"N/A",AG306)</f>
        <v>N/A</v>
      </c>
      <c r="AH308" s="4662"/>
      <c r="AI308" s="4662"/>
      <c r="AJ308" s="4662"/>
      <c r="AK308" s="4662"/>
      <c r="AL308" s="4662"/>
      <c r="AM308" s="4662"/>
      <c r="AN308" s="4662"/>
      <c r="AO308" s="4662"/>
      <c r="AP308" s="4661"/>
      <c r="AQ308" s="4660" t="str">
        <f xml:space="preserve"> IF(OR(AZ306="",AZ306=0),"N/A",AQ306)</f>
        <v>N/A</v>
      </c>
      <c r="AR308" s="4662"/>
      <c r="AS308" s="4662"/>
      <c r="AT308" s="4662"/>
      <c r="AU308" s="4662"/>
      <c r="AV308" s="4662"/>
      <c r="AW308" s="4662"/>
      <c r="AX308" s="4662"/>
      <c r="AY308" s="4662"/>
      <c r="AZ308" s="4661"/>
      <c r="BA308" s="4660" t="str">
        <f xml:space="preserve"> IF(OR(BJ306="",BJ306=0),"N/A",BA306)</f>
        <v>N/A</v>
      </c>
      <c r="BB308" s="4662"/>
      <c r="BC308" s="4662"/>
      <c r="BD308" s="4662"/>
      <c r="BE308" s="4662"/>
      <c r="BF308" s="4662"/>
      <c r="BG308" s="4662"/>
      <c r="BH308" s="4662"/>
      <c r="BI308" s="4662"/>
      <c r="BJ308" s="4661"/>
      <c r="BK308" s="1085" t="s">
        <v>4676</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701"/>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74" t="s">
        <v>4677</v>
      </c>
      <c r="U309" s="4675"/>
      <c r="V309" s="2373"/>
      <c r="W309" s="4643"/>
      <c r="X309" s="4644"/>
      <c r="Y309" s="4644"/>
      <c r="Z309" s="4644"/>
      <c r="AA309" s="4644"/>
      <c r="AB309" s="4644"/>
      <c r="AC309" s="4644"/>
      <c r="AD309" s="4644"/>
      <c r="AE309" s="4644"/>
      <c r="AF309" s="4645"/>
      <c r="AG309" s="4643"/>
      <c r="AH309" s="4644"/>
      <c r="AI309" s="4644"/>
      <c r="AJ309" s="4644"/>
      <c r="AK309" s="4644"/>
      <c r="AL309" s="4644"/>
      <c r="AM309" s="4644"/>
      <c r="AN309" s="4644"/>
      <c r="AO309" s="4644"/>
      <c r="AP309" s="4645"/>
      <c r="AQ309" s="4643"/>
      <c r="AR309" s="4644"/>
      <c r="AS309" s="4644"/>
      <c r="AT309" s="4644"/>
      <c r="AU309" s="4644"/>
      <c r="AV309" s="4644"/>
      <c r="AW309" s="4644"/>
      <c r="AX309" s="4644"/>
      <c r="AY309" s="4644"/>
      <c r="AZ309" s="4645"/>
      <c r="BA309" s="4643"/>
      <c r="BB309" s="4644"/>
      <c r="BC309" s="4644"/>
      <c r="BD309" s="4644"/>
      <c r="BE309" s="4644"/>
      <c r="BF309" s="4644"/>
      <c r="BG309" s="4644"/>
      <c r="BH309" s="4644"/>
      <c r="BI309" s="4644"/>
      <c r="BJ309" s="4645"/>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53" t="s">
        <v>4678</v>
      </c>
      <c r="BU309" s="4654"/>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701"/>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63" t="s">
        <v>4679</v>
      </c>
      <c r="U310" s="4664"/>
      <c r="V310" s="2371"/>
      <c r="W310" s="4665"/>
      <c r="X310" s="4666"/>
      <c r="Y310" s="4666"/>
      <c r="Z310" s="4666"/>
      <c r="AA310" s="4666"/>
      <c r="AB310" s="4666"/>
      <c r="AC310" s="4666"/>
      <c r="AD310" s="4666"/>
      <c r="AE310" s="4666"/>
      <c r="AF310" s="4667"/>
      <c r="AG310" s="4665"/>
      <c r="AH310" s="4666"/>
      <c r="AI310" s="4666"/>
      <c r="AJ310" s="4666"/>
      <c r="AK310" s="4666"/>
      <c r="AL310" s="4666"/>
      <c r="AM310" s="4666"/>
      <c r="AN310" s="4666"/>
      <c r="AO310" s="4666"/>
      <c r="AP310" s="4667"/>
      <c r="AQ310" s="4665"/>
      <c r="AR310" s="4666"/>
      <c r="AS310" s="4666"/>
      <c r="AT310" s="4666"/>
      <c r="AU310" s="4666"/>
      <c r="AV310" s="4666"/>
      <c r="AW310" s="4666"/>
      <c r="AX310" s="4666"/>
      <c r="AY310" s="4666"/>
      <c r="AZ310" s="4667"/>
      <c r="BA310" s="4665"/>
      <c r="BB310" s="4666"/>
      <c r="BC310" s="4666"/>
      <c r="BD310" s="4666"/>
      <c r="BE310" s="4666"/>
      <c r="BF310" s="4666"/>
      <c r="BG310" s="4666"/>
      <c r="BH310" s="4666"/>
      <c r="BI310" s="4666"/>
      <c r="BJ310" s="4667"/>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5" t="s">
        <v>1693</v>
      </c>
      <c r="BU310" s="4656"/>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701"/>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53" t="s">
        <v>4680</v>
      </c>
      <c r="BU311" s="4654"/>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5" t="s">
        <v>4660</v>
      </c>
      <c r="BU312" s="4656"/>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57" t="s">
        <v>4675</v>
      </c>
      <c r="U313" s="4658"/>
      <c r="V313" s="4658"/>
      <c r="W313" s="4658"/>
      <c r="X313" s="4658"/>
      <c r="Y313" s="4658"/>
      <c r="Z313" s="4658"/>
      <c r="AA313" s="4658"/>
      <c r="AB313" s="4658"/>
      <c r="AC313" s="4658"/>
      <c r="AD313" s="4658"/>
      <c r="AE313" s="4658"/>
      <c r="AF313" s="4658"/>
      <c r="AG313" s="4658"/>
      <c r="AH313" s="4658"/>
      <c r="AI313" s="4658"/>
      <c r="AJ313" s="4658"/>
      <c r="AK313" s="4658"/>
      <c r="AL313" s="4658"/>
      <c r="AM313" s="4658"/>
      <c r="AN313" s="4658"/>
      <c r="AO313" s="4658"/>
      <c r="AP313" s="4658"/>
      <c r="AQ313" s="4658"/>
      <c r="AR313" s="4658"/>
      <c r="AS313" s="4658"/>
      <c r="AT313" s="4658"/>
      <c r="AU313" s="4658"/>
      <c r="AV313" s="4658"/>
      <c r="AW313" s="4658"/>
      <c r="AX313" s="4658"/>
      <c r="AY313" s="4658"/>
      <c r="AZ313" s="4658"/>
      <c r="BA313" s="4658"/>
      <c r="BB313" s="4658"/>
      <c r="BC313" s="4658"/>
      <c r="BD313" s="4658"/>
      <c r="BE313" s="4658"/>
      <c r="BF313" s="4658"/>
      <c r="BG313" s="4658"/>
      <c r="BH313" s="4658"/>
      <c r="BI313" s="4658"/>
      <c r="BJ313" s="4658"/>
      <c r="BK313" s="4659"/>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53" t="s">
        <v>4681</v>
      </c>
      <c r="BU313" s="4654"/>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60"/>
      <c r="U314" s="4661"/>
      <c r="V314" s="2372" t="str">
        <f>IF(OR(V312=0,V312=""),"N/A",V312)</f>
        <v>N/A</v>
      </c>
      <c r="W314" s="4660" t="str">
        <f xml:space="preserve"> IF(OR(AF312=0,AF312=""),"N/A",W312)</f>
        <v>N/A</v>
      </c>
      <c r="X314" s="4662"/>
      <c r="Y314" s="4662"/>
      <c r="Z314" s="4662"/>
      <c r="AA314" s="4662"/>
      <c r="AB314" s="4662"/>
      <c r="AC314" s="4662"/>
      <c r="AD314" s="4662"/>
      <c r="AE314" s="4662"/>
      <c r="AF314" s="4661"/>
      <c r="AG314" s="4660" t="str">
        <f xml:space="preserve"> IF(OR(AP312="",AP312=0),"N/A",AG312)</f>
        <v>N/A</v>
      </c>
      <c r="AH314" s="4662"/>
      <c r="AI314" s="4662"/>
      <c r="AJ314" s="4662"/>
      <c r="AK314" s="4662"/>
      <c r="AL314" s="4662"/>
      <c r="AM314" s="4662"/>
      <c r="AN314" s="4662"/>
      <c r="AO314" s="4662"/>
      <c r="AP314" s="4661"/>
      <c r="AQ314" s="4660" t="str">
        <f xml:space="preserve"> IF(OR(AZ312="",AZ312=0),"N/A",AQ312)</f>
        <v>N/A</v>
      </c>
      <c r="AR314" s="4662"/>
      <c r="AS314" s="4662"/>
      <c r="AT314" s="4662"/>
      <c r="AU314" s="4662"/>
      <c r="AV314" s="4662"/>
      <c r="AW314" s="4662"/>
      <c r="AX314" s="4662"/>
      <c r="AY314" s="4662"/>
      <c r="AZ314" s="4661"/>
      <c r="BA314" s="4660" t="str">
        <f xml:space="preserve"> IF(OR(BJ312="",BJ312=0),"N/A",BA312)</f>
        <v>N/A</v>
      </c>
      <c r="BB314" s="4662"/>
      <c r="BC314" s="4662"/>
      <c r="BD314" s="4662"/>
      <c r="BE314" s="4662"/>
      <c r="BF314" s="4662"/>
      <c r="BG314" s="4662"/>
      <c r="BH314" s="4662"/>
      <c r="BI314" s="4662"/>
      <c r="BJ314" s="4661"/>
      <c r="BK314" s="1085" t="s">
        <v>4676</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5" t="s">
        <v>4654</v>
      </c>
      <c r="BU314" s="4656"/>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74" t="s">
        <v>4677</v>
      </c>
      <c r="U315" s="4675"/>
      <c r="V315" s="2373"/>
      <c r="W315" s="4643"/>
      <c r="X315" s="4644"/>
      <c r="Y315" s="4644"/>
      <c r="Z315" s="4644"/>
      <c r="AA315" s="4644"/>
      <c r="AB315" s="4644"/>
      <c r="AC315" s="4644"/>
      <c r="AD315" s="4644"/>
      <c r="AE315" s="4644"/>
      <c r="AF315" s="4645"/>
      <c r="AG315" s="4643"/>
      <c r="AH315" s="4644"/>
      <c r="AI315" s="4644"/>
      <c r="AJ315" s="4644"/>
      <c r="AK315" s="4644"/>
      <c r="AL315" s="4644"/>
      <c r="AM315" s="4644"/>
      <c r="AN315" s="4644"/>
      <c r="AO315" s="4644"/>
      <c r="AP315" s="4645"/>
      <c r="AQ315" s="4643"/>
      <c r="AR315" s="4644"/>
      <c r="AS315" s="4644"/>
      <c r="AT315" s="4644"/>
      <c r="AU315" s="4644"/>
      <c r="AV315" s="4644"/>
      <c r="AW315" s="4644"/>
      <c r="AX315" s="4644"/>
      <c r="AY315" s="4644"/>
      <c r="AZ315" s="4645"/>
      <c r="BA315" s="4643"/>
      <c r="BB315" s="4644"/>
      <c r="BC315" s="4644"/>
      <c r="BD315" s="4644"/>
      <c r="BE315" s="4644"/>
      <c r="BF315" s="4644"/>
      <c r="BG315" s="4644"/>
      <c r="BH315" s="4644"/>
      <c r="BI315" s="4644"/>
      <c r="BJ315" s="4645"/>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41" t="s">
        <v>4682</v>
      </c>
      <c r="BU315" s="4642"/>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63" t="s">
        <v>4679</v>
      </c>
      <c r="U316" s="4664"/>
      <c r="V316" s="2371"/>
      <c r="W316" s="4665"/>
      <c r="X316" s="4666"/>
      <c r="Y316" s="4666"/>
      <c r="Z316" s="4666"/>
      <c r="AA316" s="4666"/>
      <c r="AB316" s="4666"/>
      <c r="AC316" s="4666"/>
      <c r="AD316" s="4666"/>
      <c r="AE316" s="4666"/>
      <c r="AF316" s="4667"/>
      <c r="AG316" s="4665"/>
      <c r="AH316" s="4666"/>
      <c r="AI316" s="4666"/>
      <c r="AJ316" s="4666"/>
      <c r="AK316" s="4666"/>
      <c r="AL316" s="4666"/>
      <c r="AM316" s="4666"/>
      <c r="AN316" s="4666"/>
      <c r="AO316" s="4666"/>
      <c r="AP316" s="4667"/>
      <c r="AQ316" s="4665"/>
      <c r="AR316" s="4666"/>
      <c r="AS316" s="4666"/>
      <c r="AT316" s="4666"/>
      <c r="AU316" s="4666"/>
      <c r="AV316" s="4666"/>
      <c r="AW316" s="4666"/>
      <c r="AX316" s="4666"/>
      <c r="AY316" s="4666"/>
      <c r="AZ316" s="4667"/>
      <c r="BA316" s="4665"/>
      <c r="BB316" s="4666"/>
      <c r="BC316" s="4666"/>
      <c r="BD316" s="4666"/>
      <c r="BE316" s="4666"/>
      <c r="BF316" s="4666"/>
      <c r="BG316" s="4666"/>
      <c r="BH316" s="4666"/>
      <c r="BI316" s="4666"/>
      <c r="BJ316" s="4667"/>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4683</v>
      </c>
      <c r="BV318" s="1049"/>
      <c r="BW318" s="2365" t="s">
        <v>4684</v>
      </c>
      <c r="BX318" s="2364" t="s">
        <v>4685</v>
      </c>
      <c r="BY318" s="1397" t="s">
        <v>4685</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57" t="s">
        <v>4675</v>
      </c>
      <c r="U319" s="4658"/>
      <c r="V319" s="4658"/>
      <c r="W319" s="4658"/>
      <c r="X319" s="4658"/>
      <c r="Y319" s="4658"/>
      <c r="Z319" s="4658"/>
      <c r="AA319" s="4658"/>
      <c r="AB319" s="4658"/>
      <c r="AC319" s="4658"/>
      <c r="AD319" s="4658"/>
      <c r="AE319" s="4658"/>
      <c r="AF319" s="4658"/>
      <c r="AG319" s="4658"/>
      <c r="AH319" s="4658"/>
      <c r="AI319" s="4658"/>
      <c r="AJ319" s="4658"/>
      <c r="AK319" s="4658"/>
      <c r="AL319" s="4658"/>
      <c r="AM319" s="4658"/>
      <c r="AN319" s="4658"/>
      <c r="AO319" s="4658"/>
      <c r="AP319" s="4658"/>
      <c r="AQ319" s="4658"/>
      <c r="AR319" s="4658"/>
      <c r="AS319" s="4658"/>
      <c r="AT319" s="4658"/>
      <c r="AU319" s="4658"/>
      <c r="AV319" s="4658"/>
      <c r="AW319" s="4658"/>
      <c r="AX319" s="4658"/>
      <c r="AY319" s="4658"/>
      <c r="AZ319" s="4658"/>
      <c r="BA319" s="4658"/>
      <c r="BB319" s="4658"/>
      <c r="BC319" s="4658"/>
      <c r="BD319" s="4658"/>
      <c r="BE319" s="4658"/>
      <c r="BF319" s="4658"/>
      <c r="BG319" s="4658"/>
      <c r="BH319" s="4658"/>
      <c r="BI319" s="4658"/>
      <c r="BJ319" s="4658"/>
      <c r="BK319" s="4659"/>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60"/>
      <c r="U320" s="4661"/>
      <c r="V320" s="2372" t="str">
        <f>IF(OR(V318=0,V318=""),"N/A",V318)</f>
        <v>N/A</v>
      </c>
      <c r="W320" s="4660" t="str">
        <f xml:space="preserve"> IF(OR(AF318=0,AF318=""),"N/A",W318)</f>
        <v>N/A</v>
      </c>
      <c r="X320" s="4662"/>
      <c r="Y320" s="4662"/>
      <c r="Z320" s="4662"/>
      <c r="AA320" s="4662"/>
      <c r="AB320" s="4662"/>
      <c r="AC320" s="4662"/>
      <c r="AD320" s="4662"/>
      <c r="AE320" s="4662"/>
      <c r="AF320" s="4661"/>
      <c r="AG320" s="4660" t="str">
        <f xml:space="preserve"> IF(OR(AP318="",AP318=0),"N/A",AG318)</f>
        <v>N/A</v>
      </c>
      <c r="AH320" s="4662"/>
      <c r="AI320" s="4662"/>
      <c r="AJ320" s="4662"/>
      <c r="AK320" s="4662"/>
      <c r="AL320" s="4662"/>
      <c r="AM320" s="4662"/>
      <c r="AN320" s="4662"/>
      <c r="AO320" s="4662"/>
      <c r="AP320" s="4661"/>
      <c r="AQ320" s="4660" t="str">
        <f xml:space="preserve"> IF(OR(AZ318="",AZ318=0),"N/A",AQ318)</f>
        <v>N/A</v>
      </c>
      <c r="AR320" s="4662"/>
      <c r="AS320" s="4662"/>
      <c r="AT320" s="4662"/>
      <c r="AU320" s="4662"/>
      <c r="AV320" s="4662"/>
      <c r="AW320" s="4662"/>
      <c r="AX320" s="4662"/>
      <c r="AY320" s="4662"/>
      <c r="AZ320" s="4661"/>
      <c r="BA320" s="4660" t="str">
        <f xml:space="preserve"> IF(OR(BJ318="",BJ318=0),"N/A",BA318)</f>
        <v>N/A</v>
      </c>
      <c r="BB320" s="4662"/>
      <c r="BC320" s="4662"/>
      <c r="BD320" s="4662"/>
      <c r="BE320" s="4662"/>
      <c r="BF320" s="4662"/>
      <c r="BG320" s="4662"/>
      <c r="BH320" s="4662"/>
      <c r="BI320" s="4662"/>
      <c r="BJ320" s="4661"/>
      <c r="BK320" s="1085" t="s">
        <v>4676</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4683</v>
      </c>
      <c r="BV320" s="1049"/>
      <c r="BW320" s="2365" t="s">
        <v>4684</v>
      </c>
      <c r="BX320" s="2364" t="s">
        <v>4685</v>
      </c>
      <c r="BY320" s="1398" t="s">
        <v>4685</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74" t="s">
        <v>4677</v>
      </c>
      <c r="U321" s="4675"/>
      <c r="V321" s="2373"/>
      <c r="W321" s="4643"/>
      <c r="X321" s="4644"/>
      <c r="Y321" s="4644"/>
      <c r="Z321" s="4644"/>
      <c r="AA321" s="4644"/>
      <c r="AB321" s="4644"/>
      <c r="AC321" s="4644"/>
      <c r="AD321" s="4644"/>
      <c r="AE321" s="4644"/>
      <c r="AF321" s="4645"/>
      <c r="AG321" s="4643"/>
      <c r="AH321" s="4644"/>
      <c r="AI321" s="4644"/>
      <c r="AJ321" s="4644"/>
      <c r="AK321" s="4644"/>
      <c r="AL321" s="4644"/>
      <c r="AM321" s="4644"/>
      <c r="AN321" s="4644"/>
      <c r="AO321" s="4644"/>
      <c r="AP321" s="4645"/>
      <c r="AQ321" s="4643"/>
      <c r="AR321" s="4644"/>
      <c r="AS321" s="4644"/>
      <c r="AT321" s="4644"/>
      <c r="AU321" s="4644"/>
      <c r="AV321" s="4644"/>
      <c r="AW321" s="4644"/>
      <c r="AX321" s="4644"/>
      <c r="AY321" s="4644"/>
      <c r="AZ321" s="4645"/>
      <c r="BA321" s="4643"/>
      <c r="BB321" s="4644"/>
      <c r="BC321" s="4644"/>
      <c r="BD321" s="4644"/>
      <c r="BE321" s="4644"/>
      <c r="BF321" s="4644"/>
      <c r="BG321" s="4644"/>
      <c r="BH321" s="4644"/>
      <c r="BI321" s="4644"/>
      <c r="BJ321" s="4645"/>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63" t="s">
        <v>4679</v>
      </c>
      <c r="U322" s="4664"/>
      <c r="V322" s="2371"/>
      <c r="W322" s="4665"/>
      <c r="X322" s="4666"/>
      <c r="Y322" s="4666"/>
      <c r="Z322" s="4666"/>
      <c r="AA322" s="4666"/>
      <c r="AB322" s="4666"/>
      <c r="AC322" s="4666"/>
      <c r="AD322" s="4666"/>
      <c r="AE322" s="4666"/>
      <c r="AF322" s="4667"/>
      <c r="AG322" s="4665"/>
      <c r="AH322" s="4666"/>
      <c r="AI322" s="4666"/>
      <c r="AJ322" s="4666"/>
      <c r="AK322" s="4666"/>
      <c r="AL322" s="4666"/>
      <c r="AM322" s="4666"/>
      <c r="AN322" s="4666"/>
      <c r="AO322" s="4666"/>
      <c r="AP322" s="4667"/>
      <c r="AQ322" s="4665"/>
      <c r="AR322" s="4666"/>
      <c r="AS322" s="4666"/>
      <c r="AT322" s="4666"/>
      <c r="AU322" s="4666"/>
      <c r="AV322" s="4666"/>
      <c r="AW322" s="4666"/>
      <c r="AX322" s="4666"/>
      <c r="AY322" s="4666"/>
      <c r="AZ322" s="4667"/>
      <c r="BA322" s="4665"/>
      <c r="BB322" s="4666"/>
      <c r="BC322" s="4666"/>
      <c r="BD322" s="4666"/>
      <c r="BE322" s="4666"/>
      <c r="BF322" s="4666"/>
      <c r="BG322" s="4666"/>
      <c r="BH322" s="4666"/>
      <c r="BI322" s="4666"/>
      <c r="BJ322" s="4667"/>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4683</v>
      </c>
      <c r="BV322" s="1049"/>
      <c r="BW322" s="2365" t="s">
        <v>4684</v>
      </c>
      <c r="BX322" s="2364" t="s">
        <v>4685</v>
      </c>
      <c r="BY322" s="1398" t="s">
        <v>4685</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4683</v>
      </c>
      <c r="BV324" s="1049"/>
      <c r="BW324" s="2365" t="s">
        <v>4684</v>
      </c>
      <c r="BX324" s="2364" t="s">
        <v>4685</v>
      </c>
      <c r="BY324" s="1398" t="s">
        <v>4685</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57" t="s">
        <v>4675</v>
      </c>
      <c r="U325" s="4658"/>
      <c r="V325" s="4658"/>
      <c r="W325" s="4658"/>
      <c r="X325" s="4658"/>
      <c r="Y325" s="4658"/>
      <c r="Z325" s="4658"/>
      <c r="AA325" s="4658"/>
      <c r="AB325" s="4658"/>
      <c r="AC325" s="4658"/>
      <c r="AD325" s="4658"/>
      <c r="AE325" s="4658"/>
      <c r="AF325" s="4658"/>
      <c r="AG325" s="4658"/>
      <c r="AH325" s="4658"/>
      <c r="AI325" s="4658"/>
      <c r="AJ325" s="4658"/>
      <c r="AK325" s="4658"/>
      <c r="AL325" s="4658"/>
      <c r="AM325" s="4658"/>
      <c r="AN325" s="4658"/>
      <c r="AO325" s="4658"/>
      <c r="AP325" s="4658"/>
      <c r="AQ325" s="4658"/>
      <c r="AR325" s="4658"/>
      <c r="AS325" s="4658"/>
      <c r="AT325" s="4658"/>
      <c r="AU325" s="4658"/>
      <c r="AV325" s="4658"/>
      <c r="AW325" s="4658"/>
      <c r="AX325" s="4658"/>
      <c r="AY325" s="4658"/>
      <c r="AZ325" s="4658"/>
      <c r="BA325" s="4658"/>
      <c r="BB325" s="4658"/>
      <c r="BC325" s="4658"/>
      <c r="BD325" s="4658"/>
      <c r="BE325" s="4658"/>
      <c r="BF325" s="4658"/>
      <c r="BG325" s="4658"/>
      <c r="BH325" s="4658"/>
      <c r="BI325" s="4658"/>
      <c r="BJ325" s="4658"/>
      <c r="BK325" s="4659"/>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60"/>
      <c r="U326" s="4661"/>
      <c r="V326" s="2372" t="str">
        <f>IF(OR(V324=0,V324=""),"N/A",V324)</f>
        <v>N/A</v>
      </c>
      <c r="W326" s="4660" t="str">
        <f xml:space="preserve"> IF(OR(AF324=0,AF324=""),"N/A",W324)</f>
        <v>N/A</v>
      </c>
      <c r="X326" s="4662"/>
      <c r="Y326" s="4662"/>
      <c r="Z326" s="4662"/>
      <c r="AA326" s="4662"/>
      <c r="AB326" s="4662"/>
      <c r="AC326" s="4662"/>
      <c r="AD326" s="4662"/>
      <c r="AE326" s="4662"/>
      <c r="AF326" s="4661"/>
      <c r="AG326" s="4660" t="str">
        <f xml:space="preserve"> IF(OR(AP324="",AP324=0),"N/A",AG324)</f>
        <v>N/A</v>
      </c>
      <c r="AH326" s="4662"/>
      <c r="AI326" s="4662"/>
      <c r="AJ326" s="4662"/>
      <c r="AK326" s="4662"/>
      <c r="AL326" s="4662"/>
      <c r="AM326" s="4662"/>
      <c r="AN326" s="4662"/>
      <c r="AO326" s="4662"/>
      <c r="AP326" s="4661"/>
      <c r="AQ326" s="4660" t="str">
        <f xml:space="preserve"> IF(OR(AZ324="",AZ324=0),"N/A",AQ324)</f>
        <v>N/A</v>
      </c>
      <c r="AR326" s="4662"/>
      <c r="AS326" s="4662"/>
      <c r="AT326" s="4662"/>
      <c r="AU326" s="4662"/>
      <c r="AV326" s="4662"/>
      <c r="AW326" s="4662"/>
      <c r="AX326" s="4662"/>
      <c r="AY326" s="4662"/>
      <c r="AZ326" s="4661"/>
      <c r="BA326" s="4660" t="str">
        <f xml:space="preserve"> IF(OR(BJ324="",BJ324=0),"N/A",BA324)</f>
        <v>N/A</v>
      </c>
      <c r="BB326" s="4662"/>
      <c r="BC326" s="4662"/>
      <c r="BD326" s="4662"/>
      <c r="BE326" s="4662"/>
      <c r="BF326" s="4662"/>
      <c r="BG326" s="4662"/>
      <c r="BH326" s="4662"/>
      <c r="BI326" s="4662"/>
      <c r="BJ326" s="4661"/>
      <c r="BK326" s="1085" t="s">
        <v>4676</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4683</v>
      </c>
      <c r="BV326" s="1049"/>
      <c r="BW326" s="2365" t="s">
        <v>4684</v>
      </c>
      <c r="BX326" s="2364" t="s">
        <v>4685</v>
      </c>
      <c r="BY326" s="1398" t="s">
        <v>4685</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74" t="s">
        <v>4677</v>
      </c>
      <c r="U327" s="4675"/>
      <c r="V327" s="2373"/>
      <c r="W327" s="4643"/>
      <c r="X327" s="4644"/>
      <c r="Y327" s="4644"/>
      <c r="Z327" s="4644"/>
      <c r="AA327" s="4644"/>
      <c r="AB327" s="4644"/>
      <c r="AC327" s="4644"/>
      <c r="AD327" s="4644"/>
      <c r="AE327" s="4644"/>
      <c r="AF327" s="4645"/>
      <c r="AG327" s="4643"/>
      <c r="AH327" s="4644"/>
      <c r="AI327" s="4644"/>
      <c r="AJ327" s="4644"/>
      <c r="AK327" s="4644"/>
      <c r="AL327" s="4644"/>
      <c r="AM327" s="4644"/>
      <c r="AN327" s="4644"/>
      <c r="AO327" s="4644"/>
      <c r="AP327" s="4645"/>
      <c r="AQ327" s="4643"/>
      <c r="AR327" s="4644"/>
      <c r="AS327" s="4644"/>
      <c r="AT327" s="4644"/>
      <c r="AU327" s="4644"/>
      <c r="AV327" s="4644"/>
      <c r="AW327" s="4644"/>
      <c r="AX327" s="4644"/>
      <c r="AY327" s="4644"/>
      <c r="AZ327" s="4645"/>
      <c r="BA327" s="4643"/>
      <c r="BB327" s="4644"/>
      <c r="BC327" s="4644"/>
      <c r="BD327" s="4644"/>
      <c r="BE327" s="4644"/>
      <c r="BF327" s="4644"/>
      <c r="BG327" s="4644"/>
      <c r="BH327" s="4644"/>
      <c r="BI327" s="4644"/>
      <c r="BJ327" s="4645"/>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63" t="s">
        <v>4679</v>
      </c>
      <c r="U328" s="4664"/>
      <c r="V328" s="2371"/>
      <c r="W328" s="4665"/>
      <c r="X328" s="4666"/>
      <c r="Y328" s="4666"/>
      <c r="Z328" s="4666"/>
      <c r="AA328" s="4666"/>
      <c r="AB328" s="4666"/>
      <c r="AC328" s="4666"/>
      <c r="AD328" s="4666"/>
      <c r="AE328" s="4666"/>
      <c r="AF328" s="4667"/>
      <c r="AG328" s="4665"/>
      <c r="AH328" s="4666"/>
      <c r="AI328" s="4666"/>
      <c r="AJ328" s="4666"/>
      <c r="AK328" s="4666"/>
      <c r="AL328" s="4666"/>
      <c r="AM328" s="4666"/>
      <c r="AN328" s="4666"/>
      <c r="AO328" s="4666"/>
      <c r="AP328" s="4667"/>
      <c r="AQ328" s="4665"/>
      <c r="AR328" s="4666"/>
      <c r="AS328" s="4666"/>
      <c r="AT328" s="4666"/>
      <c r="AU328" s="4666"/>
      <c r="AV328" s="4666"/>
      <c r="AW328" s="4666"/>
      <c r="AX328" s="4666"/>
      <c r="AY328" s="4666"/>
      <c r="AZ328" s="4667"/>
      <c r="BA328" s="4665"/>
      <c r="BB328" s="4666"/>
      <c r="BC328" s="4666"/>
      <c r="BD328" s="4666"/>
      <c r="BE328" s="4666"/>
      <c r="BF328" s="4666"/>
      <c r="BG328" s="4666"/>
      <c r="BH328" s="4666"/>
      <c r="BI328" s="4666"/>
      <c r="BJ328" s="4667"/>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4683</v>
      </c>
      <c r="BV328" s="1049"/>
      <c r="BW328" s="2365" t="s">
        <v>4684</v>
      </c>
      <c r="BX328" s="2364" t="s">
        <v>4685</v>
      </c>
      <c r="BY328" s="1398" t="s">
        <v>4685</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6"/>
      <c r="BV330" s="4646"/>
      <c r="BW330" s="4646"/>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57" t="s">
        <v>4675</v>
      </c>
      <c r="U331" s="4658"/>
      <c r="V331" s="4658"/>
      <c r="W331" s="4658"/>
      <c r="X331" s="4658"/>
      <c r="Y331" s="4658"/>
      <c r="Z331" s="4658"/>
      <c r="AA331" s="4658"/>
      <c r="AB331" s="4658"/>
      <c r="AC331" s="4658"/>
      <c r="AD331" s="4658"/>
      <c r="AE331" s="4658"/>
      <c r="AF331" s="4658"/>
      <c r="AG331" s="4658"/>
      <c r="AH331" s="4658"/>
      <c r="AI331" s="4658"/>
      <c r="AJ331" s="4658"/>
      <c r="AK331" s="4658"/>
      <c r="AL331" s="4658"/>
      <c r="AM331" s="4658"/>
      <c r="AN331" s="4658"/>
      <c r="AO331" s="4658"/>
      <c r="AP331" s="4658"/>
      <c r="AQ331" s="4658"/>
      <c r="AR331" s="4658"/>
      <c r="AS331" s="4658"/>
      <c r="AT331" s="4658"/>
      <c r="AU331" s="4658"/>
      <c r="AV331" s="4658"/>
      <c r="AW331" s="4658"/>
      <c r="AX331" s="4658"/>
      <c r="AY331" s="4658"/>
      <c r="AZ331" s="4658"/>
      <c r="BA331" s="4658"/>
      <c r="BB331" s="4658"/>
      <c r="BC331" s="4658"/>
      <c r="BD331" s="4658"/>
      <c r="BE331" s="4658"/>
      <c r="BF331" s="4658"/>
      <c r="BG331" s="4658"/>
      <c r="BH331" s="4658"/>
      <c r="BI331" s="4658"/>
      <c r="BJ331" s="4658"/>
      <c r="BK331" s="4659"/>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60"/>
      <c r="U332" s="4661"/>
      <c r="V332" s="2372" t="str">
        <f>IF(OR(V330=0,V330=""),"N/A",V330)</f>
        <v>N/A</v>
      </c>
      <c r="W332" s="4660" t="str">
        <f xml:space="preserve"> IF(OR(AF330=0,AF330=""),"N/A",W330)</f>
        <v>N/A</v>
      </c>
      <c r="X332" s="4662"/>
      <c r="Y332" s="4662"/>
      <c r="Z332" s="4662"/>
      <c r="AA332" s="4662"/>
      <c r="AB332" s="4662"/>
      <c r="AC332" s="4662"/>
      <c r="AD332" s="4662"/>
      <c r="AE332" s="4662"/>
      <c r="AF332" s="4661"/>
      <c r="AG332" s="4660" t="str">
        <f xml:space="preserve"> IF(OR(AP330="",AP330=0),"N/A",AG330)</f>
        <v>N/A</v>
      </c>
      <c r="AH332" s="4662"/>
      <c r="AI332" s="4662"/>
      <c r="AJ332" s="4662"/>
      <c r="AK332" s="4662"/>
      <c r="AL332" s="4662"/>
      <c r="AM332" s="4662"/>
      <c r="AN332" s="4662"/>
      <c r="AO332" s="4662"/>
      <c r="AP332" s="4661"/>
      <c r="AQ332" s="4660" t="str">
        <f xml:space="preserve"> IF(OR(AZ330="",AZ330=0),"N/A",AQ330)</f>
        <v>N/A</v>
      </c>
      <c r="AR332" s="4662"/>
      <c r="AS332" s="4662"/>
      <c r="AT332" s="4662"/>
      <c r="AU332" s="4662"/>
      <c r="AV332" s="4662"/>
      <c r="AW332" s="4662"/>
      <c r="AX332" s="4662"/>
      <c r="AY332" s="4662"/>
      <c r="AZ332" s="4661"/>
      <c r="BA332" s="4660" t="str">
        <f xml:space="preserve"> IF(OR(BJ330="",BJ330=0),"N/A",BA330)</f>
        <v>N/A</v>
      </c>
      <c r="BB332" s="4662"/>
      <c r="BC332" s="4662"/>
      <c r="BD332" s="4662"/>
      <c r="BE332" s="4662"/>
      <c r="BF332" s="4662"/>
      <c r="BG332" s="4662"/>
      <c r="BH332" s="4662"/>
      <c r="BI332" s="4662"/>
      <c r="BJ332" s="4661"/>
      <c r="BK332" s="1085" t="s">
        <v>4676</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708"/>
      <c r="BV332" s="4708"/>
      <c r="BW332" s="4708"/>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74" t="s">
        <v>4677</v>
      </c>
      <c r="U333" s="4675"/>
      <c r="V333" s="2373"/>
      <c r="W333" s="4643"/>
      <c r="X333" s="4644"/>
      <c r="Y333" s="4644"/>
      <c r="Z333" s="4644"/>
      <c r="AA333" s="4644"/>
      <c r="AB333" s="4644"/>
      <c r="AC333" s="4644"/>
      <c r="AD333" s="4644"/>
      <c r="AE333" s="4644"/>
      <c r="AF333" s="4645"/>
      <c r="AG333" s="4643"/>
      <c r="AH333" s="4644"/>
      <c r="AI333" s="4644"/>
      <c r="AJ333" s="4644"/>
      <c r="AK333" s="4644"/>
      <c r="AL333" s="4644"/>
      <c r="AM333" s="4644"/>
      <c r="AN333" s="4644"/>
      <c r="AO333" s="4644"/>
      <c r="AP333" s="4645"/>
      <c r="AQ333" s="4643"/>
      <c r="AR333" s="4644"/>
      <c r="AS333" s="4644"/>
      <c r="AT333" s="4644"/>
      <c r="AU333" s="4644"/>
      <c r="AV333" s="4644"/>
      <c r="AW333" s="4644"/>
      <c r="AX333" s="4644"/>
      <c r="AY333" s="4644"/>
      <c r="AZ333" s="4645"/>
      <c r="BA333" s="4643"/>
      <c r="BB333" s="4644"/>
      <c r="BC333" s="4644"/>
      <c r="BD333" s="4644"/>
      <c r="BE333" s="4644"/>
      <c r="BF333" s="4644"/>
      <c r="BG333" s="4644"/>
      <c r="BH333" s="4644"/>
      <c r="BI333" s="4644"/>
      <c r="BJ333" s="4645"/>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68" t="s">
        <v>4679</v>
      </c>
      <c r="U334" s="4669"/>
      <c r="V334" s="2376"/>
      <c r="W334" s="4670"/>
      <c r="X334" s="4671"/>
      <c r="Y334" s="4671"/>
      <c r="Z334" s="4671"/>
      <c r="AA334" s="4671"/>
      <c r="AB334" s="4671"/>
      <c r="AC334" s="4671"/>
      <c r="AD334" s="4671"/>
      <c r="AE334" s="4671"/>
      <c r="AF334" s="4672"/>
      <c r="AG334" s="4670"/>
      <c r="AH334" s="4671"/>
      <c r="AI334" s="4671"/>
      <c r="AJ334" s="4671"/>
      <c r="AK334" s="4671"/>
      <c r="AL334" s="4671"/>
      <c r="AM334" s="4671"/>
      <c r="AN334" s="4671"/>
      <c r="AO334" s="4671"/>
      <c r="AP334" s="4672"/>
      <c r="AQ334" s="4670"/>
      <c r="AR334" s="4671"/>
      <c r="AS334" s="4671"/>
      <c r="AT334" s="4671"/>
      <c r="AU334" s="4671"/>
      <c r="AV334" s="4671"/>
      <c r="AW334" s="4671"/>
      <c r="AX334" s="4671"/>
      <c r="AY334" s="4671"/>
      <c r="AZ334" s="4672"/>
      <c r="BA334" s="4670"/>
      <c r="BB334" s="4671"/>
      <c r="BC334" s="4671"/>
      <c r="BD334" s="4671"/>
      <c r="BE334" s="4671"/>
      <c r="BF334" s="4671"/>
      <c r="BG334" s="4671"/>
      <c r="BH334" s="4671"/>
      <c r="BI334" s="4671"/>
      <c r="BJ334" s="4672"/>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4686</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73"/>
      <c r="BL335" s="4673"/>
      <c r="BM335" s="4642"/>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41" t="s">
        <v>4688</v>
      </c>
      <c r="BU335" s="4642"/>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4687</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48" t="str">
        <f>IF(OR(E336='Tablas Técnicas'!A$678,E336='Tablas Técnicas'!A$679,E337='Tablas Técnicas'!A$678,E337='Tablas Técnicas'!A$679,E338='Tablas Técnicas'!A$678,E338='Tablas Técnicas'!A$679),"Selecciona la atadura elemental:","")</f>
        <v/>
      </c>
      <c r="AH336" s="4649"/>
      <c r="AI336" s="4649"/>
      <c r="AJ336" s="4649"/>
      <c r="AK336" s="4649"/>
      <c r="AL336" s="4649"/>
      <c r="AM336" s="4649"/>
      <c r="AN336" s="4649"/>
      <c r="AO336" s="4649"/>
      <c r="AP336" s="4649"/>
      <c r="AQ336" s="4649"/>
      <c r="AR336" s="4649"/>
      <c r="AS336" s="4649"/>
      <c r="AT336" s="4649"/>
      <c r="AU336" s="4649"/>
      <c r="AV336" s="4649"/>
      <c r="AW336" s="4649"/>
      <c r="AX336" s="4649"/>
      <c r="AY336" s="4649"/>
      <c r="AZ336" s="4649"/>
      <c r="BA336" s="4649"/>
      <c r="BB336" s="4649"/>
      <c r="BC336" s="4649"/>
      <c r="BD336" s="4649"/>
      <c r="BE336" s="4649"/>
      <c r="BF336" s="4649"/>
      <c r="BG336" s="4649"/>
      <c r="BH336" s="4649"/>
      <c r="BI336" s="4649"/>
      <c r="BJ336" s="4649"/>
      <c r="BK336" s="4650"/>
      <c r="BL336" s="1540"/>
      <c r="BM336" s="1540"/>
      <c r="BN336" s="1084"/>
      <c r="BO336" s="1084"/>
      <c r="BP336" s="1117"/>
      <c r="BQ336" s="1084"/>
      <c r="BR336" s="1084"/>
      <c r="BS336" s="1084"/>
      <c r="BT336" s="4651">
        <f>D304</f>
        <v>1</v>
      </c>
      <c r="BU336" s="4652"/>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4689</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4690</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8173</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8541</v>
      </c>
      <c r="F341" s="1041" t="s">
        <v>1792</v>
      </c>
      <c r="G341" s="1042" t="s">
        <v>1793</v>
      </c>
      <c r="H341" s="1042" t="s">
        <v>1815</v>
      </c>
      <c r="I341" s="1043" t="s">
        <v>3467</v>
      </c>
      <c r="J341" s="1044"/>
      <c r="K341" s="1045"/>
      <c r="L341" s="1043" t="s">
        <v>3468</v>
      </c>
      <c r="M341" s="1044"/>
      <c r="N341" s="1045"/>
      <c r="O341" s="1043" t="s">
        <v>3469</v>
      </c>
      <c r="P341" s="1044"/>
      <c r="Q341" s="1045"/>
      <c r="R341" s="1046" t="s">
        <v>4666</v>
      </c>
      <c r="S341" s="1042" t="s">
        <v>3437</v>
      </c>
      <c r="T341" s="2368" t="s">
        <v>1711</v>
      </c>
      <c r="U341" s="2368" t="s">
        <v>1682</v>
      </c>
      <c r="V341" s="2368" t="s">
        <v>3470</v>
      </c>
      <c r="W341" s="4678" t="s">
        <v>3471</v>
      </c>
      <c r="X341" s="4678"/>
      <c r="Y341" s="4678"/>
      <c r="Z341" s="4678"/>
      <c r="AA341" s="4678"/>
      <c r="AB341" s="4678"/>
      <c r="AC341" s="4678"/>
      <c r="AD341" s="4678"/>
      <c r="AE341" s="4678"/>
      <c r="AF341" s="4678"/>
      <c r="AG341" s="4678"/>
      <c r="AH341" s="4678"/>
      <c r="AI341" s="4678"/>
      <c r="AJ341" s="4678"/>
      <c r="AK341" s="4678"/>
      <c r="AL341" s="4678"/>
      <c r="AM341" s="4678"/>
      <c r="AN341" s="4678"/>
      <c r="AO341" s="4678"/>
      <c r="AP341" s="4678"/>
      <c r="AQ341" s="4678"/>
      <c r="AR341" s="4678"/>
      <c r="AS341" s="4678"/>
      <c r="AT341" s="4678"/>
      <c r="AU341" s="4678"/>
      <c r="AV341" s="4678"/>
      <c r="AW341" s="4678"/>
      <c r="AX341" s="4678"/>
      <c r="AY341" s="4678"/>
      <c r="AZ341" s="4678"/>
      <c r="BA341" s="4678"/>
      <c r="BB341" s="4678"/>
      <c r="BC341" s="4678"/>
      <c r="BD341" s="4678"/>
      <c r="BE341" s="4678"/>
      <c r="BF341" s="4678"/>
      <c r="BG341" s="4678"/>
      <c r="BH341" s="4678"/>
      <c r="BI341" s="4678"/>
      <c r="BJ341" s="4678"/>
      <c r="BK341" s="4678" t="s">
        <v>3472</v>
      </c>
      <c r="BL341" s="4678"/>
      <c r="BM341" s="4679"/>
      <c r="BN341" s="1047" t="s">
        <v>4667</v>
      </c>
      <c r="BO341" s="1047" t="s">
        <v>4668</v>
      </c>
      <c r="BP341" s="1047" t="s">
        <v>4669</v>
      </c>
      <c r="BQ341" s="1047" t="s">
        <v>4670</v>
      </c>
      <c r="BR341" s="1047" t="s">
        <v>4671</v>
      </c>
      <c r="BS341" s="1048" t="s">
        <v>4672</v>
      </c>
      <c r="BT341" s="4653" t="s">
        <v>4673</v>
      </c>
      <c r="BU341" s="4654"/>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3448</v>
      </c>
      <c r="DW342" s="1524" t="s">
        <v>3434</v>
      </c>
      <c r="DX342" s="1525" t="s">
        <v>8176</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53" t="s">
        <v>4674</v>
      </c>
      <c r="BU343" s="4654"/>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70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57" t="s">
        <v>4675</v>
      </c>
      <c r="U344" s="4658"/>
      <c r="V344" s="4658"/>
      <c r="W344" s="4658"/>
      <c r="X344" s="4658"/>
      <c r="Y344" s="4658"/>
      <c r="Z344" s="4658"/>
      <c r="AA344" s="4658"/>
      <c r="AB344" s="4658"/>
      <c r="AC344" s="4658"/>
      <c r="AD344" s="4658"/>
      <c r="AE344" s="4658"/>
      <c r="AF344" s="4658"/>
      <c r="AG344" s="4658"/>
      <c r="AH344" s="4658"/>
      <c r="AI344" s="4658"/>
      <c r="AJ344" s="4658"/>
      <c r="AK344" s="4658"/>
      <c r="AL344" s="4658"/>
      <c r="AM344" s="4658"/>
      <c r="AN344" s="4658"/>
      <c r="AO344" s="4658"/>
      <c r="AP344" s="4658"/>
      <c r="AQ344" s="4658"/>
      <c r="AR344" s="4658"/>
      <c r="AS344" s="4658"/>
      <c r="AT344" s="4658"/>
      <c r="AU344" s="4658"/>
      <c r="AV344" s="4658"/>
      <c r="AW344" s="4658"/>
      <c r="AX344" s="4658"/>
      <c r="AY344" s="4658"/>
      <c r="AZ344" s="4658"/>
      <c r="BA344" s="4658"/>
      <c r="BB344" s="4658"/>
      <c r="BC344" s="4658"/>
      <c r="BD344" s="4658"/>
      <c r="BE344" s="4658"/>
      <c r="BF344" s="4658"/>
      <c r="BG344" s="4658"/>
      <c r="BH344" s="4658"/>
      <c r="BI344" s="4658"/>
      <c r="BJ344" s="4658"/>
      <c r="BK344" s="4659"/>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7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77"/>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701"/>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60"/>
      <c r="U345" s="4661"/>
      <c r="V345" s="2372" t="str">
        <f>IF(OR(V343=0,V343=""),"N/A",V343)</f>
        <v>N/A</v>
      </c>
      <c r="W345" s="4660" t="str">
        <f xml:space="preserve"> IF(OR(AF343=0,AF343=""),"N/A",W343)</f>
        <v>N/A</v>
      </c>
      <c r="X345" s="4662"/>
      <c r="Y345" s="4662"/>
      <c r="Z345" s="4662"/>
      <c r="AA345" s="4662"/>
      <c r="AB345" s="4662"/>
      <c r="AC345" s="4662"/>
      <c r="AD345" s="4662"/>
      <c r="AE345" s="4662"/>
      <c r="AF345" s="4661"/>
      <c r="AG345" s="4660" t="str">
        <f xml:space="preserve"> IF(OR(AP343="",AP343=0),"N/A",AG343)</f>
        <v>N/A</v>
      </c>
      <c r="AH345" s="4662"/>
      <c r="AI345" s="4662"/>
      <c r="AJ345" s="4662"/>
      <c r="AK345" s="4662"/>
      <c r="AL345" s="4662"/>
      <c r="AM345" s="4662"/>
      <c r="AN345" s="4662"/>
      <c r="AO345" s="4662"/>
      <c r="AP345" s="4661"/>
      <c r="AQ345" s="4660" t="str">
        <f xml:space="preserve"> IF(OR(AZ343="",AZ343=0),"N/A",AQ343)</f>
        <v>N/A</v>
      </c>
      <c r="AR345" s="4662"/>
      <c r="AS345" s="4662"/>
      <c r="AT345" s="4662"/>
      <c r="AU345" s="4662"/>
      <c r="AV345" s="4662"/>
      <c r="AW345" s="4662"/>
      <c r="AX345" s="4662"/>
      <c r="AY345" s="4662"/>
      <c r="AZ345" s="4661"/>
      <c r="BA345" s="4660" t="str">
        <f xml:space="preserve"> IF(OR(BJ343="",BJ343=0),"N/A",BA343)</f>
        <v>N/A</v>
      </c>
      <c r="BB345" s="4662"/>
      <c r="BC345" s="4662"/>
      <c r="BD345" s="4662"/>
      <c r="BE345" s="4662"/>
      <c r="BF345" s="4662"/>
      <c r="BG345" s="4662"/>
      <c r="BH345" s="4662"/>
      <c r="BI345" s="4662"/>
      <c r="BJ345" s="4661"/>
      <c r="BK345" s="1085" t="s">
        <v>4676</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701"/>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74" t="s">
        <v>4677</v>
      </c>
      <c r="U346" s="4675"/>
      <c r="V346" s="2373"/>
      <c r="W346" s="4643"/>
      <c r="X346" s="4644"/>
      <c r="Y346" s="4644"/>
      <c r="Z346" s="4644"/>
      <c r="AA346" s="4644"/>
      <c r="AB346" s="4644"/>
      <c r="AC346" s="4644"/>
      <c r="AD346" s="4644"/>
      <c r="AE346" s="4644"/>
      <c r="AF346" s="4645"/>
      <c r="AG346" s="4643"/>
      <c r="AH346" s="4644"/>
      <c r="AI346" s="4644"/>
      <c r="AJ346" s="4644"/>
      <c r="AK346" s="4644"/>
      <c r="AL346" s="4644"/>
      <c r="AM346" s="4644"/>
      <c r="AN346" s="4644"/>
      <c r="AO346" s="4644"/>
      <c r="AP346" s="4645"/>
      <c r="AQ346" s="4643"/>
      <c r="AR346" s="4644"/>
      <c r="AS346" s="4644"/>
      <c r="AT346" s="4644"/>
      <c r="AU346" s="4644"/>
      <c r="AV346" s="4644"/>
      <c r="AW346" s="4644"/>
      <c r="AX346" s="4644"/>
      <c r="AY346" s="4644"/>
      <c r="AZ346" s="4645"/>
      <c r="BA346" s="4643"/>
      <c r="BB346" s="4644"/>
      <c r="BC346" s="4644"/>
      <c r="BD346" s="4644"/>
      <c r="BE346" s="4644"/>
      <c r="BF346" s="4644"/>
      <c r="BG346" s="4644"/>
      <c r="BH346" s="4644"/>
      <c r="BI346" s="4644"/>
      <c r="BJ346" s="4645"/>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53" t="s">
        <v>4678</v>
      </c>
      <c r="BU346" s="4654"/>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701"/>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63" t="s">
        <v>4679</v>
      </c>
      <c r="U347" s="4664"/>
      <c r="V347" s="2371"/>
      <c r="W347" s="4665"/>
      <c r="X347" s="4666"/>
      <c r="Y347" s="4666"/>
      <c r="Z347" s="4666"/>
      <c r="AA347" s="4666"/>
      <c r="AB347" s="4666"/>
      <c r="AC347" s="4666"/>
      <c r="AD347" s="4666"/>
      <c r="AE347" s="4666"/>
      <c r="AF347" s="4667"/>
      <c r="AG347" s="4665"/>
      <c r="AH347" s="4666"/>
      <c r="AI347" s="4666"/>
      <c r="AJ347" s="4666"/>
      <c r="AK347" s="4666"/>
      <c r="AL347" s="4666"/>
      <c r="AM347" s="4666"/>
      <c r="AN347" s="4666"/>
      <c r="AO347" s="4666"/>
      <c r="AP347" s="4667"/>
      <c r="AQ347" s="4665"/>
      <c r="AR347" s="4666"/>
      <c r="AS347" s="4666"/>
      <c r="AT347" s="4666"/>
      <c r="AU347" s="4666"/>
      <c r="AV347" s="4666"/>
      <c r="AW347" s="4666"/>
      <c r="AX347" s="4666"/>
      <c r="AY347" s="4666"/>
      <c r="AZ347" s="4667"/>
      <c r="BA347" s="4665"/>
      <c r="BB347" s="4666"/>
      <c r="BC347" s="4666"/>
      <c r="BD347" s="4666"/>
      <c r="BE347" s="4666"/>
      <c r="BF347" s="4666"/>
      <c r="BG347" s="4666"/>
      <c r="BH347" s="4666"/>
      <c r="BI347" s="4666"/>
      <c r="BJ347" s="4667"/>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5" t="s">
        <v>1693</v>
      </c>
      <c r="BU347" s="4656"/>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701"/>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53" t="s">
        <v>4680</v>
      </c>
      <c r="BU348" s="4654"/>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5" t="s">
        <v>4660</v>
      </c>
      <c r="BU349" s="4656"/>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57" t="s">
        <v>4675</v>
      </c>
      <c r="U350" s="4658"/>
      <c r="V350" s="4658"/>
      <c r="W350" s="4658"/>
      <c r="X350" s="4658"/>
      <c r="Y350" s="4658"/>
      <c r="Z350" s="4658"/>
      <c r="AA350" s="4658"/>
      <c r="AB350" s="4658"/>
      <c r="AC350" s="4658"/>
      <c r="AD350" s="4658"/>
      <c r="AE350" s="4658"/>
      <c r="AF350" s="4658"/>
      <c r="AG350" s="4658"/>
      <c r="AH350" s="4658"/>
      <c r="AI350" s="4658"/>
      <c r="AJ350" s="4658"/>
      <c r="AK350" s="4658"/>
      <c r="AL350" s="4658"/>
      <c r="AM350" s="4658"/>
      <c r="AN350" s="4658"/>
      <c r="AO350" s="4658"/>
      <c r="AP350" s="4658"/>
      <c r="AQ350" s="4658"/>
      <c r="AR350" s="4658"/>
      <c r="AS350" s="4658"/>
      <c r="AT350" s="4658"/>
      <c r="AU350" s="4658"/>
      <c r="AV350" s="4658"/>
      <c r="AW350" s="4658"/>
      <c r="AX350" s="4658"/>
      <c r="AY350" s="4658"/>
      <c r="AZ350" s="4658"/>
      <c r="BA350" s="4658"/>
      <c r="BB350" s="4658"/>
      <c r="BC350" s="4658"/>
      <c r="BD350" s="4658"/>
      <c r="BE350" s="4658"/>
      <c r="BF350" s="4658"/>
      <c r="BG350" s="4658"/>
      <c r="BH350" s="4658"/>
      <c r="BI350" s="4658"/>
      <c r="BJ350" s="4658"/>
      <c r="BK350" s="4659"/>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53" t="s">
        <v>4681</v>
      </c>
      <c r="BU350" s="4654"/>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60"/>
      <c r="U351" s="4661"/>
      <c r="V351" s="2372" t="str">
        <f>IF(OR(V349=0,V349=""),"N/A",V349)</f>
        <v>N/A</v>
      </c>
      <c r="W351" s="4660" t="str">
        <f xml:space="preserve"> IF(OR(AF349=0,AF349=""),"N/A",W349)</f>
        <v>N/A</v>
      </c>
      <c r="X351" s="4662"/>
      <c r="Y351" s="4662"/>
      <c r="Z351" s="4662"/>
      <c r="AA351" s="4662"/>
      <c r="AB351" s="4662"/>
      <c r="AC351" s="4662"/>
      <c r="AD351" s="4662"/>
      <c r="AE351" s="4662"/>
      <c r="AF351" s="4661"/>
      <c r="AG351" s="4660" t="str">
        <f xml:space="preserve"> IF(OR(AP349="",AP349=0),"N/A",AG349)</f>
        <v>N/A</v>
      </c>
      <c r="AH351" s="4662"/>
      <c r="AI351" s="4662"/>
      <c r="AJ351" s="4662"/>
      <c r="AK351" s="4662"/>
      <c r="AL351" s="4662"/>
      <c r="AM351" s="4662"/>
      <c r="AN351" s="4662"/>
      <c r="AO351" s="4662"/>
      <c r="AP351" s="4661"/>
      <c r="AQ351" s="4660" t="str">
        <f xml:space="preserve"> IF(OR(AZ349="",AZ349=0),"N/A",AQ349)</f>
        <v>N/A</v>
      </c>
      <c r="AR351" s="4662"/>
      <c r="AS351" s="4662"/>
      <c r="AT351" s="4662"/>
      <c r="AU351" s="4662"/>
      <c r="AV351" s="4662"/>
      <c r="AW351" s="4662"/>
      <c r="AX351" s="4662"/>
      <c r="AY351" s="4662"/>
      <c r="AZ351" s="4661"/>
      <c r="BA351" s="4660" t="str">
        <f xml:space="preserve"> IF(OR(BJ349="",BJ349=0),"N/A",BA349)</f>
        <v>N/A</v>
      </c>
      <c r="BB351" s="4662"/>
      <c r="BC351" s="4662"/>
      <c r="BD351" s="4662"/>
      <c r="BE351" s="4662"/>
      <c r="BF351" s="4662"/>
      <c r="BG351" s="4662"/>
      <c r="BH351" s="4662"/>
      <c r="BI351" s="4662"/>
      <c r="BJ351" s="4661"/>
      <c r="BK351" s="1085" t="s">
        <v>4676</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5" t="s">
        <v>4654</v>
      </c>
      <c r="BU351" s="4656"/>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74" t="s">
        <v>4677</v>
      </c>
      <c r="U352" s="4675"/>
      <c r="V352" s="2373"/>
      <c r="W352" s="4643"/>
      <c r="X352" s="4644"/>
      <c r="Y352" s="4644"/>
      <c r="Z352" s="4644"/>
      <c r="AA352" s="4644"/>
      <c r="AB352" s="4644"/>
      <c r="AC352" s="4644"/>
      <c r="AD352" s="4644"/>
      <c r="AE352" s="4644"/>
      <c r="AF352" s="4645"/>
      <c r="AG352" s="4643"/>
      <c r="AH352" s="4644"/>
      <c r="AI352" s="4644"/>
      <c r="AJ352" s="4644"/>
      <c r="AK352" s="4644"/>
      <c r="AL352" s="4644"/>
      <c r="AM352" s="4644"/>
      <c r="AN352" s="4644"/>
      <c r="AO352" s="4644"/>
      <c r="AP352" s="4645"/>
      <c r="AQ352" s="4643"/>
      <c r="AR352" s="4644"/>
      <c r="AS352" s="4644"/>
      <c r="AT352" s="4644"/>
      <c r="AU352" s="4644"/>
      <c r="AV352" s="4644"/>
      <c r="AW352" s="4644"/>
      <c r="AX352" s="4644"/>
      <c r="AY352" s="4644"/>
      <c r="AZ352" s="4645"/>
      <c r="BA352" s="4643"/>
      <c r="BB352" s="4644"/>
      <c r="BC352" s="4644"/>
      <c r="BD352" s="4644"/>
      <c r="BE352" s="4644"/>
      <c r="BF352" s="4644"/>
      <c r="BG352" s="4644"/>
      <c r="BH352" s="4644"/>
      <c r="BI352" s="4644"/>
      <c r="BJ352" s="4645"/>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41" t="s">
        <v>4682</v>
      </c>
      <c r="BU352" s="4642"/>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63" t="s">
        <v>4679</v>
      </c>
      <c r="U353" s="4664"/>
      <c r="V353" s="2371"/>
      <c r="W353" s="4665"/>
      <c r="X353" s="4666"/>
      <c r="Y353" s="4666"/>
      <c r="Z353" s="4666"/>
      <c r="AA353" s="4666"/>
      <c r="AB353" s="4666"/>
      <c r="AC353" s="4666"/>
      <c r="AD353" s="4666"/>
      <c r="AE353" s="4666"/>
      <c r="AF353" s="4667"/>
      <c r="AG353" s="4665"/>
      <c r="AH353" s="4666"/>
      <c r="AI353" s="4666"/>
      <c r="AJ353" s="4666"/>
      <c r="AK353" s="4666"/>
      <c r="AL353" s="4666"/>
      <c r="AM353" s="4666"/>
      <c r="AN353" s="4666"/>
      <c r="AO353" s="4666"/>
      <c r="AP353" s="4667"/>
      <c r="AQ353" s="4665"/>
      <c r="AR353" s="4666"/>
      <c r="AS353" s="4666"/>
      <c r="AT353" s="4666"/>
      <c r="AU353" s="4666"/>
      <c r="AV353" s="4666"/>
      <c r="AW353" s="4666"/>
      <c r="AX353" s="4666"/>
      <c r="AY353" s="4666"/>
      <c r="AZ353" s="4667"/>
      <c r="BA353" s="4665"/>
      <c r="BB353" s="4666"/>
      <c r="BC353" s="4666"/>
      <c r="BD353" s="4666"/>
      <c r="BE353" s="4666"/>
      <c r="BF353" s="4666"/>
      <c r="BG353" s="4666"/>
      <c r="BH353" s="4666"/>
      <c r="BI353" s="4666"/>
      <c r="BJ353" s="4667"/>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4683</v>
      </c>
      <c r="BV355" s="1049"/>
      <c r="BW355" s="2365" t="s">
        <v>4684</v>
      </c>
      <c r="BX355" s="2364" t="s">
        <v>4685</v>
      </c>
      <c r="BY355" s="1397" t="s">
        <v>4685</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57" t="s">
        <v>4675</v>
      </c>
      <c r="U356" s="4658"/>
      <c r="V356" s="4658"/>
      <c r="W356" s="4658"/>
      <c r="X356" s="4658"/>
      <c r="Y356" s="4658"/>
      <c r="Z356" s="4658"/>
      <c r="AA356" s="4658"/>
      <c r="AB356" s="4658"/>
      <c r="AC356" s="4658"/>
      <c r="AD356" s="4658"/>
      <c r="AE356" s="4658"/>
      <c r="AF356" s="4658"/>
      <c r="AG356" s="4658"/>
      <c r="AH356" s="4658"/>
      <c r="AI356" s="4658"/>
      <c r="AJ356" s="4658"/>
      <c r="AK356" s="4658"/>
      <c r="AL356" s="4658"/>
      <c r="AM356" s="4658"/>
      <c r="AN356" s="4658"/>
      <c r="AO356" s="4658"/>
      <c r="AP356" s="4658"/>
      <c r="AQ356" s="4658"/>
      <c r="AR356" s="4658"/>
      <c r="AS356" s="4658"/>
      <c r="AT356" s="4658"/>
      <c r="AU356" s="4658"/>
      <c r="AV356" s="4658"/>
      <c r="AW356" s="4658"/>
      <c r="AX356" s="4658"/>
      <c r="AY356" s="4658"/>
      <c r="AZ356" s="4658"/>
      <c r="BA356" s="4658"/>
      <c r="BB356" s="4658"/>
      <c r="BC356" s="4658"/>
      <c r="BD356" s="4658"/>
      <c r="BE356" s="4658"/>
      <c r="BF356" s="4658"/>
      <c r="BG356" s="4658"/>
      <c r="BH356" s="4658"/>
      <c r="BI356" s="4658"/>
      <c r="BJ356" s="4658"/>
      <c r="BK356" s="4659"/>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60"/>
      <c r="U357" s="4661"/>
      <c r="V357" s="2372" t="str">
        <f>IF(OR(V355=0,V355=""),"N/A",V355)</f>
        <v>N/A</v>
      </c>
      <c r="W357" s="4660" t="str">
        <f xml:space="preserve"> IF(OR(AF355=0,AF355=""),"N/A",W355)</f>
        <v>N/A</v>
      </c>
      <c r="X357" s="4662"/>
      <c r="Y357" s="4662"/>
      <c r="Z357" s="4662"/>
      <c r="AA357" s="4662"/>
      <c r="AB357" s="4662"/>
      <c r="AC357" s="4662"/>
      <c r="AD357" s="4662"/>
      <c r="AE357" s="4662"/>
      <c r="AF357" s="4661"/>
      <c r="AG357" s="4660" t="str">
        <f xml:space="preserve"> IF(OR(AP355="",AP355=0),"N/A",AG355)</f>
        <v>N/A</v>
      </c>
      <c r="AH357" s="4662"/>
      <c r="AI357" s="4662"/>
      <c r="AJ357" s="4662"/>
      <c r="AK357" s="4662"/>
      <c r="AL357" s="4662"/>
      <c r="AM357" s="4662"/>
      <c r="AN357" s="4662"/>
      <c r="AO357" s="4662"/>
      <c r="AP357" s="4661"/>
      <c r="AQ357" s="4660" t="str">
        <f xml:space="preserve"> IF(OR(AZ355="",AZ355=0),"N/A",AQ355)</f>
        <v>N/A</v>
      </c>
      <c r="AR357" s="4662"/>
      <c r="AS357" s="4662"/>
      <c r="AT357" s="4662"/>
      <c r="AU357" s="4662"/>
      <c r="AV357" s="4662"/>
      <c r="AW357" s="4662"/>
      <c r="AX357" s="4662"/>
      <c r="AY357" s="4662"/>
      <c r="AZ357" s="4661"/>
      <c r="BA357" s="4660" t="str">
        <f xml:space="preserve"> IF(OR(BJ355="",BJ355=0),"N/A",BA355)</f>
        <v>N/A</v>
      </c>
      <c r="BB357" s="4662"/>
      <c r="BC357" s="4662"/>
      <c r="BD357" s="4662"/>
      <c r="BE357" s="4662"/>
      <c r="BF357" s="4662"/>
      <c r="BG357" s="4662"/>
      <c r="BH357" s="4662"/>
      <c r="BI357" s="4662"/>
      <c r="BJ357" s="4661"/>
      <c r="BK357" s="1085" t="s">
        <v>4676</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4683</v>
      </c>
      <c r="BV357" s="1049"/>
      <c r="BW357" s="2365" t="s">
        <v>4684</v>
      </c>
      <c r="BX357" s="2364" t="s">
        <v>4685</v>
      </c>
      <c r="BY357" s="1398" t="s">
        <v>4685</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74" t="s">
        <v>4677</v>
      </c>
      <c r="U358" s="4675"/>
      <c r="V358" s="2373"/>
      <c r="W358" s="4643"/>
      <c r="X358" s="4644"/>
      <c r="Y358" s="4644"/>
      <c r="Z358" s="4644"/>
      <c r="AA358" s="4644"/>
      <c r="AB358" s="4644"/>
      <c r="AC358" s="4644"/>
      <c r="AD358" s="4644"/>
      <c r="AE358" s="4644"/>
      <c r="AF358" s="4645"/>
      <c r="AG358" s="4643"/>
      <c r="AH358" s="4644"/>
      <c r="AI358" s="4644"/>
      <c r="AJ358" s="4644"/>
      <c r="AK358" s="4644"/>
      <c r="AL358" s="4644"/>
      <c r="AM358" s="4644"/>
      <c r="AN358" s="4644"/>
      <c r="AO358" s="4644"/>
      <c r="AP358" s="4645"/>
      <c r="AQ358" s="4643"/>
      <c r="AR358" s="4644"/>
      <c r="AS358" s="4644"/>
      <c r="AT358" s="4644"/>
      <c r="AU358" s="4644"/>
      <c r="AV358" s="4644"/>
      <c r="AW358" s="4644"/>
      <c r="AX358" s="4644"/>
      <c r="AY358" s="4644"/>
      <c r="AZ358" s="4645"/>
      <c r="BA358" s="4643"/>
      <c r="BB358" s="4644"/>
      <c r="BC358" s="4644"/>
      <c r="BD358" s="4644"/>
      <c r="BE358" s="4644"/>
      <c r="BF358" s="4644"/>
      <c r="BG358" s="4644"/>
      <c r="BH358" s="4644"/>
      <c r="BI358" s="4644"/>
      <c r="BJ358" s="4645"/>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63" t="s">
        <v>4679</v>
      </c>
      <c r="U359" s="4664"/>
      <c r="V359" s="2371"/>
      <c r="W359" s="4665"/>
      <c r="X359" s="4666"/>
      <c r="Y359" s="4666"/>
      <c r="Z359" s="4666"/>
      <c r="AA359" s="4666"/>
      <c r="AB359" s="4666"/>
      <c r="AC359" s="4666"/>
      <c r="AD359" s="4666"/>
      <c r="AE359" s="4666"/>
      <c r="AF359" s="4667"/>
      <c r="AG359" s="4665"/>
      <c r="AH359" s="4666"/>
      <c r="AI359" s="4666"/>
      <c r="AJ359" s="4666"/>
      <c r="AK359" s="4666"/>
      <c r="AL359" s="4666"/>
      <c r="AM359" s="4666"/>
      <c r="AN359" s="4666"/>
      <c r="AO359" s="4666"/>
      <c r="AP359" s="4667"/>
      <c r="AQ359" s="4665"/>
      <c r="AR359" s="4666"/>
      <c r="AS359" s="4666"/>
      <c r="AT359" s="4666"/>
      <c r="AU359" s="4666"/>
      <c r="AV359" s="4666"/>
      <c r="AW359" s="4666"/>
      <c r="AX359" s="4666"/>
      <c r="AY359" s="4666"/>
      <c r="AZ359" s="4667"/>
      <c r="BA359" s="4665"/>
      <c r="BB359" s="4666"/>
      <c r="BC359" s="4666"/>
      <c r="BD359" s="4666"/>
      <c r="BE359" s="4666"/>
      <c r="BF359" s="4666"/>
      <c r="BG359" s="4666"/>
      <c r="BH359" s="4666"/>
      <c r="BI359" s="4666"/>
      <c r="BJ359" s="4667"/>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4683</v>
      </c>
      <c r="BV359" s="1049"/>
      <c r="BW359" s="2365" t="s">
        <v>4684</v>
      </c>
      <c r="BX359" s="2364" t="s">
        <v>4685</v>
      </c>
      <c r="BY359" s="1398" t="s">
        <v>4685</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4683</v>
      </c>
      <c r="BV361" s="1049"/>
      <c r="BW361" s="2365" t="s">
        <v>4684</v>
      </c>
      <c r="BX361" s="2364" t="s">
        <v>4685</v>
      </c>
      <c r="BY361" s="1398" t="s">
        <v>4685</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57" t="s">
        <v>4675</v>
      </c>
      <c r="U362" s="4658"/>
      <c r="V362" s="4658"/>
      <c r="W362" s="4658"/>
      <c r="X362" s="4658"/>
      <c r="Y362" s="4658"/>
      <c r="Z362" s="4658"/>
      <c r="AA362" s="4658"/>
      <c r="AB362" s="4658"/>
      <c r="AC362" s="4658"/>
      <c r="AD362" s="4658"/>
      <c r="AE362" s="4658"/>
      <c r="AF362" s="4658"/>
      <c r="AG362" s="4658"/>
      <c r="AH362" s="4658"/>
      <c r="AI362" s="4658"/>
      <c r="AJ362" s="4658"/>
      <c r="AK362" s="4658"/>
      <c r="AL362" s="4658"/>
      <c r="AM362" s="4658"/>
      <c r="AN362" s="4658"/>
      <c r="AO362" s="4658"/>
      <c r="AP362" s="4658"/>
      <c r="AQ362" s="4658"/>
      <c r="AR362" s="4658"/>
      <c r="AS362" s="4658"/>
      <c r="AT362" s="4658"/>
      <c r="AU362" s="4658"/>
      <c r="AV362" s="4658"/>
      <c r="AW362" s="4658"/>
      <c r="AX362" s="4658"/>
      <c r="AY362" s="4658"/>
      <c r="AZ362" s="4658"/>
      <c r="BA362" s="4658"/>
      <c r="BB362" s="4658"/>
      <c r="BC362" s="4658"/>
      <c r="BD362" s="4658"/>
      <c r="BE362" s="4658"/>
      <c r="BF362" s="4658"/>
      <c r="BG362" s="4658"/>
      <c r="BH362" s="4658"/>
      <c r="BI362" s="4658"/>
      <c r="BJ362" s="4658"/>
      <c r="BK362" s="4659"/>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60"/>
      <c r="U363" s="4661"/>
      <c r="V363" s="2372" t="str">
        <f>IF(OR(V361=0,V361=""),"N/A",V361)</f>
        <v>N/A</v>
      </c>
      <c r="W363" s="4660" t="str">
        <f xml:space="preserve"> IF(OR(AF361=0,AF361=""),"N/A",W361)</f>
        <v>N/A</v>
      </c>
      <c r="X363" s="4662"/>
      <c r="Y363" s="4662"/>
      <c r="Z363" s="4662"/>
      <c r="AA363" s="4662"/>
      <c r="AB363" s="4662"/>
      <c r="AC363" s="4662"/>
      <c r="AD363" s="4662"/>
      <c r="AE363" s="4662"/>
      <c r="AF363" s="4661"/>
      <c r="AG363" s="4660" t="str">
        <f xml:space="preserve"> IF(OR(AP361="",AP361=0),"N/A",AG361)</f>
        <v>N/A</v>
      </c>
      <c r="AH363" s="4662"/>
      <c r="AI363" s="4662"/>
      <c r="AJ363" s="4662"/>
      <c r="AK363" s="4662"/>
      <c r="AL363" s="4662"/>
      <c r="AM363" s="4662"/>
      <c r="AN363" s="4662"/>
      <c r="AO363" s="4662"/>
      <c r="AP363" s="4661"/>
      <c r="AQ363" s="4660" t="str">
        <f xml:space="preserve"> IF(OR(AZ361="",AZ361=0),"N/A",AQ361)</f>
        <v>N/A</v>
      </c>
      <c r="AR363" s="4662"/>
      <c r="AS363" s="4662"/>
      <c r="AT363" s="4662"/>
      <c r="AU363" s="4662"/>
      <c r="AV363" s="4662"/>
      <c r="AW363" s="4662"/>
      <c r="AX363" s="4662"/>
      <c r="AY363" s="4662"/>
      <c r="AZ363" s="4661"/>
      <c r="BA363" s="4660" t="str">
        <f xml:space="preserve"> IF(OR(BJ361="",BJ361=0),"N/A",BA361)</f>
        <v>N/A</v>
      </c>
      <c r="BB363" s="4662"/>
      <c r="BC363" s="4662"/>
      <c r="BD363" s="4662"/>
      <c r="BE363" s="4662"/>
      <c r="BF363" s="4662"/>
      <c r="BG363" s="4662"/>
      <c r="BH363" s="4662"/>
      <c r="BI363" s="4662"/>
      <c r="BJ363" s="4661"/>
      <c r="BK363" s="1085" t="s">
        <v>4676</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4683</v>
      </c>
      <c r="BV363" s="1049"/>
      <c r="BW363" s="2365" t="s">
        <v>4684</v>
      </c>
      <c r="BX363" s="2364" t="s">
        <v>4685</v>
      </c>
      <c r="BY363" s="1398" t="s">
        <v>4685</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74" t="s">
        <v>4677</v>
      </c>
      <c r="U364" s="4675"/>
      <c r="V364" s="2373"/>
      <c r="W364" s="4643"/>
      <c r="X364" s="4644"/>
      <c r="Y364" s="4644"/>
      <c r="Z364" s="4644"/>
      <c r="AA364" s="4644"/>
      <c r="AB364" s="4644"/>
      <c r="AC364" s="4644"/>
      <c r="AD364" s="4644"/>
      <c r="AE364" s="4644"/>
      <c r="AF364" s="4645"/>
      <c r="AG364" s="4643"/>
      <c r="AH364" s="4644"/>
      <c r="AI364" s="4644"/>
      <c r="AJ364" s="4644"/>
      <c r="AK364" s="4644"/>
      <c r="AL364" s="4644"/>
      <c r="AM364" s="4644"/>
      <c r="AN364" s="4644"/>
      <c r="AO364" s="4644"/>
      <c r="AP364" s="4645"/>
      <c r="AQ364" s="4643"/>
      <c r="AR364" s="4644"/>
      <c r="AS364" s="4644"/>
      <c r="AT364" s="4644"/>
      <c r="AU364" s="4644"/>
      <c r="AV364" s="4644"/>
      <c r="AW364" s="4644"/>
      <c r="AX364" s="4644"/>
      <c r="AY364" s="4644"/>
      <c r="AZ364" s="4645"/>
      <c r="BA364" s="4643"/>
      <c r="BB364" s="4644"/>
      <c r="BC364" s="4644"/>
      <c r="BD364" s="4644"/>
      <c r="BE364" s="4644"/>
      <c r="BF364" s="4644"/>
      <c r="BG364" s="4644"/>
      <c r="BH364" s="4644"/>
      <c r="BI364" s="4644"/>
      <c r="BJ364" s="4645"/>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63" t="s">
        <v>4679</v>
      </c>
      <c r="U365" s="4664"/>
      <c r="V365" s="2371"/>
      <c r="W365" s="4665"/>
      <c r="X365" s="4666"/>
      <c r="Y365" s="4666"/>
      <c r="Z365" s="4666"/>
      <c r="AA365" s="4666"/>
      <c r="AB365" s="4666"/>
      <c r="AC365" s="4666"/>
      <c r="AD365" s="4666"/>
      <c r="AE365" s="4666"/>
      <c r="AF365" s="4667"/>
      <c r="AG365" s="4665"/>
      <c r="AH365" s="4666"/>
      <c r="AI365" s="4666"/>
      <c r="AJ365" s="4666"/>
      <c r="AK365" s="4666"/>
      <c r="AL365" s="4666"/>
      <c r="AM365" s="4666"/>
      <c r="AN365" s="4666"/>
      <c r="AO365" s="4666"/>
      <c r="AP365" s="4667"/>
      <c r="AQ365" s="4665"/>
      <c r="AR365" s="4666"/>
      <c r="AS365" s="4666"/>
      <c r="AT365" s="4666"/>
      <c r="AU365" s="4666"/>
      <c r="AV365" s="4666"/>
      <c r="AW365" s="4666"/>
      <c r="AX365" s="4666"/>
      <c r="AY365" s="4666"/>
      <c r="AZ365" s="4667"/>
      <c r="BA365" s="4665"/>
      <c r="BB365" s="4666"/>
      <c r="BC365" s="4666"/>
      <c r="BD365" s="4666"/>
      <c r="BE365" s="4666"/>
      <c r="BF365" s="4666"/>
      <c r="BG365" s="4666"/>
      <c r="BH365" s="4666"/>
      <c r="BI365" s="4666"/>
      <c r="BJ365" s="4667"/>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4683</v>
      </c>
      <c r="BV365" s="1049"/>
      <c r="BW365" s="2365" t="s">
        <v>4684</v>
      </c>
      <c r="BX365" s="2364" t="s">
        <v>4685</v>
      </c>
      <c r="BY365" s="1398" t="s">
        <v>4685</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6"/>
      <c r="BV367" s="4646"/>
      <c r="BW367" s="4646"/>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57" t="s">
        <v>4675</v>
      </c>
      <c r="U368" s="4658"/>
      <c r="V368" s="4658"/>
      <c r="W368" s="4658"/>
      <c r="X368" s="4658"/>
      <c r="Y368" s="4658"/>
      <c r="Z368" s="4658"/>
      <c r="AA368" s="4658"/>
      <c r="AB368" s="4658"/>
      <c r="AC368" s="4658"/>
      <c r="AD368" s="4658"/>
      <c r="AE368" s="4658"/>
      <c r="AF368" s="4658"/>
      <c r="AG368" s="4658"/>
      <c r="AH368" s="4658"/>
      <c r="AI368" s="4658"/>
      <c r="AJ368" s="4658"/>
      <c r="AK368" s="4658"/>
      <c r="AL368" s="4658"/>
      <c r="AM368" s="4658"/>
      <c r="AN368" s="4658"/>
      <c r="AO368" s="4658"/>
      <c r="AP368" s="4658"/>
      <c r="AQ368" s="4658"/>
      <c r="AR368" s="4658"/>
      <c r="AS368" s="4658"/>
      <c r="AT368" s="4658"/>
      <c r="AU368" s="4658"/>
      <c r="AV368" s="4658"/>
      <c r="AW368" s="4658"/>
      <c r="AX368" s="4658"/>
      <c r="AY368" s="4658"/>
      <c r="AZ368" s="4658"/>
      <c r="BA368" s="4658"/>
      <c r="BB368" s="4658"/>
      <c r="BC368" s="4658"/>
      <c r="BD368" s="4658"/>
      <c r="BE368" s="4658"/>
      <c r="BF368" s="4658"/>
      <c r="BG368" s="4658"/>
      <c r="BH368" s="4658"/>
      <c r="BI368" s="4658"/>
      <c r="BJ368" s="4658"/>
      <c r="BK368" s="4659"/>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60"/>
      <c r="U369" s="4661"/>
      <c r="V369" s="2372" t="str">
        <f>IF(OR(V367=0,V367=""),"N/A",V367)</f>
        <v>N/A</v>
      </c>
      <c r="W369" s="4660" t="str">
        <f xml:space="preserve"> IF(OR(AF367=0,AF367=""),"N/A",W367)</f>
        <v>N/A</v>
      </c>
      <c r="X369" s="4662"/>
      <c r="Y369" s="4662"/>
      <c r="Z369" s="4662"/>
      <c r="AA369" s="4662"/>
      <c r="AB369" s="4662"/>
      <c r="AC369" s="4662"/>
      <c r="AD369" s="4662"/>
      <c r="AE369" s="4662"/>
      <c r="AF369" s="4661"/>
      <c r="AG369" s="4660" t="str">
        <f xml:space="preserve"> IF(OR(AP367="",AP367=0),"N/A",AG367)</f>
        <v>N/A</v>
      </c>
      <c r="AH369" s="4662"/>
      <c r="AI369" s="4662"/>
      <c r="AJ369" s="4662"/>
      <c r="AK369" s="4662"/>
      <c r="AL369" s="4662"/>
      <c r="AM369" s="4662"/>
      <c r="AN369" s="4662"/>
      <c r="AO369" s="4662"/>
      <c r="AP369" s="4661"/>
      <c r="AQ369" s="4660" t="str">
        <f xml:space="preserve"> IF(OR(AZ367="",AZ367=0),"N/A",AQ367)</f>
        <v>N/A</v>
      </c>
      <c r="AR369" s="4662"/>
      <c r="AS369" s="4662"/>
      <c r="AT369" s="4662"/>
      <c r="AU369" s="4662"/>
      <c r="AV369" s="4662"/>
      <c r="AW369" s="4662"/>
      <c r="AX369" s="4662"/>
      <c r="AY369" s="4662"/>
      <c r="AZ369" s="4661"/>
      <c r="BA369" s="4660" t="str">
        <f xml:space="preserve"> IF(OR(BJ367="",BJ367=0),"N/A",BA367)</f>
        <v>N/A</v>
      </c>
      <c r="BB369" s="4662"/>
      <c r="BC369" s="4662"/>
      <c r="BD369" s="4662"/>
      <c r="BE369" s="4662"/>
      <c r="BF369" s="4662"/>
      <c r="BG369" s="4662"/>
      <c r="BH369" s="4662"/>
      <c r="BI369" s="4662"/>
      <c r="BJ369" s="4661"/>
      <c r="BK369" s="1085" t="s">
        <v>4676</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708"/>
      <c r="BV369" s="4708"/>
      <c r="BW369" s="4708"/>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74" t="s">
        <v>4677</v>
      </c>
      <c r="U370" s="4675"/>
      <c r="V370" s="2373"/>
      <c r="W370" s="4643"/>
      <c r="X370" s="4644"/>
      <c r="Y370" s="4644"/>
      <c r="Z370" s="4644"/>
      <c r="AA370" s="4644"/>
      <c r="AB370" s="4644"/>
      <c r="AC370" s="4644"/>
      <c r="AD370" s="4644"/>
      <c r="AE370" s="4644"/>
      <c r="AF370" s="4645"/>
      <c r="AG370" s="4643"/>
      <c r="AH370" s="4644"/>
      <c r="AI370" s="4644"/>
      <c r="AJ370" s="4644"/>
      <c r="AK370" s="4644"/>
      <c r="AL370" s="4644"/>
      <c r="AM370" s="4644"/>
      <c r="AN370" s="4644"/>
      <c r="AO370" s="4644"/>
      <c r="AP370" s="4645"/>
      <c r="AQ370" s="4643"/>
      <c r="AR370" s="4644"/>
      <c r="AS370" s="4644"/>
      <c r="AT370" s="4644"/>
      <c r="AU370" s="4644"/>
      <c r="AV370" s="4644"/>
      <c r="AW370" s="4644"/>
      <c r="AX370" s="4644"/>
      <c r="AY370" s="4644"/>
      <c r="AZ370" s="4645"/>
      <c r="BA370" s="4643"/>
      <c r="BB370" s="4644"/>
      <c r="BC370" s="4644"/>
      <c r="BD370" s="4644"/>
      <c r="BE370" s="4644"/>
      <c r="BF370" s="4644"/>
      <c r="BG370" s="4644"/>
      <c r="BH370" s="4644"/>
      <c r="BI370" s="4644"/>
      <c r="BJ370" s="4645"/>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68" t="s">
        <v>4679</v>
      </c>
      <c r="U371" s="4669"/>
      <c r="V371" s="2376"/>
      <c r="W371" s="4670"/>
      <c r="X371" s="4671"/>
      <c r="Y371" s="4671"/>
      <c r="Z371" s="4671"/>
      <c r="AA371" s="4671"/>
      <c r="AB371" s="4671"/>
      <c r="AC371" s="4671"/>
      <c r="AD371" s="4671"/>
      <c r="AE371" s="4671"/>
      <c r="AF371" s="4672"/>
      <c r="AG371" s="4670"/>
      <c r="AH371" s="4671"/>
      <c r="AI371" s="4671"/>
      <c r="AJ371" s="4671"/>
      <c r="AK371" s="4671"/>
      <c r="AL371" s="4671"/>
      <c r="AM371" s="4671"/>
      <c r="AN371" s="4671"/>
      <c r="AO371" s="4671"/>
      <c r="AP371" s="4672"/>
      <c r="AQ371" s="4670"/>
      <c r="AR371" s="4671"/>
      <c r="AS371" s="4671"/>
      <c r="AT371" s="4671"/>
      <c r="AU371" s="4671"/>
      <c r="AV371" s="4671"/>
      <c r="AW371" s="4671"/>
      <c r="AX371" s="4671"/>
      <c r="AY371" s="4671"/>
      <c r="AZ371" s="4672"/>
      <c r="BA371" s="4670"/>
      <c r="BB371" s="4671"/>
      <c r="BC371" s="4671"/>
      <c r="BD371" s="4671"/>
      <c r="BE371" s="4671"/>
      <c r="BF371" s="4671"/>
      <c r="BG371" s="4671"/>
      <c r="BH371" s="4671"/>
      <c r="BI371" s="4671"/>
      <c r="BJ371" s="4672"/>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4686</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73"/>
      <c r="BL372" s="4673"/>
      <c r="BM372" s="4642"/>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41" t="s">
        <v>4688</v>
      </c>
      <c r="BU372" s="4642"/>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4687</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48" t="str">
        <f>IF(OR(E373='Tablas Técnicas'!A$678,E373='Tablas Técnicas'!A$679,E374='Tablas Técnicas'!A$678,E374='Tablas Técnicas'!A$679,E375='Tablas Técnicas'!A$678,E375='Tablas Técnicas'!A$679),"Selecciona la atadura elemental:","")</f>
        <v/>
      </c>
      <c r="AH373" s="4649"/>
      <c r="AI373" s="4649"/>
      <c r="AJ373" s="4649"/>
      <c r="AK373" s="4649"/>
      <c r="AL373" s="4649"/>
      <c r="AM373" s="4649"/>
      <c r="AN373" s="4649"/>
      <c r="AO373" s="4649"/>
      <c r="AP373" s="4649"/>
      <c r="AQ373" s="4649"/>
      <c r="AR373" s="4649"/>
      <c r="AS373" s="4649"/>
      <c r="AT373" s="4649"/>
      <c r="AU373" s="4649"/>
      <c r="AV373" s="4649"/>
      <c r="AW373" s="4649"/>
      <c r="AX373" s="4649"/>
      <c r="AY373" s="4649"/>
      <c r="AZ373" s="4649"/>
      <c r="BA373" s="4649"/>
      <c r="BB373" s="4649"/>
      <c r="BC373" s="4649"/>
      <c r="BD373" s="4649"/>
      <c r="BE373" s="4649"/>
      <c r="BF373" s="4649"/>
      <c r="BG373" s="4649"/>
      <c r="BH373" s="4649"/>
      <c r="BI373" s="4649"/>
      <c r="BJ373" s="4649"/>
      <c r="BK373" s="4650"/>
      <c r="BL373" s="1540"/>
      <c r="BM373" s="1540"/>
      <c r="BN373" s="1084"/>
      <c r="BO373" s="1084"/>
      <c r="BP373" s="1117"/>
      <c r="BQ373" s="1084"/>
      <c r="BR373" s="1084"/>
      <c r="BS373" s="1084"/>
      <c r="BT373" s="4651">
        <f>D341</f>
        <v>1</v>
      </c>
      <c r="BU373" s="4652"/>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4689</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4690</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77" priority="1311" stopIfTrue="1">
      <formula>$BT40&lt;2</formula>
    </cfRule>
  </conditionalFormatting>
  <conditionalFormatting sqref="E42">
    <cfRule type="expression" dxfId="376" priority="1321" stopIfTrue="1">
      <formula>$BT40&lt;3</formula>
    </cfRule>
  </conditionalFormatting>
  <conditionalFormatting sqref="BT11:BU11">
    <cfRule type="cellIs" dxfId="375" priority="903" operator="greaterThan">
      <formula>$BT9</formula>
    </cfRule>
  </conditionalFormatting>
  <conditionalFormatting sqref="AG40:AV40">
    <cfRule type="expression" dxfId="374"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73" priority="637">
      <formula>OR($D8&lt;1,$D8&gt;3)</formula>
    </cfRule>
  </conditionalFormatting>
  <conditionalFormatting sqref="S10:S43 S117 S191 S265 S339">
    <cfRule type="cellIs" dxfId="372" priority="2142" stopIfTrue="1" operator="greaterThan">
      <formula>$EA10</formula>
    </cfRule>
  </conditionalFormatting>
  <conditionalFormatting sqref="BC40:BK40 AY40">
    <cfRule type="expression" dxfId="371"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70"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69"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68"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67"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66"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65" priority="240">
      <formula>NOT(ISNUMBER(SEARCH(BL40,BK10&amp;BL10&amp;BM10&amp;BM16&amp;BL16&amp;BK16&amp;BK22&amp;BL22&amp;BM22&amp;BK28&amp;BL28&amp;BM28&amp;BK34&amp;BL34&amp;BM34)))</formula>
    </cfRule>
  </conditionalFormatting>
  <conditionalFormatting sqref="BM40">
    <cfRule type="expression" dxfId="364" priority="239">
      <formula>NOT(ISNUMBER(SEARCH(BM40,BK10&amp;BL10&amp;BM10&amp;BM16&amp;BL16&amp;BK16&amp;BK22&amp;BL22&amp;BM22&amp;BK28&amp;BL28&amp;BM28&amp;BK34&amp;BL34&amp;BM34)))</formula>
    </cfRule>
  </conditionalFormatting>
  <conditionalFormatting sqref="E226">
    <cfRule type="expression" dxfId="363" priority="174" stopIfTrue="1">
      <formula>$BT225&lt;2</formula>
    </cfRule>
  </conditionalFormatting>
  <conditionalFormatting sqref="E227">
    <cfRule type="expression" dxfId="362" priority="175" stopIfTrue="1">
      <formula>$BT225&lt;3</formula>
    </cfRule>
  </conditionalFormatting>
  <conditionalFormatting sqref="BT196:BU196">
    <cfRule type="cellIs" dxfId="361" priority="173" operator="greaterThan">
      <formula>$BT194</formula>
    </cfRule>
  </conditionalFormatting>
  <conditionalFormatting sqref="AG225:AV225">
    <cfRule type="expression" dxfId="360"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59" priority="171">
      <formula>OR($D193&lt;1,$D193&gt;3)</formula>
    </cfRule>
  </conditionalFormatting>
  <conditionalFormatting sqref="S195:S227">
    <cfRule type="cellIs" dxfId="358" priority="176" stopIfTrue="1" operator="greaterThan">
      <formula>$EA195</formula>
    </cfRule>
  </conditionalFormatting>
  <conditionalFormatting sqref="BC225:BK225 AY225">
    <cfRule type="expression" dxfId="357"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56"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55"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54"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3"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2"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1" priority="170">
      <formula>NOT(ISNUMBER(SEARCH(BL225,_xlfn.CONCAT(BK195:BM195,BK201:BM201,BK207:BM207,BK213:BM213,BK219:BM219))))</formula>
    </cfRule>
  </conditionalFormatting>
  <conditionalFormatting sqref="BM225">
    <cfRule type="expression" dxfId="350" priority="169">
      <formula>NOT(ISNUMBER(SEARCH(BM225,_xlfn.CONCAT(BK195:BM195,BK201:BM201,BK207:BM207,BK213:BM213,BK219:BM219))))</formula>
    </cfRule>
  </conditionalFormatting>
  <conditionalFormatting sqref="E78">
    <cfRule type="expression" dxfId="349" priority="104" stopIfTrue="1">
      <formula>$BT77&lt;2</formula>
    </cfRule>
  </conditionalFormatting>
  <conditionalFormatting sqref="E79">
    <cfRule type="expression" dxfId="348" priority="105" stopIfTrue="1">
      <formula>$BT77&lt;3</formula>
    </cfRule>
  </conditionalFormatting>
  <conditionalFormatting sqref="BT48:BU48">
    <cfRule type="cellIs" dxfId="347" priority="103" operator="greaterThan">
      <formula>$BT46</formula>
    </cfRule>
  </conditionalFormatting>
  <conditionalFormatting sqref="AG77:AV77">
    <cfRule type="expression" dxfId="346"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45" priority="101">
      <formula>OR($D45&lt;1,$D45&gt;3)</formula>
    </cfRule>
  </conditionalFormatting>
  <conditionalFormatting sqref="S47:S79">
    <cfRule type="cellIs" dxfId="344" priority="106" stopIfTrue="1" operator="greaterThan">
      <formula>$EA47</formula>
    </cfRule>
  </conditionalFormatting>
  <conditionalFormatting sqref="BC77:BK77 AY77">
    <cfRule type="expression" dxfId="343"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42"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41"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0"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39"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38"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37" priority="100">
      <formula>NOT(ISNUMBER(SEARCH(BL77,BK47&amp;BL47&amp;BM47&amp;BM53&amp;BL53&amp;BK53&amp;BK59&amp;BL59&amp;BM59&amp;BK65&amp;BL65&amp;BM65&amp;BK71&amp;BL71&amp;BM71)))</formula>
    </cfRule>
  </conditionalFormatting>
  <conditionalFormatting sqref="BM77">
    <cfRule type="expression" dxfId="336" priority="99">
      <formula>NOT(ISNUMBER(SEARCH(BM77,BK47&amp;BL47&amp;BM47&amp;BM53&amp;BL53&amp;BK53&amp;BK59&amp;BL59&amp;BM59&amp;BK65&amp;BL65&amp;BM65&amp;BK71&amp;BL71&amp;BM71)))</formula>
    </cfRule>
  </conditionalFormatting>
  <conditionalFormatting sqref="E115">
    <cfRule type="expression" dxfId="335" priority="90" stopIfTrue="1">
      <formula>$BT114&lt;2</formula>
    </cfRule>
  </conditionalFormatting>
  <conditionalFormatting sqref="E116">
    <cfRule type="expression" dxfId="334" priority="91" stopIfTrue="1">
      <formula>$BT114&lt;3</formula>
    </cfRule>
  </conditionalFormatting>
  <conditionalFormatting sqref="BT85:BU85">
    <cfRule type="cellIs" dxfId="333" priority="89" operator="greaterThan">
      <formula>$BT83</formula>
    </cfRule>
  </conditionalFormatting>
  <conditionalFormatting sqref="AG114:AV114">
    <cfRule type="expression" dxfId="332"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31" priority="87">
      <formula>OR($D82&lt;1,$D82&gt;3)</formula>
    </cfRule>
  </conditionalFormatting>
  <conditionalFormatting sqref="S84:S116">
    <cfRule type="cellIs" dxfId="330" priority="92" stopIfTrue="1" operator="greaterThan">
      <formula>$EA84</formula>
    </cfRule>
  </conditionalFormatting>
  <conditionalFormatting sqref="BC114:BK114 AY114">
    <cfRule type="expression" dxfId="329"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28"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27"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26"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25"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24"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23" priority="86">
      <formula>NOT(ISNUMBER(SEARCH(BL114,BK84&amp;BL84&amp;BM84&amp;BM90&amp;BL90&amp;BK90&amp;BK96&amp;BL96&amp;BM96&amp;BK102&amp;BL102&amp;BM102&amp;BK108&amp;BL108&amp;BM108)))</formula>
    </cfRule>
  </conditionalFormatting>
  <conditionalFormatting sqref="BM114">
    <cfRule type="expression" dxfId="322" priority="85">
      <formula>NOT(ISNUMBER(SEARCH(BM114,BK84&amp;BL84&amp;BM84&amp;BM90&amp;BL90&amp;BK90&amp;BK96&amp;BL96&amp;BM96&amp;BK102&amp;BL102&amp;BM102&amp;BK108&amp;BL108&amp;BM108)))</formula>
    </cfRule>
  </conditionalFormatting>
  <conditionalFormatting sqref="E152">
    <cfRule type="expression" dxfId="321" priority="76" stopIfTrue="1">
      <formula>$BT151&lt;2</formula>
    </cfRule>
  </conditionalFormatting>
  <conditionalFormatting sqref="E153">
    <cfRule type="expression" dxfId="320" priority="77" stopIfTrue="1">
      <formula>$BT151&lt;3</formula>
    </cfRule>
  </conditionalFormatting>
  <conditionalFormatting sqref="BT122:BU122">
    <cfRule type="cellIs" dxfId="319" priority="75" operator="greaterThan">
      <formula>$BT120</formula>
    </cfRule>
  </conditionalFormatting>
  <conditionalFormatting sqref="AG151:AV151">
    <cfRule type="expression" dxfId="318"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17" priority="73">
      <formula>OR($D119&lt;1,$D119&gt;3)</formula>
    </cfRule>
  </conditionalFormatting>
  <conditionalFormatting sqref="S121:S153">
    <cfRule type="cellIs" dxfId="316" priority="78" stopIfTrue="1" operator="greaterThan">
      <formula>$EA121</formula>
    </cfRule>
  </conditionalFormatting>
  <conditionalFormatting sqref="BC151:BK151 AY151">
    <cfRule type="expression" dxfId="315"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14"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13"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12"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11"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0"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09" priority="72">
      <formula>NOT(ISNUMBER(SEARCH(BL151,BK121&amp;BL121&amp;BM121&amp;BM127&amp;BL127&amp;BK127&amp;BK133&amp;BL133&amp;BM133&amp;BK139&amp;BL139&amp;BM139&amp;BK145&amp;BL145&amp;BM145)))</formula>
    </cfRule>
  </conditionalFormatting>
  <conditionalFormatting sqref="BM151">
    <cfRule type="expression" dxfId="308" priority="71">
      <formula>NOT(ISNUMBER(SEARCH(BM151,BK121&amp;BL121&amp;BM121&amp;BM127&amp;BL127&amp;BK127&amp;BK133&amp;BL133&amp;BM133&amp;BK139&amp;BL139&amp;BM139&amp;BK145&amp;BL145&amp;BM145)))</formula>
    </cfRule>
  </conditionalFormatting>
  <conditionalFormatting sqref="E189">
    <cfRule type="expression" dxfId="307" priority="62" stopIfTrue="1">
      <formula>$BT188&lt;2</formula>
    </cfRule>
  </conditionalFormatting>
  <conditionalFormatting sqref="E190">
    <cfRule type="expression" dxfId="306" priority="63" stopIfTrue="1">
      <formula>$BT188&lt;3</formula>
    </cfRule>
  </conditionalFormatting>
  <conditionalFormatting sqref="BT159:BU159">
    <cfRule type="cellIs" dxfId="305" priority="61" operator="greaterThan">
      <formula>$BT157</formula>
    </cfRule>
  </conditionalFormatting>
  <conditionalFormatting sqref="AG188:AV188">
    <cfRule type="expression" dxfId="304"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03" priority="59">
      <formula>OR($D156&lt;1,$D156&gt;3)</formula>
    </cfRule>
  </conditionalFormatting>
  <conditionalFormatting sqref="S158:S190">
    <cfRule type="cellIs" dxfId="302" priority="64" stopIfTrue="1" operator="greaterThan">
      <formula>$EA158</formula>
    </cfRule>
  </conditionalFormatting>
  <conditionalFormatting sqref="BC188:BK188 AY188">
    <cfRule type="expression" dxfId="301"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0"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99"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298"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97"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96"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95" priority="58">
      <formula>NOT(ISNUMBER(SEARCH(BL188,BK158&amp;BL158&amp;BM158&amp;BM164&amp;BL164&amp;BK164&amp;BK170&amp;BL170&amp;BM170&amp;BK176&amp;BL176&amp;BM176&amp;BK182&amp;BL182&amp;BM182)))</formula>
    </cfRule>
  </conditionalFormatting>
  <conditionalFormatting sqref="BM188">
    <cfRule type="expression" dxfId="294" priority="57">
      <formula>NOT(ISNUMBER(SEARCH(BM188,BK158&amp;BL158&amp;BM158&amp;BM164&amp;BL164&amp;BK164&amp;BK170&amp;BL170&amp;BM170&amp;BK176&amp;BL176&amp;BM176&amp;BK182&amp;BL182&amp;BM182)))</formula>
    </cfRule>
  </conditionalFormatting>
  <conditionalFormatting sqref="E263">
    <cfRule type="expression" dxfId="293" priority="48" stopIfTrue="1">
      <formula>$BT262&lt;2</formula>
    </cfRule>
  </conditionalFormatting>
  <conditionalFormatting sqref="E264">
    <cfRule type="expression" dxfId="292" priority="49" stopIfTrue="1">
      <formula>$BT262&lt;3</formula>
    </cfRule>
  </conditionalFormatting>
  <conditionalFormatting sqref="BT233:BU233">
    <cfRule type="cellIs" dxfId="291" priority="47" operator="greaterThan">
      <formula>$BT231</formula>
    </cfRule>
  </conditionalFormatting>
  <conditionalFormatting sqref="AG262:AV262">
    <cfRule type="expression" dxfId="290"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89" priority="45">
      <formula>OR($D230&lt;1,$D230&gt;3)</formula>
    </cfRule>
  </conditionalFormatting>
  <conditionalFormatting sqref="S232:S264">
    <cfRule type="cellIs" dxfId="288" priority="50" stopIfTrue="1" operator="greaterThan">
      <formula>$EA232</formula>
    </cfRule>
  </conditionalFormatting>
  <conditionalFormatting sqref="BC262:BK262 AY262">
    <cfRule type="expression" dxfId="287"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86"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85"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84"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83"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82"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81" priority="44">
      <formula>NOT(ISNUMBER(SEARCH(BL262,BK232&amp;BL232&amp;BM232&amp;BM238&amp;BL238&amp;BK238&amp;BK244&amp;BL244&amp;BM244&amp;BK250&amp;BL250&amp;BM250&amp;BK256&amp;BL256&amp;BM256)))</formula>
    </cfRule>
  </conditionalFormatting>
  <conditionalFormatting sqref="BM262">
    <cfRule type="expression" dxfId="280" priority="43">
      <formula>NOT(ISNUMBER(SEARCH(BM262,BK232&amp;BL232&amp;BM232&amp;BM238&amp;BL238&amp;BK238&amp;BK244&amp;BL244&amp;BM244&amp;BK250&amp;BL250&amp;BM250&amp;BK256&amp;BL256&amp;BM256)))</formula>
    </cfRule>
  </conditionalFormatting>
  <conditionalFormatting sqref="E300">
    <cfRule type="expression" dxfId="279" priority="34" stopIfTrue="1">
      <formula>$BT299&lt;2</formula>
    </cfRule>
  </conditionalFormatting>
  <conditionalFormatting sqref="E301">
    <cfRule type="expression" dxfId="278" priority="35" stopIfTrue="1">
      <formula>$BT299&lt;3</formula>
    </cfRule>
  </conditionalFormatting>
  <conditionalFormatting sqref="BT270:BU270">
    <cfRule type="cellIs" dxfId="277" priority="33" operator="greaterThan">
      <formula>$BT268</formula>
    </cfRule>
  </conditionalFormatting>
  <conditionalFormatting sqref="AG299:AV299">
    <cfRule type="expression" dxfId="276"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75" priority="31">
      <formula>OR($D267&lt;1,$D267&gt;3)</formula>
    </cfRule>
  </conditionalFormatting>
  <conditionalFormatting sqref="S269:S301">
    <cfRule type="cellIs" dxfId="274" priority="36" stopIfTrue="1" operator="greaterThan">
      <formula>$EA269</formula>
    </cfRule>
  </conditionalFormatting>
  <conditionalFormatting sqref="BC299:BK299 AY299">
    <cfRule type="expression" dxfId="273"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72"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71"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0"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69"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68"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67" priority="30">
      <formula>NOT(ISNUMBER(SEARCH(BL299,BK269&amp;BL269&amp;BM269&amp;BM275&amp;BL275&amp;BK275&amp;BK281&amp;BL281&amp;BM281&amp;BK287&amp;BL287&amp;BM287&amp;BK293&amp;BL293&amp;BM293)))</formula>
    </cfRule>
  </conditionalFormatting>
  <conditionalFormatting sqref="BM299">
    <cfRule type="expression" dxfId="266" priority="29">
      <formula>NOT(ISNUMBER(SEARCH(BM299,BK269&amp;BL269&amp;BM269&amp;BM275&amp;BL275&amp;BK275&amp;BK281&amp;BL281&amp;BM281&amp;BK287&amp;BL287&amp;BM287&amp;BK293&amp;BL293&amp;BM293)))</formula>
    </cfRule>
  </conditionalFormatting>
  <conditionalFormatting sqref="E337">
    <cfRule type="expression" dxfId="265" priority="20" stopIfTrue="1">
      <formula>$BT336&lt;2</formula>
    </cfRule>
  </conditionalFormatting>
  <conditionalFormatting sqref="E338">
    <cfRule type="expression" dxfId="264" priority="21" stopIfTrue="1">
      <formula>$BT336&lt;3</formula>
    </cfRule>
  </conditionalFormatting>
  <conditionalFormatting sqref="BT307:BU307">
    <cfRule type="cellIs" dxfId="263" priority="19" operator="greaterThan">
      <formula>$BT305</formula>
    </cfRule>
  </conditionalFormatting>
  <conditionalFormatting sqref="AG336:AV336">
    <cfRule type="expression" dxfId="262"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61" priority="17">
      <formula>OR($D304&lt;1,$D304&gt;3)</formula>
    </cfRule>
  </conditionalFormatting>
  <conditionalFormatting sqref="S306:S338">
    <cfRule type="cellIs" dxfId="260" priority="22" stopIfTrue="1" operator="greaterThan">
      <formula>$EA306</formula>
    </cfRule>
  </conditionalFormatting>
  <conditionalFormatting sqref="BC336:BK336 AY336">
    <cfRule type="expression" dxfId="259"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58"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57"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56"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55"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54"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53" priority="16">
      <formula>NOT(ISNUMBER(SEARCH(BL336,BK306&amp;BL306&amp;BM306&amp;BM312&amp;BL312&amp;BK312&amp;BK318&amp;BL318&amp;BM318&amp;BK324&amp;BL324&amp;BM324&amp;BK330&amp;BL330&amp;BM330)))</formula>
    </cfRule>
  </conditionalFormatting>
  <conditionalFormatting sqref="BM336">
    <cfRule type="expression" dxfId="252" priority="15">
      <formula>NOT(ISNUMBER(SEARCH(BM336,BK306&amp;BL306&amp;BM306&amp;BM312&amp;BL312&amp;BK312&amp;BK318&amp;BL318&amp;BM318&amp;BK324&amp;BL324&amp;BM324&amp;BK330&amp;BL330&amp;BM330)))</formula>
    </cfRule>
  </conditionalFormatting>
  <conditionalFormatting sqref="E374">
    <cfRule type="expression" dxfId="251" priority="6" stopIfTrue="1">
      <formula>$BT373&lt;2</formula>
    </cfRule>
  </conditionalFormatting>
  <conditionalFormatting sqref="E375">
    <cfRule type="expression" dxfId="250" priority="7" stopIfTrue="1">
      <formula>$BT373&lt;3</formula>
    </cfRule>
  </conditionalFormatting>
  <conditionalFormatting sqref="BT344:BU344">
    <cfRule type="cellIs" dxfId="249" priority="5" operator="greaterThan">
      <formula>$BT342</formula>
    </cfRule>
  </conditionalFormatting>
  <conditionalFormatting sqref="AG373:AV373">
    <cfRule type="expression" dxfId="248"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47" priority="3">
      <formula>OR($D341&lt;1,$D341&gt;3)</formula>
    </cfRule>
  </conditionalFormatting>
  <conditionalFormatting sqref="S343:S375">
    <cfRule type="cellIs" dxfId="246" priority="8" stopIfTrue="1" operator="greaterThan">
      <formula>$EA343</formula>
    </cfRule>
  </conditionalFormatting>
  <conditionalFormatting sqref="BC373:BK373 AY373">
    <cfRule type="expression" dxfId="245"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44"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42"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1"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0"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39" priority="2">
      <formula>NOT(ISNUMBER(SEARCH(BL373,BK343&amp;BL343&amp;BM343&amp;BM349&amp;BL349&amp;BK349&amp;BK355&amp;BL355&amp;BM355&amp;BK361&amp;BL361&amp;BM361&amp;BK367&amp;BL367&amp;BM367)))</formula>
    </cfRule>
  </conditionalFormatting>
  <conditionalFormatting sqref="BM373">
    <cfRule type="expression" dxfId="238"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4" sqref="C14:F14"/>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9" customWidth="1"/>
    <col min="21" max="21" width="7.7109375" style="247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61" customWidth="1"/>
    <col min="39" max="39" width="7" style="3061" bestFit="1" customWidth="1"/>
    <col min="40" max="41" width="8.5703125" style="1803" bestFit="1" customWidth="1"/>
    <col min="42" max="42" width="5.7109375" style="1803"/>
    <col min="43" max="47" width="5.7109375" style="44"/>
    <col min="48" max="56" width="5.7109375" style="2479"/>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101"/>
      <c r="S1" s="3101"/>
      <c r="T1" s="3101"/>
      <c r="U1" s="3101"/>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102"/>
      <c r="S2" s="3102"/>
      <c r="T2" s="3102"/>
      <c r="U2" s="3102"/>
      <c r="V2" s="3102"/>
      <c r="W2" s="3102"/>
      <c r="X2" s="3102"/>
      <c r="Y2" s="3102"/>
      <c r="Z2" s="3102"/>
      <c r="AA2" s="3102"/>
      <c r="AB2" s="3102"/>
      <c r="AC2" s="3102"/>
      <c r="AD2" s="3102"/>
      <c r="AE2" s="3102"/>
      <c r="AF2" s="3102"/>
      <c r="AG2" s="3102"/>
      <c r="AH2" s="3102"/>
      <c r="AI2" s="3102"/>
      <c r="AJ2" s="3103"/>
      <c r="AK2" s="190"/>
      <c r="AQ2" s="2479"/>
      <c r="AR2" s="43"/>
      <c r="AS2" s="43"/>
      <c r="AT2" s="43"/>
    </row>
    <row r="3" spans="1:46" ht="12" customHeight="1" thickBot="1" x14ac:dyDescent="0.25">
      <c r="A3" s="190"/>
      <c r="B3" s="1799"/>
      <c r="C3" s="4467"/>
      <c r="D3" s="4468"/>
      <c r="E3" s="4468"/>
      <c r="F3" s="4468"/>
      <c r="G3" s="4468"/>
      <c r="H3" s="4468"/>
      <c r="I3" s="1680"/>
      <c r="J3" s="1680"/>
      <c r="K3" s="1680"/>
      <c r="L3" s="1680"/>
      <c r="M3" s="1680"/>
      <c r="N3" s="1680"/>
      <c r="O3" s="1680"/>
      <c r="P3" s="1680"/>
      <c r="Q3" s="2682"/>
      <c r="R3" s="2682"/>
      <c r="S3" s="2682"/>
      <c r="T3" s="2682"/>
      <c r="U3" s="2682"/>
      <c r="V3" s="2682"/>
      <c r="W3" s="2682"/>
      <c r="X3" s="2682"/>
      <c r="Y3" s="2682"/>
      <c r="Z3" s="2682"/>
      <c r="AA3" s="2682"/>
      <c r="AB3" s="2682"/>
      <c r="AC3" s="2682"/>
      <c r="AD3" s="2682"/>
      <c r="AE3" s="2682"/>
      <c r="AF3" s="2682"/>
      <c r="AG3" s="2682"/>
      <c r="AH3" s="2682"/>
      <c r="AI3" s="2676"/>
      <c r="AJ3" s="2850"/>
      <c r="AK3" s="190"/>
      <c r="AQ3" s="2479"/>
      <c r="AR3" s="43"/>
      <c r="AS3" s="43"/>
      <c r="AT3" s="43"/>
    </row>
    <row r="4" spans="1:46" ht="12" customHeight="1" thickBot="1" x14ac:dyDescent="0.25">
      <c r="A4" s="190"/>
      <c r="B4" s="1799"/>
      <c r="C4" s="4469"/>
      <c r="D4" s="3210"/>
      <c r="E4" s="3210"/>
      <c r="F4" s="3210"/>
      <c r="G4" s="3210"/>
      <c r="H4" s="3210"/>
      <c r="I4" s="12"/>
      <c r="J4" s="3162" t="s">
        <v>1628</v>
      </c>
      <c r="K4" s="3162"/>
      <c r="L4" s="3163" t="str">
        <f>IF(OR(General!$G$22="",General!$G$22=0),"",General!$G$22)</f>
        <v/>
      </c>
      <c r="M4" s="3163"/>
      <c r="N4" s="3163"/>
      <c r="O4" s="3163"/>
      <c r="P4" s="3163"/>
      <c r="Q4" s="2671"/>
      <c r="R4" s="2671"/>
      <c r="S4" s="2671"/>
      <c r="T4" s="2671"/>
      <c r="U4" s="2671"/>
      <c r="V4" s="2671"/>
      <c r="W4" s="2671"/>
      <c r="X4" s="2671"/>
      <c r="Y4" s="2671"/>
      <c r="Z4" s="2671"/>
      <c r="AA4" s="2671"/>
      <c r="AB4" s="2671"/>
      <c r="AC4" s="2671"/>
      <c r="AD4" s="2671"/>
      <c r="AE4" s="2671"/>
      <c r="AF4" s="2671"/>
      <c r="AG4" s="2671"/>
      <c r="AH4" s="2671"/>
      <c r="AI4" s="2677"/>
      <c r="AJ4" s="2850"/>
      <c r="AK4" s="190"/>
      <c r="AQ4" s="2479"/>
      <c r="AR4" s="43"/>
      <c r="AS4" s="43"/>
      <c r="AT4" s="43"/>
    </row>
    <row r="5" spans="1:46" ht="12" customHeight="1" thickBot="1" x14ac:dyDescent="0.25">
      <c r="A5" s="190"/>
      <c r="B5" s="1799"/>
      <c r="C5" s="4469"/>
      <c r="D5" s="3210"/>
      <c r="E5" s="3210"/>
      <c r="F5" s="3210"/>
      <c r="G5" s="3210"/>
      <c r="H5" s="3210"/>
      <c r="I5" s="12"/>
      <c r="J5" s="3207" t="s">
        <v>1629</v>
      </c>
      <c r="K5" s="3207"/>
      <c r="L5" s="3208" t="str">
        <f>Principal!$L$5</f>
        <v>Hechicero</v>
      </c>
      <c r="M5" s="3208"/>
      <c r="N5" s="3208"/>
      <c r="O5" s="14" t="s">
        <v>1630</v>
      </c>
      <c r="P5" s="15" t="str">
        <f>Principal!$P$5</f>
        <v>1</v>
      </c>
      <c r="Q5" s="2670"/>
      <c r="R5" s="2670"/>
      <c r="S5" s="2670"/>
      <c r="T5" s="2670"/>
      <c r="U5" s="2670"/>
      <c r="V5" s="2670"/>
      <c r="W5" s="2670"/>
      <c r="X5" s="2670"/>
      <c r="Y5" s="2670"/>
      <c r="Z5" s="2670"/>
      <c r="AA5" s="2670"/>
      <c r="AB5" s="2670"/>
      <c r="AC5" s="2670"/>
      <c r="AD5" s="2670"/>
      <c r="AE5" s="2670"/>
      <c r="AF5" s="2670"/>
      <c r="AG5" s="2670"/>
      <c r="AH5" s="2670"/>
      <c r="AI5" s="2672"/>
      <c r="AJ5" s="2850"/>
      <c r="AK5" s="190"/>
      <c r="AQ5" s="43"/>
      <c r="AR5" s="43"/>
      <c r="AS5" s="43"/>
      <c r="AT5" s="43"/>
    </row>
    <row r="6" spans="1:46" ht="12" customHeight="1" thickBot="1" x14ac:dyDescent="0.25">
      <c r="A6" s="190"/>
      <c r="B6" s="1799"/>
      <c r="C6" s="4469"/>
      <c r="D6" s="3210"/>
      <c r="E6" s="3210"/>
      <c r="F6" s="3210"/>
      <c r="G6" s="3210"/>
      <c r="H6" s="3210"/>
      <c r="I6" s="12"/>
      <c r="J6" s="3209" t="s">
        <v>2159</v>
      </c>
      <c r="K6" s="3209"/>
      <c r="L6" s="3209"/>
      <c r="M6" s="3209"/>
      <c r="N6" s="3209"/>
      <c r="O6" s="3209"/>
      <c r="P6" s="3209"/>
      <c r="Q6" s="2670"/>
      <c r="R6" s="2670"/>
      <c r="S6" s="2670"/>
      <c r="T6" s="2670"/>
      <c r="U6" s="2670"/>
      <c r="V6" s="2670"/>
      <c r="W6" s="2670"/>
      <c r="X6" s="2670"/>
      <c r="Y6" s="2670"/>
      <c r="Z6" s="2670"/>
      <c r="AA6" s="2670"/>
      <c r="AB6" s="2670"/>
      <c r="AC6" s="2670"/>
      <c r="AD6" s="2670"/>
      <c r="AE6" s="2670"/>
      <c r="AF6" s="2670"/>
      <c r="AG6" s="2670"/>
      <c r="AH6" s="2670"/>
      <c r="AI6" s="2672"/>
      <c r="AJ6" s="2850"/>
      <c r="AK6" s="190"/>
      <c r="AQ6" s="43"/>
      <c r="AR6" s="43"/>
      <c r="AS6" s="43"/>
      <c r="AT6" s="43"/>
    </row>
    <row r="7" spans="1:46" ht="12" customHeight="1" thickBot="1" x14ac:dyDescent="0.25">
      <c r="A7" s="190"/>
      <c r="B7" s="1799"/>
      <c r="C7" s="4469"/>
      <c r="D7" s="3210"/>
      <c r="E7" s="3210"/>
      <c r="F7" s="3210"/>
      <c r="G7" s="3210"/>
      <c r="H7" s="3210"/>
      <c r="I7" s="12"/>
      <c r="J7" s="3209"/>
      <c r="K7" s="3209"/>
      <c r="L7" s="3209"/>
      <c r="M7" s="3209"/>
      <c r="N7" s="3209"/>
      <c r="O7" s="3209"/>
      <c r="P7" s="3209"/>
      <c r="Q7" s="2670"/>
      <c r="R7" s="2670"/>
      <c r="S7" s="2670"/>
      <c r="T7" s="2670"/>
      <c r="U7" s="2670"/>
      <c r="V7" s="2670"/>
      <c r="W7" s="2670"/>
      <c r="X7" s="2670"/>
      <c r="Y7" s="2670"/>
      <c r="Z7" s="2670"/>
      <c r="AA7" s="2670"/>
      <c r="AB7" s="2670"/>
      <c r="AC7" s="2670"/>
      <c r="AD7" s="2670"/>
      <c r="AE7" s="2670"/>
      <c r="AF7" s="2670"/>
      <c r="AG7" s="2670"/>
      <c r="AH7" s="2670"/>
      <c r="AI7" s="2672"/>
      <c r="AJ7" s="2850"/>
      <c r="AK7" s="190"/>
      <c r="AQ7" s="43"/>
      <c r="AR7" s="43"/>
      <c r="AS7" s="43"/>
      <c r="AT7" s="43"/>
    </row>
    <row r="8" spans="1:46" ht="12" customHeight="1" thickBot="1" x14ac:dyDescent="0.25">
      <c r="A8" s="190"/>
      <c r="B8" s="1799"/>
      <c r="C8" s="4470"/>
      <c r="D8" s="4471"/>
      <c r="E8" s="4471"/>
      <c r="F8" s="4471"/>
      <c r="G8" s="4471"/>
      <c r="H8" s="4471"/>
      <c r="I8" s="2052"/>
      <c r="J8" s="2052"/>
      <c r="K8" s="2052"/>
      <c r="L8" s="2052"/>
      <c r="M8" s="2052"/>
      <c r="N8" s="2052"/>
      <c r="O8" s="2052"/>
      <c r="P8" s="2052"/>
      <c r="Q8" s="2673"/>
      <c r="R8" s="2673"/>
      <c r="S8" s="2673"/>
      <c r="T8" s="2673"/>
      <c r="U8" s="2673"/>
      <c r="V8" s="2673"/>
      <c r="W8" s="2673"/>
      <c r="X8" s="2673"/>
      <c r="Y8" s="2673"/>
      <c r="Z8" s="2673"/>
      <c r="AA8" s="2673"/>
      <c r="AB8" s="2673"/>
      <c r="AC8" s="2673"/>
      <c r="AD8" s="2673"/>
      <c r="AE8" s="2673"/>
      <c r="AF8" s="2673"/>
      <c r="AG8" s="2673"/>
      <c r="AH8" s="2673"/>
      <c r="AI8" s="2674"/>
      <c r="AJ8" s="2850"/>
      <c r="AK8" s="190"/>
      <c r="AL8" s="3061" t="s">
        <v>9434</v>
      </c>
      <c r="AM8" s="3061" t="s">
        <v>9435</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50"/>
      <c r="AK9" s="190"/>
      <c r="AL9" s="3061" t="str">
        <f>IF(ISNUMBER(MATCH($C$11,Lista_LuzyOscuridad,0)),$C$11,"ElanPersonalizado")</f>
        <v>ElanPersonalizado</v>
      </c>
      <c r="AM9" s="3061" t="str">
        <f>IF(ISNUMBER(MATCH($U$11,Lista_LuzyOscuridad,0)),$U$11,"ElanPersonalizado")</f>
        <v>ElanPersonalizado</v>
      </c>
      <c r="AQ9" s="43"/>
      <c r="AR9" s="43"/>
      <c r="AS9" s="43"/>
      <c r="AT9" s="43"/>
    </row>
    <row r="10" spans="1:46" ht="12" customHeight="1" thickBot="1" x14ac:dyDescent="0.25">
      <c r="A10" s="190"/>
      <c r="B10" s="1799"/>
      <c r="C10" s="4764" t="s">
        <v>2159</v>
      </c>
      <c r="D10" s="4765"/>
      <c r="E10" s="4765"/>
      <c r="F10" s="4765"/>
      <c r="G10" s="4766"/>
      <c r="H10" s="68"/>
      <c r="I10" s="3462" t="str">
        <f>"Modificadores Elan: "&amp;C11</f>
        <v xml:space="preserve">Modificadores Elan: </v>
      </c>
      <c r="J10" s="3463"/>
      <c r="K10" s="3463"/>
      <c r="L10" s="3463"/>
      <c r="M10" s="3463"/>
      <c r="N10" s="3463"/>
      <c r="O10" s="3463"/>
      <c r="P10" s="3463"/>
      <c r="Q10" s="3465"/>
      <c r="R10" s="173"/>
      <c r="S10" s="3104"/>
      <c r="T10" s="2159"/>
      <c r="U10" s="4764" t="s">
        <v>2159</v>
      </c>
      <c r="V10" s="4765"/>
      <c r="W10" s="4765"/>
      <c r="X10" s="4765"/>
      <c r="Y10" s="4766"/>
      <c r="Z10" s="68"/>
      <c r="AA10" s="3380" t="str">
        <f>"Modificadores Elan: "&amp;U11</f>
        <v xml:space="preserve">Modificadores Elan: </v>
      </c>
      <c r="AB10" s="3381"/>
      <c r="AC10" s="3381"/>
      <c r="AD10" s="3381"/>
      <c r="AE10" s="3381"/>
      <c r="AF10" s="3381"/>
      <c r="AG10" s="3381"/>
      <c r="AH10" s="3381"/>
      <c r="AI10" s="4767"/>
      <c r="AJ10" s="1807"/>
      <c r="AK10" s="190"/>
      <c r="AQ10" s="43"/>
      <c r="AR10" s="43"/>
      <c r="AS10" s="43"/>
      <c r="AT10" s="43"/>
    </row>
    <row r="11" spans="1:46" ht="12" customHeight="1" thickBot="1" x14ac:dyDescent="0.25">
      <c r="A11" s="190"/>
      <c r="B11" s="1799"/>
      <c r="C11" s="4755"/>
      <c r="D11" s="4756"/>
      <c r="E11" s="4756"/>
      <c r="F11" s="4756"/>
      <c r="G11" s="4757"/>
      <c r="H11" s="68"/>
      <c r="I11" s="4736" t="s">
        <v>8565</v>
      </c>
      <c r="J11" s="4737"/>
      <c r="K11" s="4737"/>
      <c r="L11" s="4737"/>
      <c r="M11" s="4737"/>
      <c r="N11" s="4738"/>
      <c r="O11" s="4753" t="s">
        <v>8567</v>
      </c>
      <c r="P11" s="4737"/>
      <c r="Q11" s="4754"/>
      <c r="R11" s="173"/>
      <c r="S11" s="3104"/>
      <c r="T11" s="2159"/>
      <c r="U11" s="4743"/>
      <c r="V11" s="4744"/>
      <c r="W11" s="4744"/>
      <c r="X11" s="4745"/>
      <c r="Y11" s="4749"/>
      <c r="Z11" s="68"/>
      <c r="AA11" s="4736" t="s">
        <v>8565</v>
      </c>
      <c r="AB11" s="4751"/>
      <c r="AC11" s="4751"/>
      <c r="AD11" s="4751"/>
      <c r="AE11" s="4751"/>
      <c r="AF11" s="4752"/>
      <c r="AG11" s="4753" t="s">
        <v>8567</v>
      </c>
      <c r="AH11" s="4751"/>
      <c r="AI11" s="4754"/>
      <c r="AJ11" s="1807"/>
      <c r="AK11" s="190"/>
      <c r="AL11" s="3061" t="s">
        <v>10503</v>
      </c>
      <c r="AQ11" s="43"/>
      <c r="AR11" s="43"/>
      <c r="AS11" s="43"/>
      <c r="AT11" s="43"/>
    </row>
    <row r="12" spans="1:46" ht="12" customHeight="1" x14ac:dyDescent="0.2">
      <c r="A12" s="190"/>
      <c r="B12" s="1799"/>
      <c r="C12" s="4755"/>
      <c r="D12" s="4756"/>
      <c r="E12" s="4756"/>
      <c r="F12" s="4756"/>
      <c r="G12" s="4757"/>
      <c r="H12" s="68"/>
      <c r="I12" s="4740" t="str">
        <f>IF(C$11="","",INDEX(Tabla_ModElan,MATCH(C$11,INDEX(Tabla_ModElan,,1),0)+Tablas!$A1,1))</f>
        <v/>
      </c>
      <c r="J12" s="4741"/>
      <c r="K12" s="4741"/>
      <c r="L12" s="4741"/>
      <c r="M12" s="4742"/>
      <c r="N12" s="2704" t="str">
        <f t="shared" ref="N12:N18" si="0">IF(I12="","",INDEX(Tabla_ModElan,MATCH(I12,INDEX(Tabla_ModElan,,1),0),2))</f>
        <v/>
      </c>
      <c r="O12" s="4713" t="str">
        <f>IF(C$11="","",INDEX(Tabla_ModElan,MATCH(C$11,INDEX(Tabla_ModElan,,1),0)+Tablas!$A1,5))</f>
        <v/>
      </c>
      <c r="P12" s="4714"/>
      <c r="Q12" s="4719" t="str">
        <f>IF(O12="","",INDEX(Tabla_ModElan,MATCH(O12,INDEX(Tabla_ModElan,,5),0),6))</f>
        <v/>
      </c>
      <c r="R12" s="173"/>
      <c r="S12" s="3104"/>
      <c r="T12" s="2159"/>
      <c r="U12" s="4746"/>
      <c r="V12" s="4747"/>
      <c r="W12" s="4747"/>
      <c r="X12" s="4748"/>
      <c r="Y12" s="4750"/>
      <c r="Z12" s="68"/>
      <c r="AA12" s="4740" t="str">
        <f>IF(U$11="","",INDEX(Tabla_ModElan,MATCH(U$11,INDEX(Tabla_ModElan,,1),0)+Tablas!$A1,1))</f>
        <v/>
      </c>
      <c r="AB12" s="4741"/>
      <c r="AC12" s="4741"/>
      <c r="AD12" s="4741"/>
      <c r="AE12" s="4742"/>
      <c r="AF12" s="2704" t="str">
        <f t="shared" ref="AF12:AF18" si="1">IF(AA12="","",INDEX(Tabla_ModElan,MATCH(AA12,INDEX(Tabla_ModElan,,1),0),2))</f>
        <v/>
      </c>
      <c r="AG12" s="4713" t="str">
        <f>IF(U$11="","",INDEX(Tabla_ModElan,MATCH(U$11,INDEX(Tabla_ModElan,,1),0)+Tablas!$A1,5))</f>
        <v/>
      </c>
      <c r="AH12" s="4714"/>
      <c r="AI12" s="4719" t="str">
        <f>IF(AG12="","",INDEX(Tabla_ModElan,MATCH(AG12,INDEX(Tabla_ModElan,,5),0),6))</f>
        <v/>
      </c>
      <c r="AJ12" s="1807"/>
      <c r="AK12" s="190"/>
      <c r="AL12" s="3061" t="s">
        <v>9437</v>
      </c>
      <c r="AM12" s="3061" t="s">
        <v>9438</v>
      </c>
      <c r="AQ12" s="43"/>
      <c r="AR12" s="43"/>
      <c r="AS12" s="43"/>
      <c r="AT12" s="43"/>
    </row>
    <row r="13" spans="1:46" ht="12" customHeight="1" x14ac:dyDescent="0.2">
      <c r="A13" s="190"/>
      <c r="B13" s="1799"/>
      <c r="C13" s="4051"/>
      <c r="D13" s="4052"/>
      <c r="E13" s="4052"/>
      <c r="F13" s="4052"/>
      <c r="G13" s="2146" t="str">
        <f t="shared" ref="G13:G25" si="2">IF(C13="","",VLOOKUP(C13,Tabla_Elan,5,FALSE))</f>
        <v/>
      </c>
      <c r="H13" s="68"/>
      <c r="I13" s="4724" t="str">
        <f>IF(C$11="","",INDEX(Tabla_ModElan,MATCH(C$11,INDEX(Tabla_ModElan,,1),0)+Tablas!$A2,1))</f>
        <v/>
      </c>
      <c r="J13" s="3765"/>
      <c r="K13" s="3765"/>
      <c r="L13" s="3765"/>
      <c r="M13" s="4739"/>
      <c r="N13" s="2705" t="str">
        <f t="shared" si="0"/>
        <v/>
      </c>
      <c r="O13" s="4715"/>
      <c r="P13" s="4716"/>
      <c r="Q13" s="4720"/>
      <c r="R13" s="173"/>
      <c r="S13" s="3104"/>
      <c r="T13" s="2159"/>
      <c r="U13" s="4758"/>
      <c r="V13" s="4759"/>
      <c r="W13" s="4759"/>
      <c r="X13" s="4760"/>
      <c r="Y13" s="2146" t="str">
        <f t="shared" ref="Y13:Y25" si="3">IF(U13="","",VLOOKUP(U13,Tabla_Elan,5,FALSE))</f>
        <v/>
      </c>
      <c r="Z13" s="68"/>
      <c r="AA13" s="4724" t="str">
        <f>IF(U$11="","",INDEX(Tabla_ModElan,MATCH(U$11,INDEX(Tabla_ModElan,,1),0)+Tablas!$A2,1))</f>
        <v/>
      </c>
      <c r="AB13" s="3765"/>
      <c r="AC13" s="3765"/>
      <c r="AD13" s="3765"/>
      <c r="AE13" s="4739"/>
      <c r="AF13" s="2705" t="str">
        <f t="shared" si="1"/>
        <v/>
      </c>
      <c r="AG13" s="4715"/>
      <c r="AH13" s="4716"/>
      <c r="AI13" s="4720"/>
      <c r="AJ13" s="1807"/>
      <c r="AK13" s="190"/>
      <c r="AL13" s="3061" t="b">
        <f>IF(OR($G$11="",Elan!C13=""),FALSE,$G$11&lt;VLOOKUP(C13,Tabla_Elan,3,FALSE))</f>
        <v>0</v>
      </c>
      <c r="AM13" s="3061" t="b">
        <f>IF(OR($Y$11="",Elan!U13=""),FALSE,$Y$11&lt;VLOOKUP(U13,Tabla_Elan,3,FALSE))</f>
        <v>0</v>
      </c>
      <c r="AR13" s="100"/>
      <c r="AS13" s="100"/>
      <c r="AT13" s="43"/>
    </row>
    <row r="14" spans="1:46" ht="12" customHeight="1" x14ac:dyDescent="0.2">
      <c r="A14" s="190"/>
      <c r="B14" s="1799"/>
      <c r="C14" s="4722"/>
      <c r="D14" s="4723"/>
      <c r="E14" s="4723"/>
      <c r="F14" s="4723"/>
      <c r="G14" s="2147" t="str">
        <f t="shared" si="2"/>
        <v/>
      </c>
      <c r="H14" s="2974" t="s">
        <v>3189</v>
      </c>
      <c r="I14" s="4724" t="str">
        <f>IF(C$11="","",INDEX(Tabla_ModElan,MATCH(C$11,INDEX(Tabla_ModElan,,1),0)+Tablas!$A3,1))</f>
        <v/>
      </c>
      <c r="J14" s="3765"/>
      <c r="K14" s="3765"/>
      <c r="L14" s="3765"/>
      <c r="M14" s="4739"/>
      <c r="N14" s="2705" t="str">
        <f t="shared" si="0"/>
        <v/>
      </c>
      <c r="O14" s="4717"/>
      <c r="P14" s="4718"/>
      <c r="Q14" s="4721"/>
      <c r="R14" s="173"/>
      <c r="S14" s="3104"/>
      <c r="T14" s="2159"/>
      <c r="U14" s="4761"/>
      <c r="V14" s="4762"/>
      <c r="W14" s="4762"/>
      <c r="X14" s="4763"/>
      <c r="Y14" s="2147" t="str">
        <f t="shared" si="3"/>
        <v/>
      </c>
      <c r="Z14" s="2974" t="s">
        <v>3189</v>
      </c>
      <c r="AA14" s="4724" t="str">
        <f>IF(U$11="","",INDEX(Tabla_ModElan,MATCH(U$11,INDEX(Tabla_ModElan,,1),0)+Tablas!$A3,1))</f>
        <v/>
      </c>
      <c r="AB14" s="3765"/>
      <c r="AC14" s="3765"/>
      <c r="AD14" s="3765"/>
      <c r="AE14" s="4739"/>
      <c r="AF14" s="2705" t="str">
        <f t="shared" si="1"/>
        <v/>
      </c>
      <c r="AG14" s="3263"/>
      <c r="AH14" s="4718"/>
      <c r="AI14" s="4721"/>
      <c r="AJ14" s="1807"/>
      <c r="AK14" s="190"/>
      <c r="AL14" s="3061" t="b">
        <f>IF(OR($G$11="",Elan!C14=""),FALSE,$G$11&lt;VLOOKUP(C14,Tabla_Elan,3,FALSE))</f>
        <v>0</v>
      </c>
      <c r="AM14" s="3061" t="b">
        <f>IF(OR($Y$11="",Elan!U14=""),FALSE,$Y$11&lt;VLOOKUP(U14,Tabla_Elan,3,FALSE))</f>
        <v>0</v>
      </c>
      <c r="AT14" s="43"/>
    </row>
    <row r="15" spans="1:46" ht="12" customHeight="1" x14ac:dyDescent="0.2">
      <c r="A15" s="190"/>
      <c r="B15" s="1799"/>
      <c r="C15" s="4055"/>
      <c r="D15" s="4056"/>
      <c r="E15" s="4056"/>
      <c r="F15" s="4056"/>
      <c r="G15" s="2148" t="str">
        <f t="shared" si="2"/>
        <v/>
      </c>
      <c r="H15" s="2974" t="s">
        <v>3187</v>
      </c>
      <c r="I15" s="4724" t="str">
        <f>IF(C$11="","",INDEX(Tabla_ModElan,MATCH(C$11,INDEX(Tabla_ModElan,,1),0)+Tablas!$A4,1))</f>
        <v/>
      </c>
      <c r="J15" s="3765"/>
      <c r="K15" s="3765"/>
      <c r="L15" s="3765"/>
      <c r="M15" s="4739"/>
      <c r="N15" s="2705" t="str">
        <f t="shared" si="0"/>
        <v/>
      </c>
      <c r="O15" s="4713" t="str">
        <f>IF(C$11="","",INDEX(Tabla_ModElan,MATCH(C$11,INDEX(Tabla_ModElan,,1),0)+Tablas!$A2,5))</f>
        <v/>
      </c>
      <c r="P15" s="4714"/>
      <c r="Q15" s="4719" t="str">
        <f>IF(O15="","",INDEX(Tabla_ModElan,MATCH(O15,INDEX(Tabla_ModElan,,5),0),6))</f>
        <v/>
      </c>
      <c r="R15" s="173"/>
      <c r="S15" s="3104"/>
      <c r="T15" s="2159"/>
      <c r="U15" s="4055"/>
      <c r="V15" s="4056"/>
      <c r="W15" s="4056"/>
      <c r="X15" s="4056"/>
      <c r="Y15" s="2148" t="str">
        <f t="shared" si="3"/>
        <v/>
      </c>
      <c r="Z15" s="2974" t="s">
        <v>3187</v>
      </c>
      <c r="AA15" s="4724" t="str">
        <f>IF(U$11="","",INDEX(Tabla_ModElan,MATCH(U$11,INDEX(Tabla_ModElan,,1),0)+Tablas!$A4,1))</f>
        <v/>
      </c>
      <c r="AB15" s="3765"/>
      <c r="AC15" s="3765"/>
      <c r="AD15" s="3765"/>
      <c r="AE15" s="4739"/>
      <c r="AF15" s="2705" t="str">
        <f t="shared" si="1"/>
        <v/>
      </c>
      <c r="AG15" s="4713" t="str">
        <f>IF(U$11="","",INDEX(Tabla_ModElan,MATCH(U$11,INDEX(Tabla_ModElan,,1),0)+Tablas!$A2,5))</f>
        <v/>
      </c>
      <c r="AH15" s="4714"/>
      <c r="AI15" s="4719" t="str">
        <f>IF(AG15="","",INDEX(Tabla_ModElan,MATCH(AG15,INDEX(Tabla_ModElan,,5),0),6))</f>
        <v/>
      </c>
      <c r="AJ15" s="1807"/>
      <c r="AK15" s="190"/>
      <c r="AL15" s="3061" t="b">
        <f>IF(OR($G$11="",Elan!C15=""),FALSE,$G$11&lt;VLOOKUP(C15,Tabla_Elan,3,FALSE))</f>
        <v>0</v>
      </c>
      <c r="AM15" s="3061" t="b">
        <f>IF(OR($Y$11="",Elan!U15=""),FALSE,$Y$11&lt;VLOOKUP(U15,Tabla_Elan,3,FALSE))</f>
        <v>0</v>
      </c>
      <c r="AT15" s="43"/>
    </row>
    <row r="16" spans="1:46" ht="12" customHeight="1" x14ac:dyDescent="0.2">
      <c r="A16" s="190"/>
      <c r="B16" s="1799"/>
      <c r="C16" s="4722"/>
      <c r="D16" s="4723"/>
      <c r="E16" s="4723"/>
      <c r="F16" s="4723"/>
      <c r="G16" s="2147" t="str">
        <f t="shared" si="2"/>
        <v/>
      </c>
      <c r="H16" s="68"/>
      <c r="I16" s="4724" t="str">
        <f>IF(C$11="","",INDEX(Tabla_ModElan,MATCH(C$11,INDEX(Tabla_ModElan,,1),0)+Tablas!$A5,1))</f>
        <v/>
      </c>
      <c r="J16" s="3765"/>
      <c r="K16" s="3765"/>
      <c r="L16" s="3765"/>
      <c r="M16" s="4739"/>
      <c r="N16" s="2705" t="str">
        <f t="shared" si="0"/>
        <v/>
      </c>
      <c r="O16" s="4715"/>
      <c r="P16" s="4716"/>
      <c r="Q16" s="4720"/>
      <c r="R16" s="173"/>
      <c r="S16" s="3104"/>
      <c r="T16" s="2159"/>
      <c r="U16" s="4722"/>
      <c r="V16" s="4723"/>
      <c r="W16" s="4723"/>
      <c r="X16" s="4723"/>
      <c r="Y16" s="2147" t="str">
        <f t="shared" si="3"/>
        <v/>
      </c>
      <c r="Z16" s="68"/>
      <c r="AA16" s="4724" t="str">
        <f>IF(U$11="","",INDEX(Tabla_ModElan,MATCH(U$11,INDEX(Tabla_ModElan,,1),0)+Tablas!$A5,1))</f>
        <v/>
      </c>
      <c r="AB16" s="3765"/>
      <c r="AC16" s="3765"/>
      <c r="AD16" s="3765"/>
      <c r="AE16" s="4739"/>
      <c r="AF16" s="2705" t="str">
        <f t="shared" si="1"/>
        <v/>
      </c>
      <c r="AG16" s="4715"/>
      <c r="AH16" s="4716"/>
      <c r="AI16" s="4720"/>
      <c r="AJ16" s="1807"/>
      <c r="AK16" s="190"/>
      <c r="AL16" s="3061" t="b">
        <f>IF(OR($G$11="",Elan!C16=""),FALSE,$G$11&lt;VLOOKUP(C16,Tabla_Elan,3,FALSE))</f>
        <v>0</v>
      </c>
      <c r="AM16" s="3061" t="b">
        <f>IF(OR($Y$11="",Elan!U16=""),FALSE,$Y$11&lt;VLOOKUP(U16,Tabla_Elan,3,FALSE))</f>
        <v>0</v>
      </c>
      <c r="AT16" s="43"/>
    </row>
    <row r="17" spans="1:56" ht="12" customHeight="1" x14ac:dyDescent="0.2">
      <c r="A17" s="190"/>
      <c r="B17" s="1799"/>
      <c r="C17" s="4055"/>
      <c r="D17" s="4056"/>
      <c r="E17" s="4056"/>
      <c r="F17" s="4056"/>
      <c r="G17" s="2148" t="str">
        <f t="shared" si="2"/>
        <v/>
      </c>
      <c r="H17" s="68"/>
      <c r="I17" s="4724" t="str">
        <f>IF(C$11="","",INDEX(Tabla_ModElan,MATCH(C$11,INDEX(Tabla_ModElan,,1),0)+Tablas!$A6,1))</f>
        <v/>
      </c>
      <c r="J17" s="3765"/>
      <c r="K17" s="3765"/>
      <c r="L17" s="3765"/>
      <c r="M17" s="4739"/>
      <c r="N17" s="2705" t="str">
        <f t="shared" si="0"/>
        <v/>
      </c>
      <c r="O17" s="4717"/>
      <c r="P17" s="4718"/>
      <c r="Q17" s="4721"/>
      <c r="R17" s="173"/>
      <c r="S17" s="3104"/>
      <c r="T17" s="2159"/>
      <c r="U17" s="4055"/>
      <c r="V17" s="4056"/>
      <c r="W17" s="4056"/>
      <c r="X17" s="4056"/>
      <c r="Y17" s="2148" t="str">
        <f t="shared" si="3"/>
        <v/>
      </c>
      <c r="Z17" s="68"/>
      <c r="AA17" s="4724" t="str">
        <f>IF(U$11="","",INDEX(Tabla_ModElan,MATCH(U$11,INDEX(Tabla_ModElan,,1),0)+Tablas!$A6,1))</f>
        <v/>
      </c>
      <c r="AB17" s="3765"/>
      <c r="AC17" s="3765"/>
      <c r="AD17" s="3765"/>
      <c r="AE17" s="4739"/>
      <c r="AF17" s="2705" t="str">
        <f t="shared" si="1"/>
        <v/>
      </c>
      <c r="AG17" s="4717"/>
      <c r="AH17" s="4718"/>
      <c r="AI17" s="4721"/>
      <c r="AJ17" s="1807"/>
      <c r="AK17" s="190"/>
      <c r="AL17" s="3061" t="b">
        <f>IF(OR($G$11="",Elan!C17=""),FALSE,$G$11&lt;VLOOKUP(C17,Tabla_Elan,3,FALSE))</f>
        <v>0</v>
      </c>
      <c r="AM17" s="3061" t="b">
        <f>IF(OR($Y$11="",Elan!U17=""),FALSE,$Y$11&lt;VLOOKUP(U17,Tabla_Elan,3,FALSE))</f>
        <v>0</v>
      </c>
      <c r="AT17" s="43"/>
    </row>
    <row r="18" spans="1:56" ht="12" customHeight="1" x14ac:dyDescent="0.2">
      <c r="A18" s="190"/>
      <c r="B18" s="1799"/>
      <c r="C18" s="4722"/>
      <c r="D18" s="4723"/>
      <c r="E18" s="4723"/>
      <c r="F18" s="4723"/>
      <c r="G18" s="2147" t="str">
        <f t="shared" si="2"/>
        <v/>
      </c>
      <c r="H18" s="68"/>
      <c r="I18" s="4733" t="str">
        <f>IF(C$11="","",INDEX(Tabla_ModElan,MATCH(C$11,INDEX(Tabla_ModElan,,1),0)+Tablas!$A7,1))</f>
        <v/>
      </c>
      <c r="J18" s="4734"/>
      <c r="K18" s="4734"/>
      <c r="L18" s="4734"/>
      <c r="M18" s="4735"/>
      <c r="N18" s="2705" t="str">
        <f t="shared" si="0"/>
        <v/>
      </c>
      <c r="O18" s="4713" t="str">
        <f>IF(C$11="","",INDEX(Tabla_ModElan,MATCH(C$11,INDEX(Tabla_ModElan,,1),0)+Tablas!$A3,5))</f>
        <v/>
      </c>
      <c r="P18" s="4714"/>
      <c r="Q18" s="4719" t="str">
        <f>IF(O18="","",INDEX(Tabla_ModElan,MATCH(O18,INDEX(Tabla_ModElan,,5),0),6))</f>
        <v/>
      </c>
      <c r="R18" s="173"/>
      <c r="S18" s="3104"/>
      <c r="T18" s="2159"/>
      <c r="U18" s="4722"/>
      <c r="V18" s="4723"/>
      <c r="W18" s="4723"/>
      <c r="X18" s="4723"/>
      <c r="Y18" s="2147" t="str">
        <f t="shared" si="3"/>
        <v/>
      </c>
      <c r="Z18" s="68"/>
      <c r="AA18" s="4733" t="str">
        <f>IF(U$11="","",INDEX(Tabla_ModElan,MATCH(U$11,INDEX(Tabla_ModElan,,1),0)+Tablas!$A7,1))</f>
        <v/>
      </c>
      <c r="AB18" s="4734"/>
      <c r="AC18" s="4734"/>
      <c r="AD18" s="4734"/>
      <c r="AE18" s="4735"/>
      <c r="AF18" s="2705" t="str">
        <f t="shared" si="1"/>
        <v/>
      </c>
      <c r="AG18" s="4713" t="str">
        <f>IF(U$11="","",INDEX(Tabla_ModElan,MATCH(U$11,INDEX(Tabla_ModElan,,1),0)+Tablas!$A3,5))</f>
        <v/>
      </c>
      <c r="AH18" s="4714"/>
      <c r="AI18" s="4719" t="str">
        <f>IF(AG18="","",INDEX(Tabla_ModElan,MATCH(AG18,INDEX(Tabla_ModElan,,5),0),6))</f>
        <v/>
      </c>
      <c r="AJ18" s="1807"/>
      <c r="AK18" s="190"/>
      <c r="AL18" s="3061" t="b">
        <f>IF(OR($G$11="",Elan!C18=""),FALSE,$G$11&lt;VLOOKUP(C18,Tabla_Elan,3,FALSE))</f>
        <v>0</v>
      </c>
      <c r="AM18" s="3061" t="b">
        <f>IF(OR($Y$11="",Elan!U18=""),FALSE,$Y$11&lt;VLOOKUP(U18,Tabla_Elan,3,FALSE))</f>
        <v>0</v>
      </c>
      <c r="AQ18" s="2479"/>
      <c r="AR18" s="43"/>
      <c r="AS18" s="43"/>
      <c r="AT18" s="43"/>
    </row>
    <row r="19" spans="1:56" ht="12" customHeight="1" x14ac:dyDescent="0.2">
      <c r="A19" s="190"/>
      <c r="B19" s="1799"/>
      <c r="C19" s="4055"/>
      <c r="D19" s="4056"/>
      <c r="E19" s="4056"/>
      <c r="F19" s="4056"/>
      <c r="G19" s="2148" t="str">
        <f t="shared" si="2"/>
        <v/>
      </c>
      <c r="H19" s="68"/>
      <c r="I19" s="4736" t="s">
        <v>8566</v>
      </c>
      <c r="J19" s="4737"/>
      <c r="K19" s="4737"/>
      <c r="L19" s="4737"/>
      <c r="M19" s="4737"/>
      <c r="N19" s="4738"/>
      <c r="O19" s="4715"/>
      <c r="P19" s="4716"/>
      <c r="Q19" s="4720"/>
      <c r="R19" s="173"/>
      <c r="S19" s="3104"/>
      <c r="T19" s="2159"/>
      <c r="U19" s="4055"/>
      <c r="V19" s="4056"/>
      <c r="W19" s="4056"/>
      <c r="X19" s="4056"/>
      <c r="Y19" s="2148" t="str">
        <f t="shared" si="3"/>
        <v/>
      </c>
      <c r="Z19" s="68"/>
      <c r="AA19" s="4736" t="s">
        <v>8566</v>
      </c>
      <c r="AB19" s="4737"/>
      <c r="AC19" s="4737"/>
      <c r="AD19" s="4737"/>
      <c r="AE19" s="4737"/>
      <c r="AF19" s="4738"/>
      <c r="AG19" s="4715"/>
      <c r="AH19" s="4716"/>
      <c r="AI19" s="4720"/>
      <c r="AJ19" s="1807"/>
      <c r="AK19" s="190"/>
      <c r="AL19" s="3061" t="b">
        <f>IF(OR($G$11="",Elan!C19=""),FALSE,$G$11&lt;VLOOKUP(C19,Tabla_Elan,3,FALSE))</f>
        <v>0</v>
      </c>
      <c r="AM19" s="3061" t="b">
        <f>IF(OR($Y$11="",Elan!U19=""),FALSE,$Y$11&lt;VLOOKUP(U19,Tabla_Elan,3,FALSE))</f>
        <v>0</v>
      </c>
      <c r="AQ19" s="2479"/>
      <c r="AR19" s="43"/>
      <c r="AS19" s="43"/>
      <c r="AT19" s="43"/>
    </row>
    <row r="20" spans="1:56" ht="12" customHeight="1" x14ac:dyDescent="0.2">
      <c r="A20" s="190"/>
      <c r="B20" s="1799"/>
      <c r="C20" s="4722"/>
      <c r="D20" s="4723"/>
      <c r="E20" s="4723"/>
      <c r="F20" s="4723"/>
      <c r="G20" s="2149" t="str">
        <f t="shared" si="2"/>
        <v/>
      </c>
      <c r="H20" s="68"/>
      <c r="I20" s="4740" t="str">
        <f>IF(C$11="","",INDEX(Tabla_ModElan,MATCH(C$11,INDEX(Tabla_ModElan,,1),0)+Tablas!$A1,3))</f>
        <v/>
      </c>
      <c r="J20" s="4741"/>
      <c r="K20" s="4741"/>
      <c r="L20" s="4741"/>
      <c r="M20" s="4742"/>
      <c r="N20" s="2704" t="str">
        <f t="shared" ref="N20:N26" si="4">IF(I20="","",INDEX(Tabla_ModElan,MATCH(I20,INDEX(Tabla_ModElan,,3),0),4))</f>
        <v/>
      </c>
      <c r="O20" s="4717"/>
      <c r="P20" s="4718"/>
      <c r="Q20" s="4721"/>
      <c r="R20" s="173"/>
      <c r="S20" s="3104"/>
      <c r="T20" s="2159"/>
      <c r="U20" s="4722"/>
      <c r="V20" s="4723"/>
      <c r="W20" s="4723"/>
      <c r="X20" s="4723"/>
      <c r="Y20" s="2149" t="str">
        <f t="shared" si="3"/>
        <v/>
      </c>
      <c r="Z20" s="68"/>
      <c r="AA20" s="4740" t="str">
        <f>IF(U$11="","",INDEX(Tabla_ModElan,MATCH(U$11,INDEX(Tabla_ModElan,,1),0)+Tablas!$A1,3))</f>
        <v/>
      </c>
      <c r="AB20" s="4741"/>
      <c r="AC20" s="4741"/>
      <c r="AD20" s="4741"/>
      <c r="AE20" s="4742"/>
      <c r="AF20" s="2704" t="str">
        <f t="shared" ref="AF20:AF26" si="5">IF(AA20="","",INDEX(Tabla_ModElan,MATCH(AA20,INDEX(Tabla_ModElan,,3),0),4))</f>
        <v/>
      </c>
      <c r="AG20" s="4717"/>
      <c r="AH20" s="4718"/>
      <c r="AI20" s="4721"/>
      <c r="AJ20" s="1807"/>
      <c r="AK20" s="190"/>
      <c r="AL20" s="3061" t="b">
        <f>IF(OR($G$11="",Elan!C20=""),FALSE,$G$11&lt;VLOOKUP(C20,Tabla_Elan,3,FALSE))</f>
        <v>0</v>
      </c>
      <c r="AM20" s="3061" t="b">
        <f>IF(OR($Y$11="",Elan!U20=""),FALSE,$Y$11&lt;VLOOKUP(U20,Tabla_Elan,3,FALSE))</f>
        <v>0</v>
      </c>
      <c r="AQ20" s="2479"/>
      <c r="AR20" s="43"/>
      <c r="AS20" s="43"/>
      <c r="AT20" s="43"/>
    </row>
    <row r="21" spans="1:56" ht="12" customHeight="1" x14ac:dyDescent="0.2">
      <c r="A21" s="190"/>
      <c r="B21" s="1799"/>
      <c r="C21" s="4055"/>
      <c r="D21" s="4056"/>
      <c r="E21" s="4056"/>
      <c r="F21" s="4056"/>
      <c r="G21" s="2148" t="str">
        <f t="shared" si="2"/>
        <v/>
      </c>
      <c r="H21" s="68"/>
      <c r="I21" s="4724" t="str">
        <f>IF(C$11="","",INDEX(Tabla_ModElan,MATCH(C$11,INDEX(Tabla_ModElan,,1),0)+Tablas!$A2,3))</f>
        <v/>
      </c>
      <c r="J21" s="3765"/>
      <c r="K21" s="3765"/>
      <c r="L21" s="3765"/>
      <c r="M21" s="3765"/>
      <c r="N21" s="2705" t="str">
        <f t="shared" si="4"/>
        <v/>
      </c>
      <c r="O21" s="4713" t="str">
        <f>IF(C$11="","",INDEX(Tabla_ModElan,MATCH(C$11,INDEX(Tabla_ModElan,,1),0)+Tablas!$A4,5))</f>
        <v/>
      </c>
      <c r="P21" s="4714"/>
      <c r="Q21" s="4719" t="str">
        <f>IF(O21="","",INDEX(Tabla_ModElan,MATCH(O21,INDEX(Tabla_ModElan,,5),0),6))</f>
        <v/>
      </c>
      <c r="R21" s="173"/>
      <c r="S21" s="3104"/>
      <c r="T21" s="2159"/>
      <c r="U21" s="4055"/>
      <c r="V21" s="4056"/>
      <c r="W21" s="4056"/>
      <c r="X21" s="4056"/>
      <c r="Y21" s="2148" t="str">
        <f t="shared" si="3"/>
        <v/>
      </c>
      <c r="Z21" s="68"/>
      <c r="AA21" s="4724" t="str">
        <f>IF(U$11="","",INDEX(Tabla_ModElan,MATCH(U$11,INDEX(Tabla_ModElan,,1),0)+Tablas!$A2,3))</f>
        <v/>
      </c>
      <c r="AB21" s="3765"/>
      <c r="AC21" s="3765"/>
      <c r="AD21" s="3765"/>
      <c r="AE21" s="3765"/>
      <c r="AF21" s="2705" t="str">
        <f t="shared" si="5"/>
        <v/>
      </c>
      <c r="AG21" s="4713" t="str">
        <f>IF(U$11="","",INDEX(Tabla_ModElan,MATCH(U$11,INDEX(Tabla_ModElan,,1),0)+Tablas!$A4,5))</f>
        <v/>
      </c>
      <c r="AH21" s="4714"/>
      <c r="AI21" s="4719" t="str">
        <f>IF(AG21="","",INDEX(Tabla_ModElan,MATCH(AG21,INDEX(Tabla_ModElan,,5),0),6))</f>
        <v/>
      </c>
      <c r="AJ21" s="1807"/>
      <c r="AK21" s="190"/>
      <c r="AL21" s="3061" t="b">
        <f>IF(OR($G$11="",Elan!C21=""),FALSE,$G$11&lt;VLOOKUP(C21,Tabla_Elan,3,FALSE))</f>
        <v>0</v>
      </c>
      <c r="AM21" s="3061" t="b">
        <f>IF(OR($Y$11="",Elan!U21=""),FALSE,$Y$11&lt;VLOOKUP(U21,Tabla_Elan,3,FALSE))</f>
        <v>0</v>
      </c>
      <c r="AQ21" s="2479"/>
      <c r="AR21" s="43"/>
      <c r="AS21" s="43"/>
      <c r="AT21" s="43"/>
    </row>
    <row r="22" spans="1:56" ht="12" customHeight="1" x14ac:dyDescent="0.2">
      <c r="A22" s="190"/>
      <c r="B22" s="1799"/>
      <c r="C22" s="4722"/>
      <c r="D22" s="4723"/>
      <c r="E22" s="4723"/>
      <c r="F22" s="4723"/>
      <c r="G22" s="2149" t="str">
        <f t="shared" si="2"/>
        <v/>
      </c>
      <c r="H22" s="68"/>
      <c r="I22" s="4724" t="str">
        <f>IF(C$11="","",INDEX(Tabla_ModElan,MATCH(C$11,INDEX(Tabla_ModElan,,1),0)+Tablas!$A3,3))</f>
        <v/>
      </c>
      <c r="J22" s="3765"/>
      <c r="K22" s="3765"/>
      <c r="L22" s="3765"/>
      <c r="M22" s="3765"/>
      <c r="N22" s="2705" t="str">
        <f t="shared" si="4"/>
        <v/>
      </c>
      <c r="O22" s="4715"/>
      <c r="P22" s="4716"/>
      <c r="Q22" s="4720"/>
      <c r="R22" s="173"/>
      <c r="S22" s="3104"/>
      <c r="T22" s="2159"/>
      <c r="U22" s="4722"/>
      <c r="V22" s="4723"/>
      <c r="W22" s="4723"/>
      <c r="X22" s="4723"/>
      <c r="Y22" s="2149" t="str">
        <f t="shared" si="3"/>
        <v/>
      </c>
      <c r="Z22" s="68"/>
      <c r="AA22" s="4724" t="str">
        <f>IF(U$11="","",INDEX(Tabla_ModElan,MATCH(U$11,INDEX(Tabla_ModElan,,1),0)+Tablas!$A3,3))</f>
        <v/>
      </c>
      <c r="AB22" s="3765"/>
      <c r="AC22" s="3765"/>
      <c r="AD22" s="3765"/>
      <c r="AE22" s="3765"/>
      <c r="AF22" s="2705" t="str">
        <f t="shared" si="5"/>
        <v/>
      </c>
      <c r="AG22" s="4715"/>
      <c r="AH22" s="4716"/>
      <c r="AI22" s="4720"/>
      <c r="AJ22" s="1807"/>
      <c r="AK22" s="190"/>
      <c r="AL22" s="3061" t="b">
        <f>IF(OR($G$11="",Elan!C22=""),FALSE,$G$11&lt;VLOOKUP(C22,Tabla_Elan,3,FALSE))</f>
        <v>0</v>
      </c>
      <c r="AM22" s="3061" t="b">
        <f>IF(OR($Y$11="",Elan!U22=""),FALSE,$Y$11&lt;VLOOKUP(U22,Tabla_Elan,3,FALSE))</f>
        <v>0</v>
      </c>
      <c r="AQ22" s="2479"/>
      <c r="AR22" s="43"/>
      <c r="AS22" s="43"/>
      <c r="AT22" s="43"/>
    </row>
    <row r="23" spans="1:56" ht="12" customHeight="1" x14ac:dyDescent="0.2">
      <c r="A23" s="190"/>
      <c r="B23" s="1799"/>
      <c r="C23" s="4055"/>
      <c r="D23" s="4056"/>
      <c r="E23" s="4056"/>
      <c r="F23" s="4056"/>
      <c r="G23" s="2148" t="str">
        <f t="shared" si="2"/>
        <v/>
      </c>
      <c r="H23" s="68"/>
      <c r="I23" s="4724" t="str">
        <f>IF(C$11="","",INDEX(Tabla_ModElan,MATCH(C$11,INDEX(Tabla_ModElan,,1),0)+Tablas!$A4,3))</f>
        <v/>
      </c>
      <c r="J23" s="3765"/>
      <c r="K23" s="3765"/>
      <c r="L23" s="3765"/>
      <c r="M23" s="3765"/>
      <c r="N23" s="2705" t="str">
        <f t="shared" si="4"/>
        <v/>
      </c>
      <c r="O23" s="4717"/>
      <c r="P23" s="4718"/>
      <c r="Q23" s="4721"/>
      <c r="R23" s="173"/>
      <c r="S23" s="3104"/>
      <c r="T23" s="2159"/>
      <c r="U23" s="4055"/>
      <c r="V23" s="4056"/>
      <c r="W23" s="4056"/>
      <c r="X23" s="4056"/>
      <c r="Y23" s="2148" t="str">
        <f t="shared" si="3"/>
        <v/>
      </c>
      <c r="Z23" s="68"/>
      <c r="AA23" s="4724" t="str">
        <f>IF(U$11="","",INDEX(Tabla_ModElan,MATCH(U$11,INDEX(Tabla_ModElan,,1),0)+Tablas!$A4,3))</f>
        <v/>
      </c>
      <c r="AB23" s="3765"/>
      <c r="AC23" s="3765"/>
      <c r="AD23" s="3765"/>
      <c r="AE23" s="3765"/>
      <c r="AF23" s="2705" t="str">
        <f t="shared" si="5"/>
        <v/>
      </c>
      <c r="AG23" s="4717"/>
      <c r="AH23" s="4718"/>
      <c r="AI23" s="4721"/>
      <c r="AJ23" s="1807"/>
      <c r="AK23" s="190"/>
      <c r="AL23" s="3061" t="b">
        <f>IF(OR($G$11="",Elan!C23=""),FALSE,$G$11&lt;VLOOKUP(C23,Tabla_Elan,3,FALSE))</f>
        <v>0</v>
      </c>
      <c r="AM23" s="3061" t="b">
        <f>IF(OR($Y$11="",Elan!U23=""),FALSE,$Y$11&lt;VLOOKUP(U23,Tabla_Elan,3,FALSE))</f>
        <v>0</v>
      </c>
      <c r="AQ23" s="2479"/>
      <c r="AR23" s="43"/>
      <c r="AS23" s="43"/>
      <c r="AT23" s="43"/>
    </row>
    <row r="24" spans="1:56" ht="12" customHeight="1" x14ac:dyDescent="0.2">
      <c r="A24" s="190"/>
      <c r="B24" s="1799"/>
      <c r="C24" s="4722"/>
      <c r="D24" s="4723"/>
      <c r="E24" s="4723"/>
      <c r="F24" s="4723"/>
      <c r="G24" s="2149" t="str">
        <f t="shared" si="2"/>
        <v/>
      </c>
      <c r="H24" s="68"/>
      <c r="I24" s="4724" t="str">
        <f>IF(C$11="","",INDEX(Tabla_ModElan,MATCH(C$11,INDEX(Tabla_ModElan,,1),0)+Tablas!$A5,3))</f>
        <v/>
      </c>
      <c r="J24" s="3765"/>
      <c r="K24" s="3765"/>
      <c r="L24" s="3765"/>
      <c r="M24" s="3765"/>
      <c r="N24" s="2705" t="str">
        <f t="shared" si="4"/>
        <v/>
      </c>
      <c r="O24" s="4713" t="str">
        <f>IF(C$11="","",INDEX(Tabla_ModElan,MATCH(C$11,INDEX(Tabla_ModElan,,1),0)+Tablas!$A5,5))</f>
        <v/>
      </c>
      <c r="P24" s="4714"/>
      <c r="Q24" s="4719" t="str">
        <f>IF(O24="","",INDEX(Tabla_ModElan,MATCH(O24,INDEX(Tabla_ModElan,,5),0),6))</f>
        <v/>
      </c>
      <c r="R24" s="173"/>
      <c r="S24" s="3104"/>
      <c r="T24" s="2159"/>
      <c r="U24" s="4722"/>
      <c r="V24" s="4723"/>
      <c r="W24" s="4723"/>
      <c r="X24" s="4723"/>
      <c r="Y24" s="2149" t="str">
        <f t="shared" si="3"/>
        <v/>
      </c>
      <c r="Z24" s="68"/>
      <c r="AA24" s="4724" t="str">
        <f>IF(U$11="","",INDEX(Tabla_ModElan,MATCH(U$11,INDEX(Tabla_ModElan,,1),0)+Tablas!$A5,3))</f>
        <v/>
      </c>
      <c r="AB24" s="3765"/>
      <c r="AC24" s="3765"/>
      <c r="AD24" s="3765"/>
      <c r="AE24" s="3765"/>
      <c r="AF24" s="2705" t="str">
        <f t="shared" si="5"/>
        <v/>
      </c>
      <c r="AG24" s="4713" t="str">
        <f>IF(U$11="","",INDEX(Tabla_ModElan,MATCH(U$11,INDEX(Tabla_ModElan,,1),0)+Tablas!$A5,5))</f>
        <v/>
      </c>
      <c r="AH24" s="4714"/>
      <c r="AI24" s="4719" t="str">
        <f>IF(AG24="","",INDEX(Tabla_ModElan,MATCH(AG24,INDEX(Tabla_ModElan,,5),0),6))</f>
        <v/>
      </c>
      <c r="AJ24" s="1807"/>
      <c r="AK24" s="190"/>
      <c r="AL24" s="3061" t="b">
        <f>IF(OR($G$11="",Elan!C24=""),FALSE,$G$11&lt;VLOOKUP(C24,Tabla_Elan,3,FALSE))</f>
        <v>0</v>
      </c>
      <c r="AM24" s="3061" t="b">
        <f>IF(OR($Y$11="",Elan!U24=""),FALSE,$Y$11&lt;VLOOKUP(U24,Tabla_Elan,3,FALSE))</f>
        <v>0</v>
      </c>
      <c r="AQ24" s="2479"/>
      <c r="AR24" s="43"/>
    </row>
    <row r="25" spans="1:56" ht="12" customHeight="1" x14ac:dyDescent="0.2">
      <c r="A25" s="190"/>
      <c r="B25" s="1799"/>
      <c r="C25" s="4055"/>
      <c r="D25" s="4056"/>
      <c r="E25" s="4056"/>
      <c r="F25" s="4056"/>
      <c r="G25" s="2148" t="str">
        <f t="shared" si="2"/>
        <v/>
      </c>
      <c r="H25" s="68"/>
      <c r="I25" s="4724" t="str">
        <f>IF(C$11="","",INDEX(Tabla_ModElan,MATCH(C$11,INDEX(Tabla_ModElan,,1),0)+Tablas!$A6,3))</f>
        <v/>
      </c>
      <c r="J25" s="3765"/>
      <c r="K25" s="3765"/>
      <c r="L25" s="3765"/>
      <c r="M25" s="3765"/>
      <c r="N25" s="2705" t="str">
        <f t="shared" si="4"/>
        <v/>
      </c>
      <c r="O25" s="4715"/>
      <c r="P25" s="4716"/>
      <c r="Q25" s="4720"/>
      <c r="R25" s="173"/>
      <c r="S25" s="3104"/>
      <c r="T25" s="2159"/>
      <c r="U25" s="4055"/>
      <c r="V25" s="4056"/>
      <c r="W25" s="4056"/>
      <c r="X25" s="4056"/>
      <c r="Y25" s="2148" t="str">
        <f t="shared" si="3"/>
        <v/>
      </c>
      <c r="Z25" s="68"/>
      <c r="AA25" s="4724" t="str">
        <f>IF(U$11="","",INDEX(Tabla_ModElan,MATCH(U$11,INDEX(Tabla_ModElan,,1),0)+Tablas!$A6,3))</f>
        <v/>
      </c>
      <c r="AB25" s="3765"/>
      <c r="AC25" s="3765"/>
      <c r="AD25" s="3765"/>
      <c r="AE25" s="3765"/>
      <c r="AF25" s="2705" t="str">
        <f t="shared" si="5"/>
        <v/>
      </c>
      <c r="AG25" s="4715"/>
      <c r="AH25" s="4716"/>
      <c r="AI25" s="4720"/>
      <c r="AJ25" s="1807"/>
      <c r="AK25" s="190"/>
      <c r="AL25" s="3061" t="b">
        <f>IF(OR($G$11="",Elan!C25=""),FALSE,$G$11&lt;VLOOKUP(C25,Tabla_Elan,3,FALSE))</f>
        <v>0</v>
      </c>
      <c r="AM25" s="3061" t="b">
        <f>IF(OR($Y$11="",Elan!U25=""),FALSE,$Y$11&lt;VLOOKUP(U25,Tabla_Elan,3,FALSE))</f>
        <v>0</v>
      </c>
      <c r="AQ25" s="2479"/>
      <c r="AR25" s="43"/>
      <c r="AS25" s="173"/>
      <c r="AT25" s="173"/>
      <c r="AU25" s="173"/>
      <c r="AV25" s="173"/>
    </row>
    <row r="26" spans="1:56" ht="12" customHeight="1" thickBot="1" x14ac:dyDescent="0.25">
      <c r="A26" s="190"/>
      <c r="B26" s="1799"/>
      <c r="C26" s="4725" t="str">
        <f>IF(SUM(G13:G25)&gt;G11,"Exceso de Elán utilizado","")</f>
        <v/>
      </c>
      <c r="D26" s="4726"/>
      <c r="E26" s="4726"/>
      <c r="F26" s="4726"/>
      <c r="G26" s="4727"/>
      <c r="H26" s="68"/>
      <c r="I26" s="4728" t="str">
        <f>IF(C$11="","",INDEX(Tabla_ModElan,MATCH(C$11,INDEX(Tabla_ModElan,,1),0)+Tablas!$A7,3))</f>
        <v/>
      </c>
      <c r="J26" s="4729"/>
      <c r="K26" s="4729"/>
      <c r="L26" s="4729"/>
      <c r="M26" s="4729"/>
      <c r="N26" s="2706" t="str">
        <f t="shared" si="4"/>
        <v/>
      </c>
      <c r="O26" s="4730"/>
      <c r="P26" s="4731"/>
      <c r="Q26" s="4732"/>
      <c r="R26" s="173"/>
      <c r="S26" s="3104"/>
      <c r="T26" s="2159"/>
      <c r="U26" s="4725" t="str">
        <f>IF(SUM(Y13:Y25)&gt;Y11,"Exceso de Elán utilizado","")</f>
        <v/>
      </c>
      <c r="V26" s="4726"/>
      <c r="W26" s="4726"/>
      <c r="X26" s="4726"/>
      <c r="Y26" s="4727"/>
      <c r="Z26" s="68"/>
      <c r="AA26" s="4728" t="str">
        <f>IF(U$11="","",INDEX(Tabla_ModElan,MATCH(U$11,INDEX(Tabla_ModElan,,1),0)+Tablas!$A7,3))</f>
        <v/>
      </c>
      <c r="AB26" s="4729"/>
      <c r="AC26" s="4729"/>
      <c r="AD26" s="4729"/>
      <c r="AE26" s="4729"/>
      <c r="AF26" s="2706" t="str">
        <f t="shared" si="5"/>
        <v/>
      </c>
      <c r="AG26" s="4730"/>
      <c r="AH26" s="4731"/>
      <c r="AI26" s="4732"/>
      <c r="AJ26" s="1807"/>
      <c r="AK26" s="190"/>
      <c r="AQ26" s="2479"/>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5"/>
      <c r="AK27" s="190"/>
      <c r="AQ27" s="2479"/>
      <c r="AR27" s="43"/>
      <c r="AS27" s="43"/>
      <c r="AT27" s="43"/>
    </row>
    <row r="28" spans="1:56" ht="12" customHeight="1" x14ac:dyDescent="0.2">
      <c r="A28" s="190"/>
      <c r="B28" s="1799"/>
      <c r="C28" s="3380" t="s">
        <v>8894</v>
      </c>
      <c r="D28" s="3381"/>
      <c r="E28" s="3381"/>
      <c r="F28" s="3381"/>
      <c r="G28" s="4710" t="s">
        <v>1866</v>
      </c>
      <c r="H28" s="4711"/>
      <c r="I28" s="4711"/>
      <c r="J28" s="4711"/>
      <c r="K28" s="4711"/>
      <c r="L28" s="4711"/>
      <c r="M28" s="4711"/>
      <c r="N28" s="4711"/>
      <c r="O28" s="4711"/>
      <c r="P28" s="4711"/>
      <c r="Q28" s="4711"/>
      <c r="R28" s="4711"/>
      <c r="S28" s="4711"/>
      <c r="T28" s="4711"/>
      <c r="U28" s="4711"/>
      <c r="V28" s="4711"/>
      <c r="W28" s="4711"/>
      <c r="X28" s="4711"/>
      <c r="Y28" s="4711"/>
      <c r="Z28" s="4711"/>
      <c r="AA28" s="4711"/>
      <c r="AB28" s="4711"/>
      <c r="AC28" s="4711"/>
      <c r="AD28" s="4711"/>
      <c r="AE28" s="4711"/>
      <c r="AF28" s="4711"/>
      <c r="AG28" s="4711"/>
      <c r="AH28" s="4711"/>
      <c r="AI28" s="4712"/>
      <c r="AJ28" s="3105"/>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709" t="str">
        <f t="shared" ref="G29:G49" si="6">IF(F29="","",VLOOKUP(F29,Tabla_Elan,8,FALSE))</f>
        <v/>
      </c>
      <c r="H29" s="3390"/>
      <c r="I29" s="3390"/>
      <c r="J29" s="3390"/>
      <c r="K29" s="3390"/>
      <c r="L29" s="3390"/>
      <c r="M29" s="3390"/>
      <c r="N29" s="3390"/>
      <c r="O29" s="3390"/>
      <c r="P29" s="3390"/>
      <c r="Q29" s="3390"/>
      <c r="R29" s="3390"/>
      <c r="S29" s="3390"/>
      <c r="T29" s="3390"/>
      <c r="U29" s="3390"/>
      <c r="V29" s="3390"/>
      <c r="W29" s="3390"/>
      <c r="X29" s="3390"/>
      <c r="Y29" s="3390"/>
      <c r="Z29" s="3390"/>
      <c r="AA29" s="3390"/>
      <c r="AB29" s="3390"/>
      <c r="AC29" s="3390"/>
      <c r="AD29" s="3390"/>
      <c r="AE29" s="3390"/>
      <c r="AF29" s="3390"/>
      <c r="AG29" s="3390"/>
      <c r="AH29" s="3390"/>
      <c r="AI29" s="4082"/>
      <c r="AJ29" s="3105"/>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09" t="str">
        <f t="shared" si="6"/>
        <v/>
      </c>
      <c r="H30" s="3390"/>
      <c r="I30" s="3390"/>
      <c r="J30" s="3390"/>
      <c r="K30" s="3390"/>
      <c r="L30" s="3390"/>
      <c r="M30" s="3390"/>
      <c r="N30" s="3390"/>
      <c r="O30" s="3390"/>
      <c r="P30" s="3390"/>
      <c r="Q30" s="3390"/>
      <c r="R30" s="3390"/>
      <c r="S30" s="3390"/>
      <c r="T30" s="3390"/>
      <c r="U30" s="3390"/>
      <c r="V30" s="3390"/>
      <c r="W30" s="3390"/>
      <c r="X30" s="3390"/>
      <c r="Y30" s="3390"/>
      <c r="Z30" s="3390"/>
      <c r="AA30" s="3390"/>
      <c r="AB30" s="3390"/>
      <c r="AC30" s="3390"/>
      <c r="AD30" s="3390"/>
      <c r="AE30" s="3390"/>
      <c r="AF30" s="3390"/>
      <c r="AG30" s="3390"/>
      <c r="AH30" s="3390"/>
      <c r="AI30" s="4082"/>
      <c r="AJ30" s="3105"/>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09" t="str">
        <f t="shared" si="6"/>
        <v/>
      </c>
      <c r="H31" s="3390"/>
      <c r="I31" s="3390"/>
      <c r="J31" s="3390"/>
      <c r="K31" s="3390"/>
      <c r="L31" s="3390"/>
      <c r="M31" s="3390"/>
      <c r="N31" s="3390"/>
      <c r="O31" s="3390"/>
      <c r="P31" s="3390"/>
      <c r="Q31" s="3390"/>
      <c r="R31" s="3390"/>
      <c r="S31" s="3390"/>
      <c r="T31" s="3390"/>
      <c r="U31" s="3390"/>
      <c r="V31" s="3390"/>
      <c r="W31" s="3390"/>
      <c r="X31" s="3390"/>
      <c r="Y31" s="3390"/>
      <c r="Z31" s="3390"/>
      <c r="AA31" s="3390"/>
      <c r="AB31" s="3390"/>
      <c r="AC31" s="3390"/>
      <c r="AD31" s="3390"/>
      <c r="AE31" s="3390"/>
      <c r="AF31" s="3390"/>
      <c r="AG31" s="3390"/>
      <c r="AH31" s="3390"/>
      <c r="AI31" s="4082"/>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09" t="str">
        <f t="shared" si="6"/>
        <v/>
      </c>
      <c r="H32" s="3390"/>
      <c r="I32" s="3390"/>
      <c r="J32" s="3390"/>
      <c r="K32" s="3390"/>
      <c r="L32" s="3390"/>
      <c r="M32" s="3390"/>
      <c r="N32" s="3390"/>
      <c r="O32" s="3390"/>
      <c r="P32" s="3390"/>
      <c r="Q32" s="3390"/>
      <c r="R32" s="3390"/>
      <c r="S32" s="3390"/>
      <c r="T32" s="3390"/>
      <c r="U32" s="3390"/>
      <c r="V32" s="3390"/>
      <c r="W32" s="3390"/>
      <c r="X32" s="3390"/>
      <c r="Y32" s="3390"/>
      <c r="Z32" s="3390"/>
      <c r="AA32" s="3390"/>
      <c r="AB32" s="3390"/>
      <c r="AC32" s="3390"/>
      <c r="AD32" s="3390"/>
      <c r="AE32" s="3390"/>
      <c r="AF32" s="3390"/>
      <c r="AG32" s="3390"/>
      <c r="AH32" s="3390"/>
      <c r="AI32" s="4082"/>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09" t="str">
        <f t="shared" si="6"/>
        <v/>
      </c>
      <c r="H33" s="3390"/>
      <c r="I33" s="3390"/>
      <c r="J33" s="3390"/>
      <c r="K33" s="3390"/>
      <c r="L33" s="3390"/>
      <c r="M33" s="3390"/>
      <c r="N33" s="3390"/>
      <c r="O33" s="3390"/>
      <c r="P33" s="3390"/>
      <c r="Q33" s="3390"/>
      <c r="R33" s="3390"/>
      <c r="S33" s="3390"/>
      <c r="T33" s="3390"/>
      <c r="U33" s="3390"/>
      <c r="V33" s="3390"/>
      <c r="W33" s="3390"/>
      <c r="X33" s="3390"/>
      <c r="Y33" s="3390"/>
      <c r="Z33" s="3390"/>
      <c r="AA33" s="3390"/>
      <c r="AB33" s="3390"/>
      <c r="AC33" s="3390"/>
      <c r="AD33" s="3390"/>
      <c r="AE33" s="3390"/>
      <c r="AF33" s="3390"/>
      <c r="AG33" s="3390"/>
      <c r="AH33" s="3390"/>
      <c r="AI33" s="4082"/>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09" t="str">
        <f t="shared" si="6"/>
        <v/>
      </c>
      <c r="H34" s="3390"/>
      <c r="I34" s="3390"/>
      <c r="J34" s="3390"/>
      <c r="K34" s="3390"/>
      <c r="L34" s="3390"/>
      <c r="M34" s="3390"/>
      <c r="N34" s="3390"/>
      <c r="O34" s="3390"/>
      <c r="P34" s="3390"/>
      <c r="Q34" s="3390"/>
      <c r="R34" s="3390"/>
      <c r="S34" s="3390"/>
      <c r="T34" s="3390"/>
      <c r="U34" s="3390"/>
      <c r="V34" s="3390"/>
      <c r="W34" s="3390"/>
      <c r="X34" s="3390"/>
      <c r="Y34" s="3390"/>
      <c r="Z34" s="3390"/>
      <c r="AA34" s="3390"/>
      <c r="AB34" s="3390"/>
      <c r="AC34" s="3390"/>
      <c r="AD34" s="3390"/>
      <c r="AE34" s="3390"/>
      <c r="AF34" s="3390"/>
      <c r="AG34" s="3390"/>
      <c r="AH34" s="3390"/>
      <c r="AI34" s="4082"/>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09" t="str">
        <f t="shared" si="6"/>
        <v/>
      </c>
      <c r="H35" s="3390"/>
      <c r="I35" s="3390"/>
      <c r="J35" s="3390"/>
      <c r="K35" s="3390"/>
      <c r="L35" s="3390"/>
      <c r="M35" s="3390"/>
      <c r="N35" s="3390"/>
      <c r="O35" s="3390"/>
      <c r="P35" s="3390"/>
      <c r="Q35" s="3390"/>
      <c r="R35" s="3390"/>
      <c r="S35" s="3390"/>
      <c r="T35" s="3390"/>
      <c r="U35" s="3390"/>
      <c r="V35" s="3390"/>
      <c r="W35" s="3390"/>
      <c r="X35" s="3390"/>
      <c r="Y35" s="3390"/>
      <c r="Z35" s="3390"/>
      <c r="AA35" s="3390"/>
      <c r="AB35" s="3390"/>
      <c r="AC35" s="3390"/>
      <c r="AD35" s="3390"/>
      <c r="AE35" s="3390"/>
      <c r="AF35" s="3390"/>
      <c r="AG35" s="3390"/>
      <c r="AH35" s="3390"/>
      <c r="AI35" s="4082"/>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09" t="str">
        <f t="shared" si="6"/>
        <v/>
      </c>
      <c r="H36" s="3390"/>
      <c r="I36" s="3390"/>
      <c r="J36" s="3390"/>
      <c r="K36" s="3390"/>
      <c r="L36" s="3390"/>
      <c r="M36" s="3390"/>
      <c r="N36" s="3390"/>
      <c r="O36" s="3390"/>
      <c r="P36" s="3390"/>
      <c r="Q36" s="3390"/>
      <c r="R36" s="3390"/>
      <c r="S36" s="3390"/>
      <c r="T36" s="3390"/>
      <c r="U36" s="3390"/>
      <c r="V36" s="3390"/>
      <c r="W36" s="3390"/>
      <c r="X36" s="3390"/>
      <c r="Y36" s="3390"/>
      <c r="Z36" s="3390"/>
      <c r="AA36" s="3390"/>
      <c r="AB36" s="3390"/>
      <c r="AC36" s="3390"/>
      <c r="AD36" s="3390"/>
      <c r="AE36" s="3390"/>
      <c r="AF36" s="3390"/>
      <c r="AG36" s="3390"/>
      <c r="AH36" s="3390"/>
      <c r="AI36" s="4082"/>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09" t="str">
        <f t="shared" si="6"/>
        <v/>
      </c>
      <c r="H37" s="3390"/>
      <c r="I37" s="3390"/>
      <c r="J37" s="3390"/>
      <c r="K37" s="3390"/>
      <c r="L37" s="3390"/>
      <c r="M37" s="3390"/>
      <c r="N37" s="3390"/>
      <c r="O37" s="3390"/>
      <c r="P37" s="3390"/>
      <c r="Q37" s="3390"/>
      <c r="R37" s="3390"/>
      <c r="S37" s="3390"/>
      <c r="T37" s="3390"/>
      <c r="U37" s="3390"/>
      <c r="V37" s="3390"/>
      <c r="W37" s="3390"/>
      <c r="X37" s="3390"/>
      <c r="Y37" s="3390"/>
      <c r="Z37" s="3390"/>
      <c r="AA37" s="3390"/>
      <c r="AB37" s="3390"/>
      <c r="AC37" s="3390"/>
      <c r="AD37" s="3390"/>
      <c r="AE37" s="3390"/>
      <c r="AF37" s="3390"/>
      <c r="AG37" s="3390"/>
      <c r="AH37" s="3390"/>
      <c r="AI37" s="4082"/>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09" t="str">
        <f t="shared" si="6"/>
        <v/>
      </c>
      <c r="H38" s="3390"/>
      <c r="I38" s="3390"/>
      <c r="J38" s="3390"/>
      <c r="K38" s="3390"/>
      <c r="L38" s="3390"/>
      <c r="M38" s="3390"/>
      <c r="N38" s="3390"/>
      <c r="O38" s="3390"/>
      <c r="P38" s="3390"/>
      <c r="Q38" s="3390"/>
      <c r="R38" s="3390"/>
      <c r="S38" s="3390"/>
      <c r="T38" s="3390"/>
      <c r="U38" s="3390"/>
      <c r="V38" s="3390"/>
      <c r="W38" s="3390"/>
      <c r="X38" s="3390"/>
      <c r="Y38" s="3390"/>
      <c r="Z38" s="3390"/>
      <c r="AA38" s="3390"/>
      <c r="AB38" s="3390"/>
      <c r="AC38" s="3390"/>
      <c r="AD38" s="3390"/>
      <c r="AE38" s="3390"/>
      <c r="AF38" s="3390"/>
      <c r="AG38" s="3390"/>
      <c r="AH38" s="3390"/>
      <c r="AI38" s="4082"/>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09" t="str">
        <f t="shared" si="6"/>
        <v/>
      </c>
      <c r="H39" s="3390"/>
      <c r="I39" s="3390"/>
      <c r="J39" s="3390"/>
      <c r="K39" s="3390"/>
      <c r="L39" s="3390"/>
      <c r="M39" s="3390"/>
      <c r="N39" s="3390"/>
      <c r="O39" s="3390"/>
      <c r="P39" s="3390"/>
      <c r="Q39" s="3390"/>
      <c r="R39" s="3390"/>
      <c r="S39" s="3390"/>
      <c r="T39" s="3390"/>
      <c r="U39" s="3390"/>
      <c r="V39" s="3390"/>
      <c r="W39" s="3390"/>
      <c r="X39" s="3390"/>
      <c r="Y39" s="3390"/>
      <c r="Z39" s="3390"/>
      <c r="AA39" s="3390"/>
      <c r="AB39" s="3390"/>
      <c r="AC39" s="3390"/>
      <c r="AD39" s="3390"/>
      <c r="AE39" s="3390"/>
      <c r="AF39" s="3390"/>
      <c r="AG39" s="3390"/>
      <c r="AH39" s="3390"/>
      <c r="AI39" s="4082"/>
      <c r="AJ39" s="1807"/>
      <c r="AK39" s="190"/>
    </row>
    <row r="40" spans="1:56" ht="12" customHeight="1" x14ac:dyDescent="0.2">
      <c r="A40" s="190"/>
      <c r="B40" s="1799"/>
      <c r="C40" s="2032"/>
      <c r="D40" s="375"/>
      <c r="E40" s="375"/>
      <c r="F40" s="2031" t="str">
        <f>IF(ISNA(MATCH(Tablas!$A12,INDEX(Tabla_Elan,,14),0)),"",INDEX(INDEX(Tabla_Elan,,1),MATCH(Tablas!$A12,INDEX(Tabla_Elan,,14),0)))</f>
        <v/>
      </c>
      <c r="G40" s="4709" t="str">
        <f t="shared" si="6"/>
        <v/>
      </c>
      <c r="H40" s="3390"/>
      <c r="I40" s="3390"/>
      <c r="J40" s="3390"/>
      <c r="K40" s="3390"/>
      <c r="L40" s="3390"/>
      <c r="M40" s="3390"/>
      <c r="N40" s="3390"/>
      <c r="O40" s="3390"/>
      <c r="P40" s="3390"/>
      <c r="Q40" s="3390"/>
      <c r="R40" s="3390"/>
      <c r="S40" s="3390"/>
      <c r="T40" s="3390"/>
      <c r="U40" s="3390"/>
      <c r="V40" s="3390"/>
      <c r="W40" s="3390"/>
      <c r="X40" s="3390"/>
      <c r="Y40" s="3390"/>
      <c r="Z40" s="3390"/>
      <c r="AA40" s="3390"/>
      <c r="AB40" s="3390"/>
      <c r="AC40" s="3390"/>
      <c r="AD40" s="3390"/>
      <c r="AE40" s="3390"/>
      <c r="AF40" s="3390"/>
      <c r="AG40" s="3390"/>
      <c r="AH40" s="3390"/>
      <c r="AI40" s="4082"/>
      <c r="AJ40" s="1807"/>
      <c r="AK40" s="190"/>
    </row>
    <row r="41" spans="1:56" ht="12" customHeight="1" x14ac:dyDescent="0.2">
      <c r="A41" s="190"/>
      <c r="B41" s="1799"/>
      <c r="C41" s="2032"/>
      <c r="D41" s="375"/>
      <c r="E41" s="375"/>
      <c r="F41" s="2031" t="str">
        <f>IF(ISNA(MATCH(Tablas!$A13,INDEX(Tabla_Elan,,14),0)),"",INDEX(INDEX(Tabla_Elan,,1),MATCH(Tablas!$A13,INDEX(Tabla_Elan,,14),0)))</f>
        <v/>
      </c>
      <c r="G41" s="4709" t="str">
        <f t="shared" si="6"/>
        <v/>
      </c>
      <c r="H41" s="3390"/>
      <c r="I41" s="3390"/>
      <c r="J41" s="3390"/>
      <c r="K41" s="3390"/>
      <c r="L41" s="3390"/>
      <c r="M41" s="3390"/>
      <c r="N41" s="3390"/>
      <c r="O41" s="3390"/>
      <c r="P41" s="3390"/>
      <c r="Q41" s="3390"/>
      <c r="R41" s="3390"/>
      <c r="S41" s="3390"/>
      <c r="T41" s="3390"/>
      <c r="U41" s="3390"/>
      <c r="V41" s="3390"/>
      <c r="W41" s="3390"/>
      <c r="X41" s="3390"/>
      <c r="Y41" s="3390"/>
      <c r="Z41" s="3390"/>
      <c r="AA41" s="3390"/>
      <c r="AB41" s="3390"/>
      <c r="AC41" s="3390"/>
      <c r="AD41" s="3390"/>
      <c r="AE41" s="3390"/>
      <c r="AF41" s="3390"/>
      <c r="AG41" s="3390"/>
      <c r="AH41" s="3390"/>
      <c r="AI41" s="4082"/>
      <c r="AJ41" s="1807"/>
      <c r="AK41" s="190"/>
    </row>
    <row r="42" spans="1:56" ht="12" customHeight="1" x14ac:dyDescent="0.2">
      <c r="A42" s="190"/>
      <c r="B42" s="1799"/>
      <c r="C42" s="2032"/>
      <c r="D42" s="375"/>
      <c r="E42" s="375"/>
      <c r="F42" s="2031" t="str">
        <f>IF(ISNA(MATCH(Tablas!$A14,INDEX(Tabla_Elan,,14),0)),"",INDEX(INDEX(Tabla_Elan,,1),MATCH(Tablas!$A14,INDEX(Tabla_Elan,,14),0)))</f>
        <v/>
      </c>
      <c r="G42" s="4709" t="str">
        <f t="shared" si="6"/>
        <v/>
      </c>
      <c r="H42" s="3390"/>
      <c r="I42" s="3390"/>
      <c r="J42" s="3390"/>
      <c r="K42" s="3390"/>
      <c r="L42" s="3390"/>
      <c r="M42" s="3390"/>
      <c r="N42" s="3390"/>
      <c r="O42" s="3390"/>
      <c r="P42" s="3390"/>
      <c r="Q42" s="3390"/>
      <c r="R42" s="3390"/>
      <c r="S42" s="3390"/>
      <c r="T42" s="3390"/>
      <c r="U42" s="3390"/>
      <c r="V42" s="3390"/>
      <c r="W42" s="3390"/>
      <c r="X42" s="3390"/>
      <c r="Y42" s="3390"/>
      <c r="Z42" s="3390"/>
      <c r="AA42" s="3390"/>
      <c r="AB42" s="3390"/>
      <c r="AC42" s="3390"/>
      <c r="AD42" s="3390"/>
      <c r="AE42" s="3390"/>
      <c r="AF42" s="3390"/>
      <c r="AG42" s="3390"/>
      <c r="AH42" s="3390"/>
      <c r="AI42" s="4082"/>
      <c r="AJ42" s="1807"/>
      <c r="AK42" s="190"/>
    </row>
    <row r="43" spans="1:56" ht="12" customHeight="1" x14ac:dyDescent="0.2">
      <c r="A43" s="190"/>
      <c r="B43" s="1799"/>
      <c r="C43" s="2032"/>
      <c r="D43" s="375"/>
      <c r="E43" s="375"/>
      <c r="F43" s="2031" t="str">
        <f>IF(ISNA(MATCH(Tablas!$A15,INDEX(Tabla_Elan,,14),0)),"",INDEX(INDEX(Tabla_Elan,,1),MATCH(Tablas!$A15,INDEX(Tabla_Elan,,14),0)))</f>
        <v/>
      </c>
      <c r="G43" s="4709" t="str">
        <f t="shared" si="6"/>
        <v/>
      </c>
      <c r="H43" s="3390"/>
      <c r="I43" s="3390"/>
      <c r="J43" s="3390"/>
      <c r="K43" s="3390"/>
      <c r="L43" s="3390"/>
      <c r="M43" s="3390"/>
      <c r="N43" s="3390"/>
      <c r="O43" s="3390"/>
      <c r="P43" s="3390"/>
      <c r="Q43" s="3390"/>
      <c r="R43" s="3390"/>
      <c r="S43" s="3390"/>
      <c r="T43" s="3390"/>
      <c r="U43" s="3390"/>
      <c r="V43" s="3390"/>
      <c r="W43" s="3390"/>
      <c r="X43" s="3390"/>
      <c r="Y43" s="3390"/>
      <c r="Z43" s="3390"/>
      <c r="AA43" s="3390"/>
      <c r="AB43" s="3390"/>
      <c r="AC43" s="3390"/>
      <c r="AD43" s="3390"/>
      <c r="AE43" s="3390"/>
      <c r="AF43" s="3390"/>
      <c r="AG43" s="3390"/>
      <c r="AH43" s="3390"/>
      <c r="AI43" s="4082"/>
      <c r="AJ43" s="1807"/>
      <c r="AK43" s="190"/>
    </row>
    <row r="44" spans="1:56" ht="12" customHeight="1" x14ac:dyDescent="0.2">
      <c r="A44" s="190"/>
      <c r="B44" s="1799"/>
      <c r="C44" s="2032"/>
      <c r="D44" s="375"/>
      <c r="E44" s="375"/>
      <c r="F44" s="2031" t="str">
        <f>IF(ISNA(MATCH(Tablas!$A16,INDEX(Tabla_Elan,,14),0)),"",INDEX(INDEX(Tabla_Elan,,1),MATCH(Tablas!$A16,INDEX(Tabla_Elan,,14),0)))</f>
        <v/>
      </c>
      <c r="G44" s="4709" t="str">
        <f t="shared" si="6"/>
        <v/>
      </c>
      <c r="H44" s="3390"/>
      <c r="I44" s="3390"/>
      <c r="J44" s="3390"/>
      <c r="K44" s="3390"/>
      <c r="L44" s="3390"/>
      <c r="M44" s="3390"/>
      <c r="N44" s="3390"/>
      <c r="O44" s="3390"/>
      <c r="P44" s="3390"/>
      <c r="Q44" s="3390"/>
      <c r="R44" s="3390"/>
      <c r="S44" s="3390"/>
      <c r="T44" s="3390"/>
      <c r="U44" s="3390"/>
      <c r="V44" s="3390"/>
      <c r="W44" s="3390"/>
      <c r="X44" s="3390"/>
      <c r="Y44" s="3390"/>
      <c r="Z44" s="3390"/>
      <c r="AA44" s="3390"/>
      <c r="AB44" s="3390"/>
      <c r="AC44" s="3390"/>
      <c r="AD44" s="3390"/>
      <c r="AE44" s="3390"/>
      <c r="AF44" s="3390"/>
      <c r="AG44" s="3390"/>
      <c r="AH44" s="3390"/>
      <c r="AI44" s="4082"/>
      <c r="AJ44" s="1807"/>
      <c r="AK44" s="190"/>
    </row>
    <row r="45" spans="1:56" ht="12" customHeight="1" x14ac:dyDescent="0.2">
      <c r="A45" s="190"/>
      <c r="B45" s="1799"/>
      <c r="C45" s="2032"/>
      <c r="D45" s="375"/>
      <c r="E45" s="375"/>
      <c r="F45" s="2031" t="str">
        <f>IF(ISNA(MATCH(Tablas!$A17,INDEX(Tabla_Elan,,14),0)),"",INDEX(INDEX(Tabla_Elan,,1),MATCH(Tablas!$A17,INDEX(Tabla_Elan,,14),0)))</f>
        <v/>
      </c>
      <c r="G45" s="3065" t="str">
        <f t="shared" si="6"/>
        <v/>
      </c>
      <c r="H45" s="3054"/>
      <c r="I45" s="3054"/>
      <c r="J45" s="3054"/>
      <c r="K45" s="3054"/>
      <c r="L45" s="3054"/>
      <c r="M45" s="3054"/>
      <c r="N45" s="3054"/>
      <c r="O45" s="3054"/>
      <c r="P45" s="3054"/>
      <c r="Q45" s="3054"/>
      <c r="R45" s="3054"/>
      <c r="S45" s="3054"/>
      <c r="T45" s="3054"/>
      <c r="U45" s="3054"/>
      <c r="V45" s="3054"/>
      <c r="W45" s="3054"/>
      <c r="X45" s="3054"/>
      <c r="Y45" s="3054"/>
      <c r="Z45" s="3054"/>
      <c r="AA45" s="3054"/>
      <c r="AB45" s="3054"/>
      <c r="AC45" s="3054"/>
      <c r="AD45" s="3054"/>
      <c r="AE45" s="3054"/>
      <c r="AF45" s="3054"/>
      <c r="AG45" s="3054"/>
      <c r="AH45" s="3054"/>
      <c r="AI45" s="3062"/>
      <c r="AJ45" s="1807"/>
      <c r="AK45" s="190"/>
    </row>
    <row r="46" spans="1:56" ht="12" customHeight="1" x14ac:dyDescent="0.2">
      <c r="A46" s="190"/>
      <c r="B46" s="1799"/>
      <c r="C46" s="2032"/>
      <c r="D46" s="375"/>
      <c r="E46" s="375"/>
      <c r="F46" s="2031" t="str">
        <f>IF(ISNA(MATCH(Tablas!$A18,INDEX(Tabla_Elan,,14),0)),"",INDEX(INDEX(Tabla_Elan,,1),MATCH(Tablas!$A18,INDEX(Tabla_Elan,,14),0)))</f>
        <v/>
      </c>
      <c r="G46" s="3065" t="str">
        <f t="shared" si="6"/>
        <v/>
      </c>
      <c r="H46" s="3054"/>
      <c r="I46" s="3054"/>
      <c r="J46" s="3054"/>
      <c r="K46" s="3054"/>
      <c r="L46" s="3054"/>
      <c r="M46" s="3054"/>
      <c r="N46" s="3054"/>
      <c r="O46" s="3054"/>
      <c r="P46" s="3054"/>
      <c r="Q46" s="3054"/>
      <c r="R46" s="3054"/>
      <c r="S46" s="3054"/>
      <c r="T46" s="3054"/>
      <c r="U46" s="3054"/>
      <c r="V46" s="3054"/>
      <c r="W46" s="3054"/>
      <c r="X46" s="3054"/>
      <c r="Y46" s="3054"/>
      <c r="Z46" s="3054"/>
      <c r="AA46" s="3054"/>
      <c r="AB46" s="3054"/>
      <c r="AC46" s="3054"/>
      <c r="AD46" s="3054"/>
      <c r="AE46" s="3054"/>
      <c r="AF46" s="3054"/>
      <c r="AG46" s="3054"/>
      <c r="AH46" s="3054"/>
      <c r="AI46" s="3062"/>
      <c r="AJ46" s="1807"/>
      <c r="AK46" s="190"/>
    </row>
    <row r="47" spans="1:56" ht="12" customHeight="1" x14ac:dyDescent="0.2">
      <c r="A47" s="190"/>
      <c r="B47" s="1799"/>
      <c r="C47" s="2032"/>
      <c r="D47" s="375"/>
      <c r="E47" s="375"/>
      <c r="F47" s="2031" t="str">
        <f>IF(ISNA(MATCH(Tablas!$A19,INDEX(Tabla_Elan,,14),0)),"",INDEX(INDEX(Tabla_Elan,,1),MATCH(Tablas!$A19,INDEX(Tabla_Elan,,14),0)))</f>
        <v/>
      </c>
      <c r="G47" s="3065" t="str">
        <f t="shared" si="6"/>
        <v/>
      </c>
      <c r="H47" s="3054"/>
      <c r="I47" s="3054"/>
      <c r="J47" s="3054"/>
      <c r="K47" s="3054"/>
      <c r="L47" s="3054"/>
      <c r="M47" s="3054"/>
      <c r="N47" s="3054"/>
      <c r="O47" s="3054"/>
      <c r="P47" s="3054"/>
      <c r="Q47" s="3054"/>
      <c r="R47" s="3054"/>
      <c r="S47" s="3054"/>
      <c r="T47" s="3054"/>
      <c r="U47" s="3054"/>
      <c r="V47" s="3054"/>
      <c r="W47" s="3054"/>
      <c r="X47" s="3054"/>
      <c r="Y47" s="3054"/>
      <c r="Z47" s="3054"/>
      <c r="AA47" s="3054"/>
      <c r="AB47" s="3054"/>
      <c r="AC47" s="3054"/>
      <c r="AD47" s="3054"/>
      <c r="AE47" s="3054"/>
      <c r="AF47" s="3054"/>
      <c r="AG47" s="3054"/>
      <c r="AH47" s="3054"/>
      <c r="AI47" s="3062"/>
      <c r="AJ47" s="1807"/>
      <c r="AK47" s="190"/>
    </row>
    <row r="48" spans="1:56" ht="12" customHeight="1" x14ac:dyDescent="0.2">
      <c r="A48" s="190"/>
      <c r="B48" s="1799"/>
      <c r="C48" s="2032"/>
      <c r="D48" s="375"/>
      <c r="E48" s="375"/>
      <c r="F48" s="2031" t="str">
        <f>IF(ISNA(MATCH(Tablas!$A20,INDEX(Tabla_Elan,,14),0)),"",INDEX(INDEX(Tabla_Elan,,1),MATCH(Tablas!$A20,INDEX(Tabla_Elan,,14),0)))</f>
        <v/>
      </c>
      <c r="G48" s="3065" t="str">
        <f t="shared" si="6"/>
        <v/>
      </c>
      <c r="H48" s="3054"/>
      <c r="I48" s="3054"/>
      <c r="J48" s="3054"/>
      <c r="K48" s="3054"/>
      <c r="L48" s="3054"/>
      <c r="M48" s="3054"/>
      <c r="N48" s="3054"/>
      <c r="O48" s="3054"/>
      <c r="P48" s="3054"/>
      <c r="Q48" s="3054"/>
      <c r="R48" s="3054"/>
      <c r="S48" s="3054"/>
      <c r="T48" s="3054"/>
      <c r="U48" s="3054"/>
      <c r="V48" s="3054"/>
      <c r="W48" s="3054"/>
      <c r="X48" s="3054"/>
      <c r="Y48" s="3054"/>
      <c r="Z48" s="3054"/>
      <c r="AA48" s="3054"/>
      <c r="AB48" s="3054"/>
      <c r="AC48" s="3054"/>
      <c r="AD48" s="3054"/>
      <c r="AE48" s="3054"/>
      <c r="AF48" s="3054"/>
      <c r="AG48" s="3054"/>
      <c r="AH48" s="3054"/>
      <c r="AI48" s="3062"/>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6" t="str">
        <f t="shared" si="6"/>
        <v/>
      </c>
      <c r="H49" s="2667"/>
      <c r="I49" s="2667"/>
      <c r="J49" s="2667"/>
      <c r="K49" s="2667"/>
      <c r="L49" s="2667"/>
      <c r="M49" s="2667"/>
      <c r="N49" s="2667"/>
      <c r="O49" s="2667"/>
      <c r="P49" s="2667"/>
      <c r="Q49" s="2667"/>
      <c r="R49" s="2667"/>
      <c r="S49" s="2667"/>
      <c r="T49" s="2667"/>
      <c r="U49" s="2667"/>
      <c r="V49" s="2667"/>
      <c r="W49" s="2667"/>
      <c r="X49" s="2667"/>
      <c r="Y49" s="2667"/>
      <c r="Z49" s="2667"/>
      <c r="AA49" s="2667"/>
      <c r="AB49" s="2667"/>
      <c r="AC49" s="2667"/>
      <c r="AD49" s="2667"/>
      <c r="AE49" s="2667"/>
      <c r="AF49" s="2667"/>
      <c r="AG49" s="2667"/>
      <c r="AH49" s="2667"/>
      <c r="AI49" s="2668"/>
      <c r="AJ49" s="1807"/>
      <c r="AK49" s="190"/>
      <c r="AQ49" s="43"/>
      <c r="AR49" s="43"/>
      <c r="AS49" s="43"/>
    </row>
    <row r="50" spans="1:67" ht="12" customHeight="1" thickBot="1" x14ac:dyDescent="0.25">
      <c r="A50" s="190"/>
      <c r="B50" s="1800"/>
      <c r="C50" s="3106"/>
      <c r="D50" s="3106"/>
      <c r="E50" s="3106"/>
      <c r="F50" s="3106"/>
      <c r="G50" s="3106"/>
      <c r="H50" s="3106"/>
      <c r="I50" s="3106"/>
      <c r="J50" s="3106"/>
      <c r="K50" s="3106"/>
      <c r="L50" s="3106"/>
      <c r="M50" s="3106"/>
      <c r="N50" s="3107"/>
      <c r="O50" s="3107"/>
      <c r="P50" s="3107"/>
      <c r="Q50" s="3107"/>
      <c r="R50" s="1801"/>
      <c r="S50" s="1801"/>
      <c r="T50" s="1801"/>
      <c r="U50" s="3106"/>
      <c r="V50" s="3106"/>
      <c r="W50" s="3106"/>
      <c r="X50" s="3106"/>
      <c r="Y50" s="3106"/>
      <c r="Z50" s="3106"/>
      <c r="AA50" s="3106"/>
      <c r="AB50" s="3106"/>
      <c r="AC50" s="3106"/>
      <c r="AD50" s="3106"/>
      <c r="AE50" s="3106"/>
      <c r="AF50" s="1801"/>
      <c r="AG50" s="1801"/>
      <c r="AH50" s="1801"/>
      <c r="AI50" s="1801"/>
      <c r="AJ50" s="1808"/>
      <c r="AK50" s="190"/>
      <c r="AL50" s="2500"/>
      <c r="AQ50" s="43"/>
      <c r="AR50" s="43"/>
      <c r="AS50" s="43"/>
    </row>
    <row r="51" spans="1:67" ht="12" customHeight="1" x14ac:dyDescent="0.2">
      <c r="A51" s="3101"/>
      <c r="B51" s="3101"/>
      <c r="C51" s="190"/>
      <c r="D51" s="190"/>
      <c r="E51" s="190"/>
      <c r="F51" s="190"/>
      <c r="G51" s="190"/>
      <c r="H51" s="3101"/>
      <c r="I51" s="3101"/>
      <c r="J51" s="3101"/>
      <c r="K51" s="3101"/>
      <c r="L51" s="3101"/>
      <c r="M51" s="3101"/>
      <c r="N51" s="3101"/>
      <c r="O51" s="3101"/>
      <c r="P51" s="3101"/>
      <c r="Q51" s="3101"/>
      <c r="R51" s="3101"/>
      <c r="S51" s="3101"/>
      <c r="T51" s="3101"/>
      <c r="U51" s="3101"/>
      <c r="V51" s="3101"/>
      <c r="W51" s="3101"/>
      <c r="X51" s="3101"/>
      <c r="Y51" s="3101"/>
      <c r="Z51" s="3101"/>
      <c r="AA51" s="3101"/>
      <c r="AB51" s="3101"/>
      <c r="AC51" s="3101"/>
      <c r="AD51" s="3101"/>
      <c r="AE51" s="3101"/>
      <c r="AF51" s="3101"/>
      <c r="AG51" s="3101"/>
      <c r="AH51" s="3101"/>
      <c r="AI51" s="3101"/>
      <c r="AJ51" s="3101"/>
      <c r="AK51" s="3101"/>
      <c r="AL51" s="2500"/>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500"/>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500"/>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500"/>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500"/>
      <c r="AQ55" s="43"/>
      <c r="AR55" s="43"/>
      <c r="AS55" s="43"/>
    </row>
    <row r="56" spans="1:67" ht="12" customHeight="1" x14ac:dyDescent="0.2">
      <c r="A56" s="2479"/>
      <c r="B56" s="2479"/>
      <c r="H56" s="2479"/>
      <c r="I56" s="2479"/>
      <c r="J56" s="2479"/>
      <c r="K56" s="2479"/>
      <c r="L56" s="2479"/>
      <c r="M56" s="2479"/>
      <c r="N56" s="2479"/>
      <c r="O56" s="2479"/>
      <c r="P56" s="2479"/>
      <c r="Q56" s="2479"/>
      <c r="T56" s="173"/>
      <c r="U56" s="173"/>
      <c r="V56" s="173"/>
      <c r="W56" s="173"/>
      <c r="X56" s="173"/>
      <c r="Y56" s="173"/>
      <c r="Z56" s="173"/>
      <c r="AA56" s="173"/>
      <c r="AB56" s="173"/>
      <c r="AC56" s="173"/>
      <c r="AD56" s="173"/>
      <c r="AE56" s="173"/>
      <c r="AF56" s="173"/>
      <c r="AG56" s="173"/>
      <c r="AH56" s="173"/>
      <c r="AI56" s="173"/>
      <c r="AJ56" s="173"/>
      <c r="AK56" s="2479"/>
      <c r="AL56" s="2500"/>
      <c r="AQ56" s="43"/>
      <c r="AR56" s="43"/>
      <c r="AS56" s="43"/>
    </row>
    <row r="57" spans="1:67" ht="12" customHeight="1" x14ac:dyDescent="0.2">
      <c r="H57" s="2479"/>
      <c r="I57" s="2479"/>
      <c r="J57" s="2479"/>
      <c r="K57" s="2479"/>
      <c r="L57" s="2479"/>
      <c r="M57" s="2479"/>
      <c r="N57" s="2479"/>
      <c r="O57" s="2479"/>
      <c r="P57" s="2479"/>
      <c r="Q57" s="2479"/>
      <c r="T57" s="173"/>
      <c r="U57" s="173"/>
      <c r="V57" s="173"/>
      <c r="W57" s="173"/>
      <c r="X57" s="173"/>
      <c r="Y57" s="173"/>
      <c r="Z57" s="173"/>
      <c r="AA57" s="173"/>
      <c r="AB57" s="173"/>
      <c r="AC57" s="173"/>
      <c r="AD57" s="173"/>
      <c r="AE57" s="173"/>
      <c r="AF57" s="173"/>
      <c r="AG57" s="173"/>
      <c r="AH57" s="173"/>
      <c r="AI57" s="173"/>
      <c r="AJ57" s="173"/>
      <c r="AL57" s="2500"/>
      <c r="AQ57" s="43"/>
      <c r="AR57" s="43"/>
      <c r="AS57" s="43"/>
    </row>
    <row r="58" spans="1:67" ht="12" customHeight="1" x14ac:dyDescent="0.2">
      <c r="H58" s="2479"/>
      <c r="I58" s="2479"/>
      <c r="J58" s="2479"/>
      <c r="K58" s="2479"/>
      <c r="L58" s="2479"/>
      <c r="M58" s="2479"/>
      <c r="N58" s="2479"/>
      <c r="O58" s="2479"/>
      <c r="P58" s="2479"/>
      <c r="Q58" s="2479"/>
      <c r="T58" s="173"/>
      <c r="U58" s="173"/>
      <c r="V58" s="173"/>
      <c r="W58" s="173"/>
      <c r="X58" s="173"/>
      <c r="Y58" s="173"/>
      <c r="Z58" s="173"/>
      <c r="AA58" s="173"/>
      <c r="AB58" s="173"/>
      <c r="AC58" s="173"/>
      <c r="AD58" s="173"/>
      <c r="AE58" s="173"/>
      <c r="AF58" s="173"/>
      <c r="AG58" s="173"/>
      <c r="AH58" s="173"/>
      <c r="AI58" s="173"/>
      <c r="AJ58" s="173"/>
      <c r="AL58" s="2500"/>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500"/>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500"/>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500"/>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500"/>
      <c r="AM62" s="2500"/>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500"/>
      <c r="AM63" s="2500"/>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500"/>
      <c r="AM64" s="2500"/>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500"/>
      <c r="AM65" s="2500"/>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500"/>
      <c r="AM66" s="2500"/>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500"/>
      <c r="AM67" s="2500"/>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9"/>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9"/>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9"/>
      <c r="G70" s="2479"/>
      <c r="H70" s="2479"/>
      <c r="I70" s="2479"/>
      <c r="J70" s="2479"/>
      <c r="K70" s="2479"/>
      <c r="L70" s="2479"/>
      <c r="M70" s="2479"/>
      <c r="N70" s="2479"/>
      <c r="O70" s="2479"/>
      <c r="P70" s="2479"/>
      <c r="Q70" s="2479"/>
      <c r="S70" s="173"/>
      <c r="T70" s="173"/>
      <c r="U70" s="173"/>
      <c r="V70" s="173"/>
      <c r="W70" s="173"/>
      <c r="X70" s="173"/>
      <c r="Y70" s="173"/>
      <c r="Z70" s="173"/>
      <c r="AA70" s="173"/>
      <c r="AB70" s="173"/>
      <c r="AC70" s="173"/>
      <c r="AD70" s="173"/>
      <c r="AE70" s="173"/>
      <c r="AF70" s="173"/>
      <c r="AG70" s="173"/>
      <c r="AH70" s="173"/>
      <c r="AI70" s="173"/>
      <c r="AJ70" s="173"/>
      <c r="AK70" s="173"/>
      <c r="AL70" s="2500"/>
      <c r="AM70" s="2500"/>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9"/>
      <c r="H71" s="2479"/>
      <c r="I71" s="2479"/>
      <c r="J71" s="2479"/>
      <c r="K71" s="2479"/>
      <c r="L71" s="2479"/>
      <c r="M71" s="2479"/>
      <c r="N71" s="2479"/>
      <c r="O71" s="2479"/>
      <c r="P71" s="2479"/>
      <c r="Q71" s="2479"/>
      <c r="S71" s="173"/>
      <c r="T71" s="173"/>
      <c r="U71" s="173"/>
      <c r="V71" s="173"/>
      <c r="W71" s="173"/>
      <c r="X71" s="173"/>
      <c r="Y71" s="173"/>
      <c r="Z71" s="173"/>
      <c r="AA71" s="173"/>
      <c r="AB71" s="173"/>
      <c r="AC71" s="173"/>
      <c r="AD71" s="173"/>
      <c r="AE71" s="173"/>
      <c r="AF71" s="173"/>
      <c r="AG71" s="173"/>
      <c r="AH71" s="173"/>
      <c r="AI71" s="173"/>
      <c r="AJ71" s="173"/>
      <c r="AK71" s="173"/>
      <c r="AL71" s="2500"/>
      <c r="AM71" s="2500"/>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500"/>
      <c r="AM72" s="2500"/>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500"/>
      <c r="AM73" s="2500"/>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500"/>
      <c r="AM74" s="2500"/>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500"/>
      <c r="AM75" s="2500"/>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9"/>
      <c r="S78" s="173"/>
      <c r="T78" s="173"/>
      <c r="U78" s="173"/>
      <c r="V78" s="173"/>
      <c r="W78" s="173"/>
      <c r="X78" s="173"/>
      <c r="Y78" s="173"/>
      <c r="Z78" s="173"/>
      <c r="AA78" s="173"/>
      <c r="AB78" s="173"/>
      <c r="AC78" s="173"/>
      <c r="AD78" s="173"/>
      <c r="AE78" s="173"/>
      <c r="AF78" s="173"/>
      <c r="AG78" s="173"/>
      <c r="AH78" s="2479"/>
      <c r="AQ78" s="2479"/>
      <c r="AR78" s="2479"/>
      <c r="AS78" s="2479"/>
      <c r="AT78" s="2479"/>
      <c r="AU78" s="2479"/>
      <c r="AZ78" s="173"/>
      <c r="BA78" s="173"/>
      <c r="BB78" s="173"/>
      <c r="BC78" s="173"/>
      <c r="BD78" s="173"/>
      <c r="BE78" s="173"/>
      <c r="BF78" s="173"/>
      <c r="BG78" s="173"/>
      <c r="BH78" s="173"/>
      <c r="BI78" s="173"/>
      <c r="BJ78" s="173"/>
      <c r="BK78" s="173"/>
      <c r="BL78" s="173"/>
      <c r="BM78" s="173"/>
      <c r="BN78" s="173"/>
      <c r="BO78" s="173"/>
    </row>
    <row r="79" spans="1:67" ht="12" customHeight="1" x14ac:dyDescent="0.2">
      <c r="Q79" s="2479"/>
      <c r="S79" s="173"/>
      <c r="T79" s="173"/>
      <c r="U79" s="173"/>
      <c r="V79" s="173"/>
      <c r="W79" s="173"/>
      <c r="X79" s="173"/>
      <c r="Y79" s="173"/>
      <c r="Z79" s="173"/>
      <c r="AA79" s="173"/>
      <c r="AB79" s="173"/>
      <c r="AC79" s="173"/>
      <c r="AD79" s="173"/>
      <c r="AE79" s="173"/>
      <c r="AF79" s="173"/>
      <c r="AG79" s="173"/>
      <c r="AQ79" s="2479"/>
      <c r="AR79" s="2479"/>
      <c r="AS79" s="2479"/>
      <c r="AT79" s="2479"/>
      <c r="AU79" s="2479"/>
      <c r="AZ79" s="173"/>
      <c r="BA79" s="173"/>
      <c r="BB79" s="173"/>
      <c r="BC79" s="173"/>
      <c r="BD79" s="173"/>
      <c r="BE79" s="173"/>
      <c r="BF79" s="173"/>
      <c r="BG79" s="173"/>
      <c r="BH79" s="173"/>
      <c r="BI79" s="173"/>
      <c r="BJ79" s="173"/>
      <c r="BK79" s="173"/>
      <c r="BL79" s="173"/>
      <c r="BM79" s="173"/>
      <c r="BN79" s="173"/>
      <c r="BO79" s="173"/>
    </row>
    <row r="80" spans="1:67" ht="12" customHeight="1" x14ac:dyDescent="0.2">
      <c r="A80" s="2479"/>
      <c r="G80" s="2479"/>
      <c r="H80" s="2479"/>
      <c r="I80" s="2479"/>
      <c r="J80" s="2479"/>
      <c r="K80" s="2479"/>
      <c r="L80" s="2479"/>
      <c r="M80" s="2479"/>
      <c r="N80" s="2479"/>
      <c r="O80" s="2479"/>
      <c r="P80" s="2479"/>
      <c r="Q80" s="2479"/>
      <c r="S80" s="173"/>
      <c r="T80" s="173"/>
      <c r="U80" s="173"/>
      <c r="V80" s="173"/>
      <c r="W80" s="173"/>
      <c r="X80" s="173"/>
      <c r="Y80" s="173"/>
      <c r="Z80" s="173"/>
      <c r="AA80" s="173"/>
      <c r="AB80" s="173"/>
      <c r="AC80" s="173"/>
      <c r="AD80" s="173"/>
      <c r="AE80" s="173"/>
      <c r="AF80" s="173"/>
      <c r="AG80" s="173"/>
      <c r="AH80" s="173"/>
      <c r="AQ80" s="2479"/>
      <c r="AR80" s="2479"/>
      <c r="AS80" s="2479"/>
      <c r="AT80" s="43"/>
    </row>
    <row r="81" spans="7:47" ht="12" customHeight="1" x14ac:dyDescent="0.2">
      <c r="G81" s="2479"/>
      <c r="H81" s="2479"/>
      <c r="I81" s="2479"/>
      <c r="J81" s="2479"/>
      <c r="K81" s="2479"/>
      <c r="L81" s="2479"/>
      <c r="M81" s="2479"/>
      <c r="N81" s="2479"/>
      <c r="O81" s="2479"/>
      <c r="P81" s="2479"/>
      <c r="Q81" s="2479"/>
      <c r="S81" s="173"/>
      <c r="T81" s="173"/>
      <c r="U81" s="173"/>
      <c r="V81" s="173"/>
      <c r="W81" s="173"/>
      <c r="X81" s="173"/>
      <c r="Y81" s="173"/>
      <c r="Z81" s="173"/>
      <c r="AA81" s="173"/>
      <c r="AB81" s="173"/>
      <c r="AC81" s="173"/>
      <c r="AD81" s="173"/>
      <c r="AE81" s="173"/>
      <c r="AF81" s="173"/>
      <c r="AG81" s="173"/>
      <c r="AH81" s="173"/>
      <c r="AQ81" s="2479"/>
      <c r="AR81" s="2479"/>
      <c r="AS81" s="2479"/>
      <c r="AT81" s="43"/>
      <c r="AU81" s="43"/>
    </row>
    <row r="82" spans="7:47" ht="12" customHeight="1" x14ac:dyDescent="0.2">
      <c r="AQ82" s="2479"/>
      <c r="AR82" s="2479"/>
      <c r="AS82" s="2479"/>
      <c r="AT82" s="43"/>
      <c r="AU82" s="43"/>
    </row>
    <row r="83" spans="7:47" ht="12" customHeight="1" x14ac:dyDescent="0.2">
      <c r="AQ83" s="2479"/>
      <c r="AR83" s="2479"/>
      <c r="AS83" s="2479"/>
      <c r="AT83" s="43"/>
      <c r="AU83" s="43"/>
    </row>
    <row r="84" spans="7:47" ht="12" customHeight="1" x14ac:dyDescent="0.2">
      <c r="AQ84" s="2479"/>
      <c r="AR84" s="2479"/>
      <c r="AS84" s="2479"/>
      <c r="AT84" s="43"/>
      <c r="AU84" s="43"/>
    </row>
    <row r="85" spans="7:47" ht="12" customHeight="1" x14ac:dyDescent="0.2">
      <c r="AQ85" s="2479"/>
      <c r="AR85" s="2479"/>
      <c r="AS85" s="2479"/>
      <c r="AT85" s="43"/>
      <c r="AU85" s="43"/>
    </row>
    <row r="86" spans="7:47" ht="12" customHeight="1" x14ac:dyDescent="0.2">
      <c r="AQ86" s="2479"/>
      <c r="AR86" s="2479"/>
      <c r="AS86" s="247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500"/>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500"/>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500"/>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500"/>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500"/>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500"/>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500"/>
      <c r="AQ97" s="2479"/>
      <c r="AR97" s="2479"/>
      <c r="AS97" s="2479"/>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500"/>
      <c r="AQ98" s="2479"/>
      <c r="AR98" s="2479"/>
      <c r="AS98" s="2479"/>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500"/>
      <c r="AQ99" s="2479"/>
      <c r="AR99" s="2479"/>
      <c r="AS99" s="2479"/>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500"/>
      <c r="AQ100" s="2479"/>
      <c r="AR100" s="2479"/>
      <c r="AS100" s="2479"/>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500"/>
      <c r="AQ101" s="2479"/>
      <c r="AR101" s="2479"/>
      <c r="AS101" s="2479"/>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500"/>
      <c r="AM102" s="2500"/>
      <c r="AQ102" s="2479"/>
      <c r="AR102" s="2479"/>
      <c r="AS102" s="2479"/>
      <c r="AT102" s="2479"/>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500"/>
      <c r="AM103" s="2500"/>
      <c r="AQ103" s="2479"/>
      <c r="AR103" s="2479"/>
      <c r="AS103" s="2479"/>
      <c r="AT103" s="2479"/>
      <c r="AU103" s="43"/>
    </row>
    <row r="121" spans="44:44" ht="12" customHeight="1" x14ac:dyDescent="0.2">
      <c r="AR121" s="100"/>
    </row>
    <row r="122" spans="44:44" ht="12" customHeight="1" thickBot="1" x14ac:dyDescent="0.25">
      <c r="AR122" s="2289"/>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I19" sqref="I19:O19"/>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6"/>
    <col min="38" max="38" width="1.7109375" style="3026" customWidth="1"/>
    <col min="39" max="39" width="5.7109375" style="3026"/>
    <col min="40" max="40" width="8.5703125" style="3026" bestFit="1" customWidth="1"/>
    <col min="41" max="43" width="5.7109375" style="3026"/>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2"/>
      <c r="S1" s="2662"/>
      <c r="T1" s="2380"/>
      <c r="U1" s="2380"/>
      <c r="V1" s="386"/>
      <c r="W1" s="386"/>
      <c r="X1" s="386"/>
      <c r="Y1" s="386"/>
      <c r="Z1" s="386"/>
      <c r="AA1" s="386"/>
      <c r="AB1" s="386"/>
      <c r="AC1" s="386"/>
      <c r="AD1" s="386"/>
      <c r="AE1" s="386"/>
      <c r="AF1" s="386"/>
      <c r="AG1" s="386"/>
      <c r="AH1" s="386"/>
      <c r="AI1" s="386"/>
      <c r="AJ1" s="386"/>
      <c r="AK1" s="3046"/>
      <c r="AL1" s="3046"/>
    </row>
    <row r="2" spans="1:54" ht="12" customHeight="1" thickBot="1" x14ac:dyDescent="0.25">
      <c r="A2" s="2380"/>
      <c r="B2" s="2722"/>
      <c r="C2" s="2037"/>
      <c r="D2" s="2037"/>
      <c r="E2" s="2037"/>
      <c r="F2" s="2037"/>
      <c r="G2" s="2037"/>
      <c r="H2" s="2037"/>
      <c r="I2" s="2037"/>
      <c r="J2" s="2037"/>
      <c r="K2" s="2037"/>
      <c r="L2" s="2037"/>
      <c r="M2" s="2037"/>
      <c r="N2" s="2037"/>
      <c r="O2" s="2037"/>
      <c r="P2" s="2037"/>
      <c r="Q2" s="2037"/>
      <c r="R2" s="2723"/>
      <c r="S2" s="2662"/>
      <c r="T2" s="2380"/>
      <c r="U2" s="2381"/>
      <c r="V2" s="387"/>
      <c r="W2" s="387"/>
      <c r="X2" s="387"/>
      <c r="Y2" s="387"/>
      <c r="Z2" s="387"/>
      <c r="AA2" s="387"/>
      <c r="AB2" s="387"/>
      <c r="AC2" s="387"/>
      <c r="AD2" s="387"/>
      <c r="AE2" s="387"/>
      <c r="AF2" s="387"/>
      <c r="AG2" s="387"/>
      <c r="AH2" s="387"/>
      <c r="AI2" s="387"/>
      <c r="AJ2" s="387"/>
      <c r="AK2" s="3047"/>
      <c r="AL2" s="3046"/>
    </row>
    <row r="3" spans="1:54" ht="12" customHeight="1" x14ac:dyDescent="0.2">
      <c r="A3" s="2380"/>
      <c r="B3" s="2724"/>
      <c r="C3" s="4807" t="s">
        <v>9219</v>
      </c>
      <c r="D3" s="4808"/>
      <c r="E3" s="4808"/>
      <c r="F3" s="4808"/>
      <c r="G3" s="4808"/>
      <c r="H3" s="4808"/>
      <c r="I3" s="4808"/>
      <c r="J3" s="4808"/>
      <c r="K3" s="4808"/>
      <c r="L3" s="4808"/>
      <c r="M3" s="4808"/>
      <c r="N3" s="4808"/>
      <c r="O3" s="4808"/>
      <c r="P3" s="4808"/>
      <c r="Q3" s="4809"/>
      <c r="R3" s="2725"/>
      <c r="S3" s="2662"/>
      <c r="T3" s="2380"/>
      <c r="U3" s="2382"/>
      <c r="V3" s="4807" t="s">
        <v>9223</v>
      </c>
      <c r="W3" s="4808"/>
      <c r="X3" s="4808"/>
      <c r="Y3" s="4808"/>
      <c r="Z3" s="4808"/>
      <c r="AA3" s="4808"/>
      <c r="AB3" s="4808"/>
      <c r="AC3" s="4808"/>
      <c r="AD3" s="4808"/>
      <c r="AE3" s="4808"/>
      <c r="AF3" s="4808"/>
      <c r="AG3" s="4808"/>
      <c r="AH3" s="4808"/>
      <c r="AI3" s="4808"/>
      <c r="AJ3" s="4809"/>
      <c r="AK3" s="3048"/>
      <c r="AL3" s="3046"/>
    </row>
    <row r="4" spans="1:54" ht="12" customHeight="1" thickBot="1" x14ac:dyDescent="0.25">
      <c r="A4" s="2380"/>
      <c r="B4" s="2724"/>
      <c r="C4" s="3638"/>
      <c r="D4" s="3639"/>
      <c r="E4" s="3639"/>
      <c r="F4" s="3639"/>
      <c r="G4" s="3639"/>
      <c r="H4" s="3639"/>
      <c r="I4" s="3639"/>
      <c r="J4" s="3639"/>
      <c r="K4" s="3639"/>
      <c r="L4" s="3639"/>
      <c r="M4" s="3639"/>
      <c r="N4" s="3639"/>
      <c r="O4" s="3639"/>
      <c r="P4" s="3639"/>
      <c r="Q4" s="3640"/>
      <c r="R4" s="2725"/>
      <c r="S4" s="2662"/>
      <c r="T4" s="2380"/>
      <c r="U4" s="2382"/>
      <c r="V4" s="3638"/>
      <c r="W4" s="3639"/>
      <c r="X4" s="3639"/>
      <c r="Y4" s="3639"/>
      <c r="Z4" s="3639"/>
      <c r="AA4" s="3639"/>
      <c r="AB4" s="3639"/>
      <c r="AC4" s="3639"/>
      <c r="AD4" s="3639"/>
      <c r="AE4" s="3639"/>
      <c r="AF4" s="3639"/>
      <c r="AG4" s="3639"/>
      <c r="AH4" s="3639"/>
      <c r="AI4" s="3639"/>
      <c r="AJ4" s="3640"/>
      <c r="AK4" s="3048"/>
      <c r="AL4" s="3046"/>
    </row>
    <row r="5" spans="1:54" ht="12" customHeight="1" thickBot="1" x14ac:dyDescent="0.25">
      <c r="A5" s="2380"/>
      <c r="B5" s="2724"/>
      <c r="C5" s="2377"/>
      <c r="D5" s="2377"/>
      <c r="E5" s="2377"/>
      <c r="F5" s="2377"/>
      <c r="G5" s="2377"/>
      <c r="H5" s="2377"/>
      <c r="I5" s="2377"/>
      <c r="J5" s="2377"/>
      <c r="K5" s="2377"/>
      <c r="L5" s="2377"/>
      <c r="M5" s="2377"/>
      <c r="N5" s="2377"/>
      <c r="O5" s="2377"/>
      <c r="P5" s="2377"/>
      <c r="Q5" s="2377"/>
      <c r="R5" s="2725"/>
      <c r="S5" s="2662"/>
      <c r="T5" s="2380"/>
      <c r="U5" s="2382"/>
      <c r="AK5" s="3048"/>
      <c r="AL5" s="3046"/>
      <c r="AR5" s="291"/>
      <c r="AS5" s="291"/>
      <c r="AT5" s="291"/>
      <c r="AU5" s="291"/>
      <c r="AV5" s="291"/>
      <c r="AW5" s="291"/>
      <c r="AX5" s="291"/>
      <c r="AY5" s="291"/>
      <c r="AZ5" s="291"/>
      <c r="BA5" s="291"/>
      <c r="BB5" s="291"/>
    </row>
    <row r="6" spans="1:54" ht="12" customHeight="1" thickBot="1" x14ac:dyDescent="0.25">
      <c r="A6" s="2380"/>
      <c r="B6" s="2724"/>
      <c r="C6" s="4221" t="s">
        <v>8554</v>
      </c>
      <c r="D6" s="4222"/>
      <c r="E6" s="4222"/>
      <c r="F6" s="4897" t="s">
        <v>9173</v>
      </c>
      <c r="G6" s="4898"/>
      <c r="H6" s="2377"/>
      <c r="I6" s="4771" t="s">
        <v>2161</v>
      </c>
      <c r="J6" s="4772"/>
      <c r="K6" s="4772"/>
      <c r="L6" s="4772"/>
      <c r="M6" s="4772"/>
      <c r="N6" s="4772"/>
      <c r="O6" s="4772"/>
      <c r="P6" s="4772"/>
      <c r="Q6" s="4773"/>
      <c r="R6" s="2725"/>
      <c r="S6" s="2662"/>
      <c r="T6" s="2380"/>
      <c r="U6" s="2382"/>
      <c r="V6" s="4872" t="s">
        <v>3067</v>
      </c>
      <c r="W6" s="4871" t="s">
        <v>9216</v>
      </c>
      <c r="X6" s="4871"/>
      <c r="Y6" s="4945" t="s">
        <v>1769</v>
      </c>
      <c r="Z6" s="4946"/>
      <c r="AB6" s="4878" t="s">
        <v>9220</v>
      </c>
      <c r="AC6" s="4879"/>
      <c r="AD6" s="4879"/>
      <c r="AE6" s="4880"/>
      <c r="AG6" s="4878" t="s">
        <v>9222</v>
      </c>
      <c r="AH6" s="4879"/>
      <c r="AI6" s="4879"/>
      <c r="AJ6" s="4880"/>
      <c r="AK6" s="3048"/>
      <c r="AL6" s="3046"/>
    </row>
    <row r="7" spans="1:54" ht="12" customHeight="1" thickBot="1" x14ac:dyDescent="0.25">
      <c r="A7" s="2380"/>
      <c r="B7" s="2724"/>
      <c r="C7" s="4895"/>
      <c r="D7" s="4896"/>
      <c r="E7" s="4896"/>
      <c r="F7" s="4899"/>
      <c r="G7" s="4900"/>
      <c r="H7" s="2377"/>
      <c r="I7" s="3633" t="s">
        <v>1687</v>
      </c>
      <c r="J7" s="3634"/>
      <c r="K7" s="3634"/>
      <c r="L7" s="3634"/>
      <c r="M7" s="3634"/>
      <c r="N7" s="3634"/>
      <c r="O7" s="3216"/>
      <c r="P7" s="2726" t="s">
        <v>1688</v>
      </c>
      <c r="Q7" s="2727" t="s">
        <v>1689</v>
      </c>
      <c r="R7" s="2725"/>
      <c r="S7" s="2662"/>
      <c r="T7" s="2380"/>
      <c r="U7" s="2382"/>
      <c r="V7" s="4873"/>
      <c r="W7" s="4870" t="s">
        <v>9217</v>
      </c>
      <c r="X7" s="4870"/>
      <c r="Y7" s="4947" t="s">
        <v>1769</v>
      </c>
      <c r="Z7" s="4947"/>
      <c r="AB7" s="4893" t="s">
        <v>9221</v>
      </c>
      <c r="AC7" s="4894"/>
      <c r="AD7" s="4894"/>
      <c r="AE7" s="2426" t="s">
        <v>1693</v>
      </c>
      <c r="AG7" s="4887"/>
      <c r="AH7" s="4888"/>
      <c r="AI7" s="4888"/>
      <c r="AJ7" s="4889"/>
      <c r="AK7" s="3048"/>
      <c r="AL7" s="3046"/>
    </row>
    <row r="8" spans="1:54" ht="12" customHeight="1" thickBot="1" x14ac:dyDescent="0.25">
      <c r="A8" s="2380"/>
      <c r="B8" s="2724"/>
      <c r="C8" s="2377"/>
      <c r="D8" s="2377"/>
      <c r="E8" s="2377"/>
      <c r="F8" s="2377"/>
      <c r="G8" s="2377"/>
      <c r="H8" s="2377"/>
      <c r="I8" s="4875"/>
      <c r="J8" s="4876"/>
      <c r="K8" s="4876"/>
      <c r="L8" s="4876"/>
      <c r="M8" s="4876"/>
      <c r="N8" s="4876"/>
      <c r="O8" s="4877"/>
      <c r="P8" s="388"/>
      <c r="Q8" s="22"/>
      <c r="R8" s="2725"/>
      <c r="S8" s="2662"/>
      <c r="T8" s="2380"/>
      <c r="U8" s="2382"/>
      <c r="V8" s="4873"/>
      <c r="W8" s="4936" t="s">
        <v>9218</v>
      </c>
      <c r="X8" s="4937"/>
      <c r="Y8" s="4937"/>
      <c r="Z8" s="4938"/>
      <c r="AB8" s="4887"/>
      <c r="AC8" s="4888"/>
      <c r="AD8" s="4888"/>
      <c r="AE8" s="4889"/>
      <c r="AG8" s="4881"/>
      <c r="AH8" s="4882"/>
      <c r="AI8" s="4882"/>
      <c r="AJ8" s="4883"/>
      <c r="AK8" s="3048"/>
      <c r="AL8" s="3046"/>
    </row>
    <row r="9" spans="1:54" ht="12" customHeight="1" thickBot="1" x14ac:dyDescent="0.25">
      <c r="A9" s="2380"/>
      <c r="B9" s="2724"/>
      <c r="C9" s="3125" t="s">
        <v>2162</v>
      </c>
      <c r="D9" s="3126"/>
      <c r="E9" s="3126"/>
      <c r="F9" s="3126"/>
      <c r="G9" s="3127"/>
      <c r="H9" s="2377"/>
      <c r="I9" s="4774"/>
      <c r="J9" s="4775"/>
      <c r="K9" s="4775"/>
      <c r="L9" s="4775"/>
      <c r="M9" s="4775"/>
      <c r="N9" s="4775"/>
      <c r="O9" s="4776"/>
      <c r="P9" s="388"/>
      <c r="Q9" s="22"/>
      <c r="R9" s="2725"/>
      <c r="S9" s="2662"/>
      <c r="T9" s="2380"/>
      <c r="U9" s="2382"/>
      <c r="V9" s="4873"/>
      <c r="W9" s="4939" t="s">
        <v>1966</v>
      </c>
      <c r="X9" s="4940"/>
      <c r="Y9" s="4940"/>
      <c r="Z9" s="4941"/>
      <c r="AB9" s="4881"/>
      <c r="AC9" s="4882"/>
      <c r="AD9" s="4882"/>
      <c r="AE9" s="4883"/>
      <c r="AG9" s="4884"/>
      <c r="AH9" s="4885"/>
      <c r="AI9" s="4885"/>
      <c r="AJ9" s="4886"/>
      <c r="AK9" s="3048"/>
      <c r="AL9" s="3046"/>
    </row>
    <row r="10" spans="1:54" ht="12" customHeight="1" thickBot="1" x14ac:dyDescent="0.25">
      <c r="A10" s="2380"/>
      <c r="B10" s="2724"/>
      <c r="C10" s="4948"/>
      <c r="D10" s="4949"/>
      <c r="E10" s="4949"/>
      <c r="F10" s="4949"/>
      <c r="G10" s="4950"/>
      <c r="H10" s="2377"/>
      <c r="I10" s="4774"/>
      <c r="J10" s="4775"/>
      <c r="K10" s="4775"/>
      <c r="L10" s="4775"/>
      <c r="M10" s="4775"/>
      <c r="N10" s="4775"/>
      <c r="O10" s="4776"/>
      <c r="P10" s="388"/>
      <c r="Q10" s="22"/>
      <c r="R10" s="2725"/>
      <c r="S10" s="2662"/>
      <c r="T10" s="2380"/>
      <c r="U10" s="2382"/>
      <c r="V10" s="4874"/>
      <c r="W10" s="4942" t="s">
        <v>1966</v>
      </c>
      <c r="X10" s="4943"/>
      <c r="Y10" s="4943"/>
      <c r="Z10" s="4944"/>
      <c r="AB10" s="4867"/>
      <c r="AC10" s="4868"/>
      <c r="AD10" s="4868"/>
      <c r="AE10" s="4869"/>
      <c r="AK10" s="3048"/>
      <c r="AL10" s="3046"/>
    </row>
    <row r="11" spans="1:54" ht="12" customHeight="1" thickBot="1" x14ac:dyDescent="0.25">
      <c r="A11" s="2380"/>
      <c r="B11" s="2724"/>
      <c r="C11" s="4951"/>
      <c r="D11" s="4952"/>
      <c r="E11" s="4952"/>
      <c r="F11" s="4952"/>
      <c r="G11" s="4953"/>
      <c r="H11" s="2377"/>
      <c r="I11" s="4774"/>
      <c r="J11" s="4775"/>
      <c r="K11" s="4775"/>
      <c r="L11" s="4775"/>
      <c r="M11" s="4775"/>
      <c r="N11" s="4775"/>
      <c r="O11" s="4776"/>
      <c r="P11" s="388"/>
      <c r="Q11" s="22"/>
      <c r="R11" s="2725"/>
      <c r="S11" s="2662"/>
      <c r="T11" s="2380"/>
      <c r="U11" s="2382"/>
      <c r="AK11" s="3048"/>
      <c r="AL11" s="3046"/>
    </row>
    <row r="12" spans="1:54" ht="12" customHeight="1" thickBot="1" x14ac:dyDescent="0.25">
      <c r="A12" s="2380"/>
      <c r="B12" s="2724"/>
      <c r="C12" s="4954"/>
      <c r="D12" s="4955"/>
      <c r="E12" s="4955"/>
      <c r="F12" s="4955"/>
      <c r="G12" s="4956"/>
      <c r="H12" s="2377"/>
      <c r="I12" s="4890"/>
      <c r="J12" s="4891"/>
      <c r="K12" s="4891"/>
      <c r="L12" s="4891"/>
      <c r="M12" s="4891"/>
      <c r="N12" s="4891"/>
      <c r="O12" s="4892"/>
      <c r="P12" s="389"/>
      <c r="Q12" s="24"/>
      <c r="R12" s="2728"/>
      <c r="S12" s="1981"/>
      <c r="T12" s="2380"/>
      <c r="U12" s="2382"/>
      <c r="V12" s="3169" t="s">
        <v>2164</v>
      </c>
      <c r="W12" s="3169"/>
      <c r="X12" s="3169"/>
      <c r="Y12" s="3169"/>
      <c r="Z12" s="3169"/>
      <c r="AA12" s="3169"/>
      <c r="AB12" s="3169"/>
      <c r="AC12" s="3169"/>
      <c r="AD12" s="3169"/>
      <c r="AE12" s="3169"/>
      <c r="AF12" s="3169"/>
      <c r="AG12" s="3169"/>
      <c r="AH12" s="3169"/>
      <c r="AI12" s="3169"/>
      <c r="AJ12" s="3169"/>
      <c r="AK12" s="3049"/>
      <c r="AL12" s="1802"/>
    </row>
    <row r="13" spans="1:54" ht="12" customHeight="1" thickBot="1" x14ac:dyDescent="0.25">
      <c r="A13" s="2380"/>
      <c r="B13" s="2729"/>
      <c r="C13" s="2377"/>
      <c r="D13" s="2377"/>
      <c r="E13" s="2377"/>
      <c r="F13" s="2377"/>
      <c r="G13" s="2377"/>
      <c r="H13" s="2377"/>
      <c r="I13" s="2377"/>
      <c r="J13" s="2377"/>
      <c r="K13" s="2377"/>
      <c r="L13" s="2377"/>
      <c r="M13" s="2377"/>
      <c r="N13" s="2377"/>
      <c r="O13" s="2377"/>
      <c r="P13" s="2377"/>
      <c r="Q13" s="2377"/>
      <c r="R13" s="2728"/>
      <c r="S13" s="1982"/>
      <c r="T13" s="2380"/>
      <c r="U13" s="2383"/>
      <c r="V13" s="3483" t="s">
        <v>1628</v>
      </c>
      <c r="W13" s="3483"/>
      <c r="X13" s="4857"/>
      <c r="Y13" s="4857"/>
      <c r="Z13" s="4857"/>
      <c r="AA13" s="4857"/>
      <c r="AB13" s="4865"/>
      <c r="AC13" s="4865"/>
      <c r="AD13" s="4865"/>
      <c r="AE13" s="4865"/>
      <c r="AF13" s="4865"/>
      <c r="AG13" s="4865"/>
      <c r="AH13" s="4865"/>
      <c r="AI13" s="4865"/>
      <c r="AJ13" s="4865"/>
      <c r="AK13" s="3049"/>
      <c r="AL13" s="3050"/>
    </row>
    <row r="14" spans="1:54" ht="12" customHeight="1" thickBot="1" x14ac:dyDescent="0.25">
      <c r="A14" s="2380"/>
      <c r="B14" s="2724"/>
      <c r="C14" s="4464" t="s">
        <v>2160</v>
      </c>
      <c r="D14" s="4465"/>
      <c r="E14" s="4465"/>
      <c r="F14" s="4465"/>
      <c r="G14" s="4957"/>
      <c r="H14" s="2377"/>
      <c r="I14" s="2377"/>
      <c r="J14" s="2377"/>
      <c r="K14" s="2377"/>
      <c r="L14" s="2377"/>
      <c r="M14" s="2377"/>
      <c r="N14" s="2377"/>
      <c r="O14" s="2377"/>
      <c r="P14" s="2377"/>
      <c r="Q14" s="2377"/>
      <c r="R14" s="2725"/>
      <c r="S14" s="2662"/>
      <c r="T14" s="2380"/>
      <c r="U14" s="2382"/>
      <c r="V14" s="3483" t="s">
        <v>2165</v>
      </c>
      <c r="W14" s="3483"/>
      <c r="X14" s="82" t="s">
        <v>2549</v>
      </c>
      <c r="Y14" s="390" t="s">
        <v>1705</v>
      </c>
      <c r="Z14" s="170" t="s">
        <v>1891</v>
      </c>
      <c r="AA14" s="4049" t="s">
        <v>2166</v>
      </c>
      <c r="AB14" s="4049"/>
      <c r="AC14" s="82"/>
      <c r="AD14" s="288" t="s">
        <v>2167</v>
      </c>
      <c r="AE14" s="165"/>
      <c r="AF14" s="158" t="s">
        <v>1705</v>
      </c>
      <c r="AG14" s="4847" t="str">
        <f>IF(W15="Escudo","Bono de Parada:",IF(W15="Proyectiles","FUE del arma:",""))</f>
        <v/>
      </c>
      <c r="AH14" s="4848"/>
      <c r="AI14" s="4848"/>
      <c r="AJ14" s="119"/>
      <c r="AK14" s="3048"/>
      <c r="AL14" s="3046"/>
    </row>
    <row r="15" spans="1:54" ht="12" customHeight="1" thickBot="1" x14ac:dyDescent="0.25">
      <c r="A15" s="2380"/>
      <c r="B15" s="2724"/>
      <c r="C15" s="4958" t="s">
        <v>1842</v>
      </c>
      <c r="D15" s="4959"/>
      <c r="E15" s="4959"/>
      <c r="F15" s="4960"/>
      <c r="G15" s="2651" t="s">
        <v>1804</v>
      </c>
      <c r="H15" s="2377"/>
      <c r="I15" s="4771" t="s">
        <v>2163</v>
      </c>
      <c r="J15" s="4772"/>
      <c r="K15" s="4772"/>
      <c r="L15" s="4772"/>
      <c r="M15" s="4772"/>
      <c r="N15" s="4772"/>
      <c r="O15" s="4772"/>
      <c r="P15" s="4772"/>
      <c r="Q15" s="4773"/>
      <c r="R15" s="2725"/>
      <c r="S15" s="2662"/>
      <c r="T15" s="2380"/>
      <c r="U15" s="2382"/>
      <c r="V15" s="391" t="s">
        <v>2168</v>
      </c>
      <c r="W15" s="3657"/>
      <c r="X15" s="3657"/>
      <c r="Y15" s="4860"/>
      <c r="Z15" s="4860"/>
      <c r="AA15" s="143" t="s">
        <v>1893</v>
      </c>
      <c r="AB15" s="143" t="s">
        <v>1894</v>
      </c>
      <c r="AC15" s="143" t="s">
        <v>1874</v>
      </c>
      <c r="AD15" s="143" t="s">
        <v>1895</v>
      </c>
      <c r="AE15" s="392" t="s">
        <v>1875</v>
      </c>
      <c r="AF15" s="151" t="s">
        <v>3129</v>
      </c>
      <c r="AG15" s="4777" t="str">
        <f>IF(W15="Escudo","Bono de Esquiva:",IF(W15="Proyectiles","Turnos de recarga:",""))</f>
        <v/>
      </c>
      <c r="AH15" s="4778"/>
      <c r="AI15" s="4778"/>
      <c r="AJ15" s="119"/>
      <c r="AK15" s="3048"/>
      <c r="AL15" s="3046"/>
    </row>
    <row r="16" spans="1:54" ht="12" customHeight="1" thickBot="1" x14ac:dyDescent="0.25">
      <c r="A16" s="2380"/>
      <c r="B16" s="2724"/>
      <c r="C16" s="4854"/>
      <c r="D16" s="4855"/>
      <c r="E16" s="4855"/>
      <c r="F16" s="4856"/>
      <c r="G16" s="2388"/>
      <c r="H16" s="2377"/>
      <c r="I16" s="3633" t="s">
        <v>1755</v>
      </c>
      <c r="J16" s="3634"/>
      <c r="K16" s="3634"/>
      <c r="L16" s="3634"/>
      <c r="M16" s="3634"/>
      <c r="N16" s="3634"/>
      <c r="O16" s="3216"/>
      <c r="P16" s="75" t="s">
        <v>1688</v>
      </c>
      <c r="Q16" s="21" t="s">
        <v>1689</v>
      </c>
      <c r="R16" s="2725"/>
      <c r="S16" s="2662"/>
      <c r="T16" s="2380"/>
      <c r="U16" s="2382"/>
      <c r="V16" s="91" t="s">
        <v>2169</v>
      </c>
      <c r="W16" s="3666"/>
      <c r="X16" s="3666"/>
      <c r="Y16" s="4860"/>
      <c r="Z16" s="4860"/>
      <c r="AA16" s="87"/>
      <c r="AB16" s="87"/>
      <c r="AC16" s="87"/>
      <c r="AD16" s="87"/>
      <c r="AE16" s="87"/>
      <c r="AF16" s="607"/>
      <c r="AG16" s="4779" t="str">
        <f>IF(W15="Proyectiles","Alcance:","")</f>
        <v/>
      </c>
      <c r="AH16" s="4779"/>
      <c r="AI16" s="4779"/>
      <c r="AJ16" s="122"/>
      <c r="AK16" s="3048"/>
      <c r="AL16" s="3046"/>
    </row>
    <row r="17" spans="1:40" ht="12" customHeight="1" x14ac:dyDescent="0.2">
      <c r="A17" s="2380"/>
      <c r="B17" s="2724"/>
      <c r="C17" s="4962"/>
      <c r="D17" s="3976"/>
      <c r="E17" s="3976"/>
      <c r="F17" s="4826"/>
      <c r="G17" s="2389"/>
      <c r="H17" s="2377"/>
      <c r="I17" s="4774"/>
      <c r="J17" s="4775"/>
      <c r="K17" s="4775"/>
      <c r="L17" s="4775"/>
      <c r="M17" s="4775"/>
      <c r="N17" s="4775"/>
      <c r="O17" s="4776"/>
      <c r="P17" s="270"/>
      <c r="Q17" s="22"/>
      <c r="R17" s="2725"/>
      <c r="S17" s="2662"/>
      <c r="T17" s="2380"/>
      <c r="U17" s="2382"/>
      <c r="V17" s="3483" t="s">
        <v>1628</v>
      </c>
      <c r="W17" s="3483"/>
      <c r="X17" s="4857"/>
      <c r="Y17" s="4857"/>
      <c r="Z17" s="4857"/>
      <c r="AA17" s="4857"/>
      <c r="AB17" s="4841"/>
      <c r="AC17" s="4841"/>
      <c r="AD17" s="4841"/>
      <c r="AE17" s="4841"/>
      <c r="AF17" s="4841"/>
      <c r="AG17" s="4841"/>
      <c r="AH17" s="4841"/>
      <c r="AI17" s="4841"/>
      <c r="AJ17" s="4841"/>
      <c r="AK17" s="3048"/>
      <c r="AL17" s="3046"/>
    </row>
    <row r="18" spans="1:40" ht="12" customHeight="1" x14ac:dyDescent="0.2">
      <c r="A18" s="2380"/>
      <c r="B18" s="2724"/>
      <c r="C18" s="4961"/>
      <c r="D18" s="3977"/>
      <c r="E18" s="3977"/>
      <c r="F18" s="4834"/>
      <c r="G18" s="2390"/>
      <c r="H18" s="2377"/>
      <c r="I18" s="4774"/>
      <c r="J18" s="4775"/>
      <c r="K18" s="4775"/>
      <c r="L18" s="4775"/>
      <c r="M18" s="4775"/>
      <c r="N18" s="4775"/>
      <c r="O18" s="4776"/>
      <c r="P18" s="2646"/>
      <c r="Q18" s="22"/>
      <c r="R18" s="2725"/>
      <c r="S18" s="2662"/>
      <c r="T18" s="2380"/>
      <c r="U18" s="2382"/>
      <c r="V18" s="3483" t="s">
        <v>2165</v>
      </c>
      <c r="W18" s="3483"/>
      <c r="X18" s="82" t="s">
        <v>2549</v>
      </c>
      <c r="Y18" s="390" t="s">
        <v>1705</v>
      </c>
      <c r="Z18" s="170" t="s">
        <v>1891</v>
      </c>
      <c r="AA18" s="4049" t="s">
        <v>2166</v>
      </c>
      <c r="AB18" s="4049"/>
      <c r="AC18" s="82"/>
      <c r="AD18" s="288" t="s">
        <v>2167</v>
      </c>
      <c r="AE18" s="165"/>
      <c r="AF18" s="158" t="s">
        <v>1705</v>
      </c>
      <c r="AG18" s="4847" t="str">
        <f>IF(W19="Escudo","Bono de Parada:",IF(W19="Proyectiles","FUE del arma:",""))</f>
        <v/>
      </c>
      <c r="AH18" s="4848"/>
      <c r="AI18" s="4848"/>
      <c r="AJ18" s="119"/>
      <c r="AK18" s="3048"/>
      <c r="AL18" s="3046"/>
    </row>
    <row r="19" spans="1:40" ht="15" customHeight="1" thickBot="1" x14ac:dyDescent="0.25">
      <c r="A19" s="2380"/>
      <c r="B19" s="2724"/>
      <c r="C19" s="4910"/>
      <c r="D19" s="4911"/>
      <c r="E19" s="4911"/>
      <c r="F19" s="4912"/>
      <c r="G19" s="2399"/>
      <c r="H19" s="2377"/>
      <c r="I19" s="4774"/>
      <c r="J19" s="4775"/>
      <c r="K19" s="4775"/>
      <c r="L19" s="4775"/>
      <c r="M19" s="4775"/>
      <c r="N19" s="4775"/>
      <c r="O19" s="4776"/>
      <c r="P19" s="2646"/>
      <c r="Q19" s="22"/>
      <c r="R19" s="2725"/>
      <c r="S19" s="2662"/>
      <c r="T19" s="2380"/>
      <c r="U19" s="2382"/>
      <c r="V19" s="391" t="s">
        <v>2168</v>
      </c>
      <c r="W19" s="3657"/>
      <c r="X19" s="3657"/>
      <c r="Y19" s="4860"/>
      <c r="Z19" s="4860"/>
      <c r="AA19" s="143" t="s">
        <v>1893</v>
      </c>
      <c r="AB19" s="143" t="s">
        <v>1894</v>
      </c>
      <c r="AC19" s="143" t="s">
        <v>1874</v>
      </c>
      <c r="AD19" s="143" t="s">
        <v>1895</v>
      </c>
      <c r="AE19" s="392" t="s">
        <v>1875</v>
      </c>
      <c r="AF19" s="151" t="s">
        <v>3129</v>
      </c>
      <c r="AG19" s="4777" t="str">
        <f>IF(W19="Escudo","Bono de Esquiva:",IF(W19="Proyectiles","Turnos de recarga:",""))</f>
        <v/>
      </c>
      <c r="AH19" s="4778"/>
      <c r="AI19" s="4778"/>
      <c r="AJ19" s="119"/>
      <c r="AK19" s="3048"/>
      <c r="AL19" s="3046"/>
    </row>
    <row r="20" spans="1:40" ht="12" customHeight="1" thickBot="1" x14ac:dyDescent="0.25">
      <c r="A20" s="2380"/>
      <c r="B20" s="2724"/>
      <c r="C20" s="2377"/>
      <c r="D20" s="2377"/>
      <c r="E20" s="2377"/>
      <c r="F20" s="2377"/>
      <c r="G20" s="2377"/>
      <c r="H20" s="2377"/>
      <c r="I20" s="4774"/>
      <c r="J20" s="4775"/>
      <c r="K20" s="4775"/>
      <c r="L20" s="4775"/>
      <c r="M20" s="4775"/>
      <c r="N20" s="4775"/>
      <c r="O20" s="4776"/>
      <c r="P20" s="2646"/>
      <c r="Q20" s="22"/>
      <c r="R20" s="2725"/>
      <c r="S20" s="2662"/>
      <c r="T20" s="2380"/>
      <c r="U20" s="2382"/>
      <c r="V20" s="91" t="s">
        <v>2169</v>
      </c>
      <c r="W20" s="3666"/>
      <c r="X20" s="3666"/>
      <c r="Y20" s="4860"/>
      <c r="Z20" s="4860"/>
      <c r="AA20" s="87"/>
      <c r="AB20" s="87"/>
      <c r="AC20" s="87"/>
      <c r="AD20" s="87"/>
      <c r="AE20" s="87"/>
      <c r="AF20" s="607"/>
      <c r="AG20" s="4779" t="str">
        <f>IF(W19="Proyectiles","Alcance:","")</f>
        <v/>
      </c>
      <c r="AH20" s="4779"/>
      <c r="AI20" s="4779"/>
      <c r="AJ20" s="122"/>
      <c r="AK20" s="3048"/>
      <c r="AL20" s="3046"/>
    </row>
    <row r="21" spans="1:40" ht="12" customHeight="1" thickBot="1" x14ac:dyDescent="0.25">
      <c r="A21" s="2380"/>
      <c r="B21" s="2724"/>
      <c r="C21" s="3287" t="s">
        <v>8542</v>
      </c>
      <c r="D21" s="3288"/>
      <c r="E21" s="3288"/>
      <c r="F21" s="3288"/>
      <c r="G21" s="4913"/>
      <c r="H21" s="2377"/>
      <c r="I21" s="4774"/>
      <c r="J21" s="4775"/>
      <c r="K21" s="4775"/>
      <c r="L21" s="4775"/>
      <c r="M21" s="4775"/>
      <c r="N21" s="4775"/>
      <c r="O21" s="4776"/>
      <c r="P21" s="2646"/>
      <c r="Q21" s="22"/>
      <c r="R21" s="2725"/>
      <c r="S21" s="2662"/>
      <c r="T21" s="2380"/>
      <c r="U21" s="2382"/>
      <c r="V21" s="3483" t="s">
        <v>1628</v>
      </c>
      <c r="W21" s="3483"/>
      <c r="X21" s="4857"/>
      <c r="Y21" s="4857"/>
      <c r="Z21" s="4857"/>
      <c r="AA21" s="4857"/>
      <c r="AB21" s="4841"/>
      <c r="AC21" s="4841"/>
      <c r="AD21" s="4841"/>
      <c r="AE21" s="4841"/>
      <c r="AF21" s="4841"/>
      <c r="AG21" s="4841"/>
      <c r="AH21" s="4841"/>
      <c r="AI21" s="4841"/>
      <c r="AJ21" s="4841"/>
      <c r="AK21" s="3048"/>
      <c r="AL21" s="3046"/>
      <c r="AM21" s="2960" t="s">
        <v>8538</v>
      </c>
      <c r="AN21" s="2970" t="b">
        <f>OR(IF(Personalización!E25="",,COUNTIF(Tablas!$L$136:$L$137,Personalización!$E$25)=0),IF(Personalización!E26="",,COUNTIF(Tablas!$N$136:$N$137,Personalización!$E$26)=0))</f>
        <v>0</v>
      </c>
    </row>
    <row r="22" spans="1:40" ht="12" customHeight="1" x14ac:dyDescent="0.2">
      <c r="A22" s="2380"/>
      <c r="B22" s="2724"/>
      <c r="C22" s="4926" t="str">
        <f>IF(Tablas!G480&gt;0,"Ventaja elegida","")</f>
        <v/>
      </c>
      <c r="D22" s="4815"/>
      <c r="E22" s="4917" t="str">
        <f>IF(C22="","Aplicar bonos:","")</f>
        <v>Aplicar bonos:</v>
      </c>
      <c r="F22" s="4917"/>
      <c r="G22" s="1980" t="s">
        <v>2549</v>
      </c>
      <c r="H22" s="2377"/>
      <c r="I22" s="4774"/>
      <c r="J22" s="4775"/>
      <c r="K22" s="4775"/>
      <c r="L22" s="4775"/>
      <c r="M22" s="4775"/>
      <c r="N22" s="4775"/>
      <c r="O22" s="4776"/>
      <c r="P22" s="2646"/>
      <c r="Q22" s="22"/>
      <c r="R22" s="2728"/>
      <c r="S22" s="1982"/>
      <c r="T22" s="2380"/>
      <c r="U22" s="2382"/>
      <c r="V22" s="3483" t="s">
        <v>2165</v>
      </c>
      <c r="W22" s="3483"/>
      <c r="X22" s="82" t="s">
        <v>2549</v>
      </c>
      <c r="Y22" s="390" t="s">
        <v>1705</v>
      </c>
      <c r="Z22" s="170" t="s">
        <v>1891</v>
      </c>
      <c r="AA22" s="4049" t="s">
        <v>2166</v>
      </c>
      <c r="AB22" s="4049"/>
      <c r="AC22" s="82"/>
      <c r="AD22" s="288" t="s">
        <v>2167</v>
      </c>
      <c r="AE22" s="165"/>
      <c r="AF22" s="158" t="s">
        <v>1705</v>
      </c>
      <c r="AG22" s="4847" t="str">
        <f>IF(W23="Escudo","Bono de Parada:",IF(W23="Proyectiles","FUE del arma:",""))</f>
        <v/>
      </c>
      <c r="AH22" s="4848"/>
      <c r="AI22" s="4848"/>
      <c r="AJ22" s="119"/>
      <c r="AK22" s="3049"/>
      <c r="AL22" s="3050"/>
    </row>
    <row r="23" spans="1:40" ht="12" customHeight="1" thickBot="1" x14ac:dyDescent="0.25">
      <c r="A23" s="2380"/>
      <c r="B23" s="2724"/>
      <c r="C23" s="4918" t="str">
        <f>IF(Region="","Región no definida",Region)</f>
        <v>Abel</v>
      </c>
      <c r="D23" s="4919"/>
      <c r="E23" s="4919" t="str">
        <f>IF(Region="","Clase social no definida",ClaseSocial)</f>
        <v>Nobleza</v>
      </c>
      <c r="F23" s="4919"/>
      <c r="G23" s="4920"/>
      <c r="H23" s="2377"/>
      <c r="I23" s="4774"/>
      <c r="J23" s="4775"/>
      <c r="K23" s="4775"/>
      <c r="L23" s="4775"/>
      <c r="M23" s="4775"/>
      <c r="N23" s="4775"/>
      <c r="O23" s="4776"/>
      <c r="P23" s="2646"/>
      <c r="Q23" s="22"/>
      <c r="R23" s="2725"/>
      <c r="S23" s="2662"/>
      <c r="T23" s="2380"/>
      <c r="U23" s="2382"/>
      <c r="V23" s="391" t="s">
        <v>2168</v>
      </c>
      <c r="W23" s="3657"/>
      <c r="X23" s="3657"/>
      <c r="Y23" s="4860"/>
      <c r="Z23" s="4860"/>
      <c r="AA23" s="143" t="s">
        <v>1893</v>
      </c>
      <c r="AB23" s="143" t="s">
        <v>1894</v>
      </c>
      <c r="AC23" s="143" t="s">
        <v>1874</v>
      </c>
      <c r="AD23" s="143" t="s">
        <v>1895</v>
      </c>
      <c r="AE23" s="392" t="s">
        <v>1875</v>
      </c>
      <c r="AF23" s="151" t="s">
        <v>3129</v>
      </c>
      <c r="AG23" s="4777" t="str">
        <f>IF(W23="Escudo","Bono de Esquiva:",IF(W23="Proyectiles","Turnos de recarga:",""))</f>
        <v/>
      </c>
      <c r="AH23" s="4778"/>
      <c r="AI23" s="4778"/>
      <c r="AJ23" s="119"/>
      <c r="AK23" s="3048"/>
      <c r="AL23" s="3046"/>
      <c r="AM23" s="2960" t="s">
        <v>8539</v>
      </c>
      <c r="AN23" s="1804" t="str">
        <f>IF(Tablas!L136="","",IF(AND(Region="Elicia",OR(ClaseSocial=Tablas!CL140,ClaseSocial=Tablas!CM140)),"Habilidades_Secundarias","Tablas!$K$33:$K$34"))</f>
        <v>Tablas!$K$33:$K$34</v>
      </c>
    </row>
    <row r="24" spans="1:40" ht="12" customHeight="1" thickBot="1" x14ac:dyDescent="0.25">
      <c r="A24" s="2380"/>
      <c r="B24" s="2724"/>
      <c r="C24" s="4918"/>
      <c r="D24" s="4919"/>
      <c r="E24" s="4919"/>
      <c r="F24" s="4919"/>
      <c r="G24" s="4920"/>
      <c r="H24" s="2377"/>
      <c r="I24" s="4774"/>
      <c r="J24" s="4775"/>
      <c r="K24" s="4775"/>
      <c r="L24" s="4775"/>
      <c r="M24" s="4775"/>
      <c r="N24" s="4775"/>
      <c r="O24" s="4776"/>
      <c r="P24" s="2646"/>
      <c r="Q24" s="22"/>
      <c r="R24" s="2725"/>
      <c r="S24" s="2662"/>
      <c r="T24" s="2380"/>
      <c r="U24" s="2382"/>
      <c r="V24" s="91" t="s">
        <v>2169</v>
      </c>
      <c r="W24" s="3666"/>
      <c r="X24" s="3666"/>
      <c r="Y24" s="4860"/>
      <c r="Z24" s="4860"/>
      <c r="AA24" s="87"/>
      <c r="AB24" s="87"/>
      <c r="AC24" s="87"/>
      <c r="AD24" s="87"/>
      <c r="AE24" s="87"/>
      <c r="AF24" s="607"/>
      <c r="AG24" s="4779" t="str">
        <f>IF(W23="Proyectiles","Alcance:","")</f>
        <v/>
      </c>
      <c r="AH24" s="4779"/>
      <c r="AI24" s="4779"/>
      <c r="AJ24" s="122"/>
      <c r="AK24" s="3048"/>
      <c r="AL24" s="3046"/>
      <c r="AM24" s="2960" t="s">
        <v>8540</v>
      </c>
      <c r="AN24" s="1804" t="str">
        <f>IF(Tablas!N136="","","Tablas!$M$33:$M$34")</f>
        <v/>
      </c>
    </row>
    <row r="25" spans="1:40" ht="12" customHeight="1" thickBot="1" x14ac:dyDescent="0.25">
      <c r="A25" s="2380"/>
      <c r="B25" s="2724"/>
      <c r="C25" s="4927" t="str">
        <f>IF(Tablas!L136="","","Bono Especial:")</f>
        <v>Bono Especial:</v>
      </c>
      <c r="D25" s="4928"/>
      <c r="E25" s="4914"/>
      <c r="F25" s="4915"/>
      <c r="G25" s="4916"/>
      <c r="H25" s="2377"/>
      <c r="I25" s="4774"/>
      <c r="J25" s="4775"/>
      <c r="K25" s="4775"/>
      <c r="L25" s="4775"/>
      <c r="M25" s="4775"/>
      <c r="N25" s="4775"/>
      <c r="O25" s="4776"/>
      <c r="P25" s="2646"/>
      <c r="Q25" s="22"/>
      <c r="R25" s="2725"/>
      <c r="S25" s="2662"/>
      <c r="T25" s="2380"/>
      <c r="U25" s="2382"/>
      <c r="AK25" s="3048"/>
      <c r="AL25" s="3046"/>
    </row>
    <row r="26" spans="1:40" ht="12" customHeight="1" thickBot="1" x14ac:dyDescent="0.25">
      <c r="A26" s="2380"/>
      <c r="B26" s="2724"/>
      <c r="C26" s="4921" t="str">
        <f>IF(Tablas!N136="","","Bono Especial:")</f>
        <v/>
      </c>
      <c r="D26" s="4922"/>
      <c r="E26" s="4923"/>
      <c r="F26" s="4924"/>
      <c r="G26" s="4925"/>
      <c r="H26" s="2377"/>
      <c r="I26" s="4890"/>
      <c r="J26" s="4891"/>
      <c r="K26" s="4891"/>
      <c r="L26" s="4891"/>
      <c r="M26" s="4891"/>
      <c r="N26" s="4891"/>
      <c r="O26" s="4892"/>
      <c r="P26" s="2648"/>
      <c r="Q26" s="24"/>
      <c r="R26" s="2725"/>
      <c r="S26" s="2662"/>
      <c r="T26" s="2380"/>
      <c r="U26" s="2382"/>
      <c r="V26" s="4859" t="s">
        <v>2172</v>
      </c>
      <c r="W26" s="4849" t="s">
        <v>1628</v>
      </c>
      <c r="X26" s="4849"/>
      <c r="Y26" s="4840"/>
      <c r="Z26" s="4840"/>
      <c r="AA26" s="4840"/>
      <c r="AB26" s="4840"/>
      <c r="AC26" s="4840"/>
      <c r="AD26" s="4849" t="s">
        <v>1628</v>
      </c>
      <c r="AE26" s="4849"/>
      <c r="AF26" s="4840"/>
      <c r="AG26" s="4840"/>
      <c r="AH26" s="4840"/>
      <c r="AI26" s="4840"/>
      <c r="AJ26" s="4840"/>
      <c r="AK26" s="3048"/>
      <c r="AL26" s="3046"/>
    </row>
    <row r="27" spans="1:40" ht="12" customHeight="1" thickBot="1" x14ac:dyDescent="0.25">
      <c r="A27" s="2380"/>
      <c r="B27" s="2724"/>
      <c r="C27" s="2377"/>
      <c r="D27" s="2377"/>
      <c r="E27" s="2377"/>
      <c r="F27" s="2377"/>
      <c r="G27" s="2377"/>
      <c r="H27" s="2377"/>
      <c r="I27" s="2377"/>
      <c r="J27" s="2377"/>
      <c r="K27" s="2377"/>
      <c r="L27" s="2377"/>
      <c r="M27" s="2377"/>
      <c r="N27" s="2377"/>
      <c r="O27" s="2377"/>
      <c r="P27" s="2377"/>
      <c r="Q27" s="2664"/>
      <c r="R27" s="2725"/>
      <c r="S27" s="2662"/>
      <c r="T27" s="2380"/>
      <c r="U27" s="2382"/>
      <c r="V27" s="4859"/>
      <c r="W27" s="4858" t="s">
        <v>2173</v>
      </c>
      <c r="X27" s="4858"/>
      <c r="Y27" s="4850" t="str">
        <f>IF($Y$33="Cabeza","Pen.Percepción","Pen. Natural")</f>
        <v>Pen. Natural</v>
      </c>
      <c r="Z27" s="4850"/>
      <c r="AA27" s="4866" t="s">
        <v>2174</v>
      </c>
      <c r="AB27" s="4866"/>
      <c r="AC27" s="4866"/>
      <c r="AD27" s="4858" t="s">
        <v>2173</v>
      </c>
      <c r="AE27" s="4858"/>
      <c r="AF27" s="4850" t="str">
        <f>IF($AF$33="Cabeza","Pen.Percepción","Pen. Natural")</f>
        <v>Pen. Natural</v>
      </c>
      <c r="AG27" s="4850"/>
      <c r="AH27" s="4866" t="s">
        <v>2174</v>
      </c>
      <c r="AI27" s="4866"/>
      <c r="AJ27" s="4866"/>
      <c r="AK27" s="3048"/>
      <c r="AL27" s="3046"/>
    </row>
    <row r="28" spans="1:40" ht="12" customHeight="1" thickBot="1" x14ac:dyDescent="0.25">
      <c r="A28" s="2380"/>
      <c r="B28" s="2724"/>
      <c r="C28" s="2377"/>
      <c r="D28" s="2377"/>
      <c r="E28" s="4932" t="s">
        <v>1841</v>
      </c>
      <c r="F28" s="4710" t="s">
        <v>1842</v>
      </c>
      <c r="G28" s="4711"/>
      <c r="H28" s="4935"/>
      <c r="I28" s="2400" t="s">
        <v>1843</v>
      </c>
      <c r="J28" s="4929" t="s">
        <v>1844</v>
      </c>
      <c r="K28" s="4935"/>
      <c r="L28" s="4929" t="s">
        <v>1845</v>
      </c>
      <c r="M28" s="4711"/>
      <c r="N28" s="4963" t="str">
        <f>IF(SUM(I29:I31)+SUM(I32:I34)&gt;0,"Selecciona la/s Habilidad/es asociadas a las Ventajas",IF(SUM(I29:I31)+SUM(I32:I34)&lt;0,"Exceso de Habilidad/es seleccionadas",""))</f>
        <v/>
      </c>
      <c r="O28" s="4964"/>
      <c r="P28" s="2377"/>
      <c r="Q28" s="2377"/>
      <c r="R28" s="2725"/>
      <c r="S28" s="2662"/>
      <c r="T28" s="2380"/>
      <c r="U28" s="2382"/>
      <c r="V28" s="4859"/>
      <c r="W28" s="4853"/>
      <c r="X28" s="4853"/>
      <c r="Y28" s="4846"/>
      <c r="Z28" s="4846"/>
      <c r="AA28" s="4789"/>
      <c r="AB28" s="4789"/>
      <c r="AC28" s="4789"/>
      <c r="AD28" s="4853"/>
      <c r="AE28" s="4853"/>
      <c r="AF28" s="4846"/>
      <c r="AG28" s="4846"/>
      <c r="AH28" s="4789"/>
      <c r="AI28" s="4789"/>
      <c r="AJ28" s="4789"/>
      <c r="AK28" s="3048"/>
      <c r="AL28" s="3046"/>
    </row>
    <row r="29" spans="1:40" ht="12" customHeight="1" thickBot="1" x14ac:dyDescent="0.25">
      <c r="A29" s="2380"/>
      <c r="B29" s="2724"/>
      <c r="C29" s="2377"/>
      <c r="D29" s="2377"/>
      <c r="E29" s="4933"/>
      <c r="F29" s="2653" t="s">
        <v>1846</v>
      </c>
      <c r="G29" s="2650"/>
      <c r="H29" s="2650"/>
      <c r="I29" s="101">
        <f>Tablas!$G$276-IF(J29=0,0,1)-IF(L29=0,0,1)</f>
        <v>0</v>
      </c>
      <c r="J29" s="4805"/>
      <c r="K29" s="3659"/>
      <c r="L29" s="4930"/>
      <c r="M29" s="3975"/>
      <c r="N29" s="4965"/>
      <c r="O29" s="4966"/>
      <c r="P29" s="2377"/>
      <c r="Q29" s="2377"/>
      <c r="R29" s="2725"/>
      <c r="S29" s="2662"/>
      <c r="T29" s="2380"/>
      <c r="U29" s="2382"/>
      <c r="V29" s="4859"/>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8"/>
      <c r="AL29" s="3046"/>
    </row>
    <row r="30" spans="1:40" ht="12" customHeight="1" thickBot="1" x14ac:dyDescent="0.25">
      <c r="A30" s="2380"/>
      <c r="B30" s="2724"/>
      <c r="C30" s="2377"/>
      <c r="D30" s="2377"/>
      <c r="E30" s="4933"/>
      <c r="F30" s="2652" t="s">
        <v>1848</v>
      </c>
      <c r="G30" s="2649"/>
      <c r="H30" s="2649"/>
      <c r="I30" s="201">
        <f>Tablas!$G$277-IF(J30=0,0,1)-IF(L30=0,0,1)</f>
        <v>0</v>
      </c>
      <c r="J30" s="4803"/>
      <c r="K30" s="3662"/>
      <c r="L30" s="4931"/>
      <c r="M30" s="4806"/>
      <c r="N30" s="4965"/>
      <c r="O30" s="4966"/>
      <c r="P30" s="2377"/>
      <c r="Q30" s="2377"/>
      <c r="R30" s="2725"/>
      <c r="S30" s="2662"/>
      <c r="T30" s="2380"/>
      <c r="U30" s="2382"/>
      <c r="V30" s="4859"/>
      <c r="W30" s="4792"/>
      <c r="X30" s="4792"/>
      <c r="Y30" s="4792"/>
      <c r="Z30" s="4792"/>
      <c r="AA30" s="4792"/>
      <c r="AB30" s="4843"/>
      <c r="AC30" s="4851"/>
      <c r="AD30" s="4861"/>
      <c r="AE30" s="4792"/>
      <c r="AF30" s="4792"/>
      <c r="AG30" s="4792"/>
      <c r="AH30" s="4792"/>
      <c r="AI30" s="4843"/>
      <c r="AJ30" s="4851"/>
      <c r="AK30" s="3048"/>
      <c r="AL30" s="3046"/>
    </row>
    <row r="31" spans="1:40" ht="12" customHeight="1" thickBot="1" x14ac:dyDescent="0.25">
      <c r="A31" s="2380"/>
      <c r="B31" s="2724"/>
      <c r="C31" s="2377"/>
      <c r="D31" s="2377"/>
      <c r="E31" s="4933"/>
      <c r="F31" s="2654" t="s">
        <v>1850</v>
      </c>
      <c r="G31" s="2655"/>
      <c r="H31" s="2655"/>
      <c r="I31" s="1736">
        <f>Tablas!$G$278-IF(J31=0,0,1)-IF(L31=0,0,1)</f>
        <v>0</v>
      </c>
      <c r="J31" s="4804"/>
      <c r="K31" s="3961"/>
      <c r="L31" s="4002"/>
      <c r="M31" s="3962"/>
      <c r="N31" s="4965"/>
      <c r="O31" s="4966"/>
      <c r="P31" s="2377"/>
      <c r="Q31" s="2377"/>
      <c r="R31" s="2725"/>
      <c r="S31" s="2662"/>
      <c r="T31" s="2380"/>
      <c r="U31" s="2382"/>
      <c r="V31" s="4859"/>
      <c r="W31" s="4792"/>
      <c r="X31" s="4793"/>
      <c r="Y31" s="4793"/>
      <c r="Z31" s="4793"/>
      <c r="AA31" s="4793"/>
      <c r="AB31" s="4844"/>
      <c r="AC31" s="4852"/>
      <c r="AD31" s="4862"/>
      <c r="AE31" s="4793"/>
      <c r="AF31" s="4793"/>
      <c r="AG31" s="4793"/>
      <c r="AH31" s="4793"/>
      <c r="AI31" s="4863"/>
      <c r="AJ31" s="4852"/>
      <c r="AK31" s="3048"/>
      <c r="AL31" s="3046"/>
    </row>
    <row r="32" spans="1:40" ht="12" customHeight="1" thickBot="1" x14ac:dyDescent="0.25">
      <c r="A32" s="2380"/>
      <c r="B32" s="2724"/>
      <c r="C32" s="2377"/>
      <c r="D32" s="2377"/>
      <c r="E32" s="4933"/>
      <c r="F32" s="4800" t="s">
        <v>1847</v>
      </c>
      <c r="G32" s="3773"/>
      <c r="H32" s="4801"/>
      <c r="I32" s="101">
        <f>Tablas!$G$286-IF(J32=0,0,1)-IF(L32=0,0,1)</f>
        <v>0</v>
      </c>
      <c r="J32" s="4805"/>
      <c r="K32" s="3660"/>
      <c r="L32" s="4805"/>
      <c r="M32" s="3971"/>
      <c r="N32" s="4965"/>
      <c r="O32" s="4966"/>
      <c r="P32" s="2377"/>
      <c r="Q32" s="2377"/>
      <c r="R32" s="2728"/>
      <c r="S32" s="1982"/>
      <c r="T32" s="2380"/>
      <c r="U32" s="2382"/>
      <c r="V32" s="4859"/>
      <c r="W32" s="3283" t="s">
        <v>2175</v>
      </c>
      <c r="X32" s="3283"/>
      <c r="Y32" s="3977"/>
      <c r="Z32" s="3977"/>
      <c r="AA32" s="3283" t="s">
        <v>2176</v>
      </c>
      <c r="AB32" s="3283"/>
      <c r="AC32" s="1993"/>
      <c r="AD32" s="3283" t="s">
        <v>2175</v>
      </c>
      <c r="AE32" s="3283"/>
      <c r="AF32" s="3977"/>
      <c r="AG32" s="3977"/>
      <c r="AH32" s="3283" t="s">
        <v>2176</v>
      </c>
      <c r="AI32" s="3283"/>
      <c r="AJ32" s="1993"/>
      <c r="AK32" s="3049"/>
      <c r="AL32" s="3050"/>
    </row>
    <row r="33" spans="1:40" ht="12" customHeight="1" thickBot="1" x14ac:dyDescent="0.25">
      <c r="A33" s="2380"/>
      <c r="B33" s="2724"/>
      <c r="C33" s="2377"/>
      <c r="D33" s="2377"/>
      <c r="E33" s="4933"/>
      <c r="F33" s="4798" t="s">
        <v>1849</v>
      </c>
      <c r="G33" s="3771"/>
      <c r="H33" s="4799"/>
      <c r="I33" s="201">
        <f>Tablas!$G$287-IF(J33=0,0,1)-IF(L33=0,0,1)</f>
        <v>0</v>
      </c>
      <c r="J33" s="4803"/>
      <c r="K33" s="3663"/>
      <c r="L33" s="4803"/>
      <c r="M33" s="4806"/>
      <c r="N33" s="4965"/>
      <c r="O33" s="4966"/>
      <c r="P33" s="2377"/>
      <c r="Q33" s="2377"/>
      <c r="R33" s="2725"/>
      <c r="S33" s="2662"/>
      <c r="T33" s="2380"/>
      <c r="U33" s="2382"/>
      <c r="V33" s="4859"/>
      <c r="W33" s="4461" t="s">
        <v>2177</v>
      </c>
      <c r="X33" s="4461"/>
      <c r="Y33" s="4802"/>
      <c r="Z33" s="4802"/>
      <c r="AA33" s="4845" t="s">
        <v>2178</v>
      </c>
      <c r="AB33" s="4845"/>
      <c r="AC33" s="402"/>
      <c r="AD33" s="4461" t="s">
        <v>2177</v>
      </c>
      <c r="AE33" s="4461"/>
      <c r="AF33" s="4802"/>
      <c r="AG33" s="4802"/>
      <c r="AH33" s="4845" t="s">
        <v>2178</v>
      </c>
      <c r="AI33" s="4845"/>
      <c r="AJ33" s="403"/>
      <c r="AK33" s="3048"/>
      <c r="AL33" s="3046"/>
    </row>
    <row r="34" spans="1:40" ht="12" customHeight="1" thickBot="1" x14ac:dyDescent="0.25">
      <c r="A34" s="2380"/>
      <c r="B34" s="2724"/>
      <c r="C34" s="2377"/>
      <c r="D34" s="2377"/>
      <c r="E34" s="4934"/>
      <c r="F34" s="4795" t="s">
        <v>1851</v>
      </c>
      <c r="G34" s="4796"/>
      <c r="H34" s="4797"/>
      <c r="I34" s="1736">
        <f>Tablas!$G$288-IF(J34=0,0,1)-IF(L34=0,0,1)</f>
        <v>0</v>
      </c>
      <c r="J34" s="4804"/>
      <c r="K34" s="4864"/>
      <c r="L34" s="4804"/>
      <c r="M34" s="3962"/>
      <c r="N34" s="4967"/>
      <c r="O34" s="4968"/>
      <c r="P34" s="2377"/>
      <c r="Q34" s="2377"/>
      <c r="R34" s="2725"/>
      <c r="S34" s="2662"/>
      <c r="T34" s="2380"/>
      <c r="U34" s="2382"/>
      <c r="AK34" s="3048"/>
      <c r="AL34" s="3046"/>
    </row>
    <row r="35" spans="1:40" ht="12" customHeight="1" thickBot="1" x14ac:dyDescent="0.25">
      <c r="A35" s="2380"/>
      <c r="B35" s="2724"/>
      <c r="C35" s="2377"/>
      <c r="D35" s="2377"/>
      <c r="E35" s="2377"/>
      <c r="F35" s="2377"/>
      <c r="G35" s="2377"/>
      <c r="H35" s="2377"/>
      <c r="I35" s="2377"/>
      <c r="J35" s="2377"/>
      <c r="K35" s="2377"/>
      <c r="L35" s="2377"/>
      <c r="M35" s="2377"/>
      <c r="N35" s="2377"/>
      <c r="O35" s="2377"/>
      <c r="P35" s="2377"/>
      <c r="Q35" s="2664"/>
      <c r="R35" s="2725"/>
      <c r="S35" s="2662"/>
      <c r="T35" s="2380"/>
      <c r="U35" s="2382"/>
      <c r="V35" s="3169" t="s">
        <v>2182</v>
      </c>
      <c r="W35" s="3169"/>
      <c r="X35" s="3169"/>
      <c r="Y35" s="3169"/>
      <c r="Z35" s="3169"/>
      <c r="AA35" s="3169"/>
      <c r="AB35" s="3169"/>
      <c r="AC35" s="3169"/>
      <c r="AD35" s="3169"/>
      <c r="AE35" s="3169"/>
      <c r="AF35" s="3169"/>
      <c r="AG35" s="3169"/>
      <c r="AH35" s="3169"/>
      <c r="AI35" s="3169"/>
      <c r="AJ35" s="3169"/>
      <c r="AK35" s="3048"/>
      <c r="AL35" s="3046"/>
    </row>
    <row r="36" spans="1:40" ht="12" customHeight="1" thickBot="1" x14ac:dyDescent="0.25">
      <c r="A36" s="2380"/>
      <c r="B36" s="2724"/>
      <c r="C36" s="4807" t="s">
        <v>9425</v>
      </c>
      <c r="D36" s="4808"/>
      <c r="E36" s="4808"/>
      <c r="F36" s="4808"/>
      <c r="G36" s="4808"/>
      <c r="H36" s="4808"/>
      <c r="I36" s="4808"/>
      <c r="J36" s="4808"/>
      <c r="K36" s="4808"/>
      <c r="L36" s="4808"/>
      <c r="M36" s="4808"/>
      <c r="N36" s="4808"/>
      <c r="O36" s="4808"/>
      <c r="P36" s="4808"/>
      <c r="Q36" s="4809"/>
      <c r="R36" s="2725"/>
      <c r="S36" s="2662"/>
      <c r="T36" s="2380"/>
      <c r="U36" s="2382"/>
      <c r="V36" s="4785" t="s">
        <v>2183</v>
      </c>
      <c r="W36" s="4785"/>
      <c r="X36" s="4785"/>
      <c r="Y36" s="4786"/>
      <c r="Z36" s="4786"/>
      <c r="AA36" s="4786"/>
      <c r="AB36" s="4787"/>
      <c r="AC36" s="4787"/>
      <c r="AD36" s="4787"/>
      <c r="AE36" s="4787"/>
      <c r="AF36" s="4787"/>
      <c r="AG36" s="4787"/>
      <c r="AH36" s="4788"/>
      <c r="AI36" s="4788"/>
      <c r="AJ36" s="4788"/>
      <c r="AK36" s="3048"/>
      <c r="AL36" s="3046"/>
    </row>
    <row r="37" spans="1:40" ht="12" customHeight="1" thickBot="1" x14ac:dyDescent="0.25">
      <c r="A37" s="2380"/>
      <c r="B37" s="2724"/>
      <c r="C37" s="3638"/>
      <c r="D37" s="3639"/>
      <c r="E37" s="3639"/>
      <c r="F37" s="3639"/>
      <c r="G37" s="3639"/>
      <c r="H37" s="3639"/>
      <c r="I37" s="3639"/>
      <c r="J37" s="3639"/>
      <c r="K37" s="3639"/>
      <c r="L37" s="3639"/>
      <c r="M37" s="3639"/>
      <c r="N37" s="3639"/>
      <c r="O37" s="3639"/>
      <c r="P37" s="3639"/>
      <c r="Q37" s="3640"/>
      <c r="R37" s="2725"/>
      <c r="S37" s="2662"/>
      <c r="T37" s="2380"/>
      <c r="U37" s="2382"/>
      <c r="V37" s="4785"/>
      <c r="W37" s="4785"/>
      <c r="X37" s="4785"/>
      <c r="Y37" s="4786"/>
      <c r="Z37" s="4786"/>
      <c r="AA37" s="4786"/>
      <c r="AB37" s="4787"/>
      <c r="AC37" s="4787"/>
      <c r="AD37" s="4787"/>
      <c r="AE37" s="4787"/>
      <c r="AF37" s="4787"/>
      <c r="AG37" s="4787"/>
      <c r="AH37" s="4788"/>
      <c r="AI37" s="4788"/>
      <c r="AJ37" s="4788"/>
      <c r="AK37" s="3048"/>
      <c r="AL37" s="3046"/>
    </row>
    <row r="38" spans="1:40" ht="12" customHeight="1" thickBot="1" x14ac:dyDescent="0.25">
      <c r="A38" s="2380"/>
      <c r="B38" s="2724"/>
      <c r="C38" s="2664"/>
      <c r="D38" s="2664"/>
      <c r="E38" s="2664"/>
      <c r="F38" s="2664"/>
      <c r="G38" s="2664"/>
      <c r="H38" s="2664"/>
      <c r="I38" s="2664"/>
      <c r="J38" s="2664"/>
      <c r="K38" s="2386"/>
      <c r="L38" s="2386"/>
      <c r="M38" s="2386"/>
      <c r="N38" s="2386"/>
      <c r="O38" s="2386"/>
      <c r="P38" s="2386"/>
      <c r="Q38" s="2386"/>
      <c r="R38" s="2725"/>
      <c r="S38" s="2662"/>
      <c r="T38" s="2380"/>
      <c r="U38" s="2382"/>
      <c r="V38" s="3327" t="s">
        <v>2186</v>
      </c>
      <c r="W38" s="3327"/>
      <c r="X38" s="3327"/>
      <c r="Y38" s="4791"/>
      <c r="Z38" s="4791"/>
      <c r="AA38" s="4791"/>
      <c r="AB38" s="4842"/>
      <c r="AC38" s="4842"/>
      <c r="AD38" s="4842"/>
      <c r="AE38" s="4842"/>
      <c r="AF38" s="4842"/>
      <c r="AG38" s="4842"/>
      <c r="AH38" s="4832"/>
      <c r="AI38" s="4832"/>
      <c r="AJ38" s="4832"/>
      <c r="AK38" s="3048"/>
      <c r="AL38" s="3046"/>
    </row>
    <row r="39" spans="1:40" ht="12" customHeight="1" x14ac:dyDescent="0.2">
      <c r="A39" s="2380"/>
      <c r="B39" s="2724"/>
      <c r="C39" s="68"/>
      <c r="D39" s="3125" t="s">
        <v>9439</v>
      </c>
      <c r="E39" s="4810"/>
      <c r="F39" s="4814" t="str">
        <f>"Poderes adquiridos: "&amp;IF(Tablas!$J$2425&gt;0,"Influjo Sobrenatural"&amp;IF(Tablas!$J$2430&gt;0,", Demiurgo",""),IF(Tablas!$J$2430&gt;0,"Demiurgo","Ninguno"))</f>
        <v>Poderes adquiridos: Ninguno</v>
      </c>
      <c r="G39" s="4815"/>
      <c r="H39" s="4815"/>
      <c r="I39" s="4815"/>
      <c r="J39" s="4815"/>
      <c r="K39" s="4815"/>
      <c r="L39" s="4815"/>
      <c r="M39" s="4816"/>
      <c r="N39" s="4768" t="s">
        <v>9426</v>
      </c>
      <c r="O39" s="4769"/>
      <c r="P39" s="4770"/>
      <c r="Q39" s="2386"/>
      <c r="R39" s="2725"/>
      <c r="S39" s="2662"/>
      <c r="T39" s="2380"/>
      <c r="U39" s="2382"/>
      <c r="V39" s="4780" t="s">
        <v>2187</v>
      </c>
      <c r="W39" s="4780"/>
      <c r="X39" s="4780"/>
      <c r="Y39" s="4781"/>
      <c r="Z39" s="4781"/>
      <c r="AA39" s="4781"/>
      <c r="AB39" s="4782"/>
      <c r="AC39" s="4782"/>
      <c r="AD39" s="4782"/>
      <c r="AE39" s="4782"/>
      <c r="AF39" s="4782"/>
      <c r="AG39" s="4782"/>
      <c r="AH39" s="4784"/>
      <c r="AI39" s="4784"/>
      <c r="AJ39" s="4784"/>
      <c r="AK39" s="3048"/>
      <c r="AL39" s="3046"/>
      <c r="AM39" s="1803" t="s">
        <v>9020</v>
      </c>
      <c r="AN39" s="1885"/>
    </row>
    <row r="40" spans="1:40" ht="12" customHeight="1" x14ac:dyDescent="0.2">
      <c r="A40" s="2380"/>
      <c r="B40" s="2724"/>
      <c r="C40" s="68"/>
      <c r="D40" s="4811"/>
      <c r="E40" s="4812"/>
      <c r="F40" s="2699"/>
      <c r="G40" s="2675" t="s">
        <v>9424</v>
      </c>
      <c r="H40" s="2669" t="s">
        <v>3183</v>
      </c>
      <c r="I40" s="2669" t="s">
        <v>3183</v>
      </c>
      <c r="J40" s="2669" t="s">
        <v>3189</v>
      </c>
      <c r="K40" s="2669" t="s">
        <v>3187</v>
      </c>
      <c r="L40" s="2669" t="s">
        <v>3187</v>
      </c>
      <c r="M40" s="2730"/>
      <c r="N40" s="2731" t="s">
        <v>1698</v>
      </c>
      <c r="O40" s="2678" t="s">
        <v>1703</v>
      </c>
      <c r="P40" s="2679" t="s">
        <v>1704</v>
      </c>
      <c r="Q40" s="2386"/>
      <c r="R40" s="2725"/>
      <c r="S40" s="2662"/>
      <c r="T40" s="2380"/>
      <c r="U40" s="2382"/>
      <c r="V40" s="4794" t="s">
        <v>2188</v>
      </c>
      <c r="W40" s="4794"/>
      <c r="X40" s="4794"/>
      <c r="Y40" s="4790"/>
      <c r="Z40" s="4790"/>
      <c r="AA40" s="4790"/>
      <c r="AB40" s="4783"/>
      <c r="AC40" s="4783"/>
      <c r="AD40" s="4783"/>
      <c r="AE40" s="4783"/>
      <c r="AF40" s="4783"/>
      <c r="AG40" s="4783"/>
      <c r="AH40" s="4827"/>
      <c r="AI40" s="4827"/>
      <c r="AJ40" s="4827"/>
      <c r="AK40" s="3048"/>
      <c r="AL40" s="3046"/>
      <c r="AM40" s="3026" t="s">
        <v>9021</v>
      </c>
      <c r="AN40" s="3026" t="s">
        <v>8465</v>
      </c>
    </row>
    <row r="41" spans="1:40" ht="12" customHeight="1" thickBot="1" x14ac:dyDescent="0.25">
      <c r="A41" s="2380"/>
      <c r="B41" s="2724"/>
      <c r="C41" s="100"/>
      <c r="D41" s="3128"/>
      <c r="E41" s="4813"/>
      <c r="F41" s="2700"/>
      <c r="G41" s="2680" t="s">
        <v>9427</v>
      </c>
      <c r="H41" s="2681" t="s">
        <v>9023</v>
      </c>
      <c r="I41" s="2673"/>
      <c r="J41" s="2673"/>
      <c r="K41" s="2673"/>
      <c r="L41" s="2673"/>
      <c r="M41" s="2673"/>
      <c r="N41" s="2701">
        <f>IF(Tablas!$J$2425&gt;0,2*SUMPRODUCT(--ISNUMBER(SEARCH(Personalización!N$40,Personalización!$H$41))))+IF(Tablas!$J$2430&gt;0,SUMPRODUCT(--ISNUMBER(SEARCH(Personalización!N$40,Personalización!$H$40:$L$40))))</f>
        <v>0</v>
      </c>
      <c r="O41" s="2702">
        <f>IF(Tablas!$J$2425&gt;0,2*SUMPRODUCT(--ISNUMBER(SEARCH(Personalización!O$40,Personalización!$H$41))))+IF(Tablas!$J$2430&gt;0,SUMPRODUCT(--ISNUMBER(SEARCH(Personalización!O$40,Personalización!$H$40:$L$40))))</f>
        <v>0</v>
      </c>
      <c r="P41" s="2703">
        <f>IF(Tablas!$J$2425&gt;0,2*SUMPRODUCT(--ISNUMBER(SEARCH(Personalización!P$40,Personalización!$H$41))))+IF(Tablas!$J$2430&gt;0,SUMPRODUCT(--ISNUMBER(SEARCH(Personalización!P$40,Personalización!$H$40:$L$40))))</f>
        <v>0</v>
      </c>
      <c r="Q41" s="2386"/>
      <c r="R41" s="2725"/>
      <c r="S41" s="2662"/>
      <c r="T41" s="2380"/>
      <c r="U41" s="2382"/>
      <c r="V41" s="4780" t="s">
        <v>2189</v>
      </c>
      <c r="W41" s="4780"/>
      <c r="X41" s="4780"/>
      <c r="Y41" s="4781"/>
      <c r="Z41" s="4781"/>
      <c r="AA41" s="4781"/>
      <c r="AB41" s="4782"/>
      <c r="AC41" s="4782"/>
      <c r="AD41" s="4782"/>
      <c r="AE41" s="4782"/>
      <c r="AF41" s="4782"/>
      <c r="AG41" s="4782"/>
      <c r="AH41" s="4784"/>
      <c r="AI41" s="4784"/>
      <c r="AJ41" s="4784"/>
      <c r="AK41" s="3048"/>
      <c r="AL41" s="3046"/>
      <c r="AM41" s="3051" t="s">
        <v>9022</v>
      </c>
      <c r="AN41" s="3051" t="s">
        <v>3183</v>
      </c>
    </row>
    <row r="42" spans="1:40" ht="12" customHeight="1" thickBot="1" x14ac:dyDescent="0.25">
      <c r="A42" s="2380"/>
      <c r="B42" s="2724"/>
      <c r="C42" s="2664"/>
      <c r="D42" s="2664"/>
      <c r="E42" s="2664"/>
      <c r="F42" s="2664"/>
      <c r="G42" s="2664"/>
      <c r="H42" s="2664"/>
      <c r="I42" s="2664"/>
      <c r="J42" s="2664"/>
      <c r="K42" s="2386"/>
      <c r="L42" s="2386"/>
      <c r="M42" s="2386"/>
      <c r="N42" s="2386"/>
      <c r="O42" s="2386"/>
      <c r="P42" s="2386"/>
      <c r="Q42" s="2386"/>
      <c r="R42" s="2725"/>
      <c r="S42" s="2662"/>
      <c r="T42" s="2380"/>
      <c r="U42" s="2382"/>
      <c r="V42" s="4062" t="s">
        <v>2190</v>
      </c>
      <c r="W42" s="4817"/>
      <c r="X42" s="4818"/>
      <c r="Y42" s="4823"/>
      <c r="Z42" s="4824"/>
      <c r="AA42" s="4825"/>
      <c r="AB42" s="4823"/>
      <c r="AC42" s="4824"/>
      <c r="AD42" s="4825"/>
      <c r="AE42" s="4823"/>
      <c r="AF42" s="4824"/>
      <c r="AG42" s="4825"/>
      <c r="AH42" s="4823"/>
      <c r="AI42" s="4824"/>
      <c r="AJ42" s="4839"/>
      <c r="AK42" s="3048"/>
      <c r="AL42" s="3046"/>
      <c r="AM42" s="3051" t="s">
        <v>9023</v>
      </c>
      <c r="AN42" s="3051" t="s">
        <v>3187</v>
      </c>
    </row>
    <row r="43" spans="1:40" ht="12" customHeight="1" x14ac:dyDescent="0.2">
      <c r="A43" s="2380"/>
      <c r="B43" s="2724"/>
      <c r="C43" s="4901" t="s">
        <v>9428</v>
      </c>
      <c r="D43" s="4976" t="s">
        <v>1628</v>
      </c>
      <c r="E43" s="4977"/>
      <c r="F43" s="4979"/>
      <c r="G43" s="4979"/>
      <c r="H43" s="4979"/>
      <c r="I43" s="4979"/>
      <c r="J43" s="4979"/>
      <c r="K43" s="4979"/>
      <c r="L43" s="4979"/>
      <c r="M43" s="4979"/>
      <c r="N43" s="4979"/>
      <c r="O43" s="4979"/>
      <c r="P43" s="4979"/>
      <c r="Q43" s="4980"/>
      <c r="R43" s="2725"/>
      <c r="S43" s="2662"/>
      <c r="T43" s="2380"/>
      <c r="U43" s="2382"/>
      <c r="V43" s="2150"/>
      <c r="W43" s="2150"/>
      <c r="X43" s="2150"/>
      <c r="Y43" s="2150"/>
      <c r="Z43" s="2150"/>
      <c r="AA43" s="2150"/>
      <c r="AB43" s="2150"/>
      <c r="AC43" s="2150"/>
      <c r="AD43" s="2385"/>
      <c r="AE43" s="2385"/>
      <c r="AF43" s="2385"/>
      <c r="AG43" s="2385"/>
      <c r="AH43" s="2385"/>
      <c r="AI43" s="2385"/>
      <c r="AJ43" s="2385"/>
      <c r="AK43" s="3048"/>
      <c r="AL43" s="3046"/>
      <c r="AN43" s="3051" t="s">
        <v>3189</v>
      </c>
    </row>
    <row r="44" spans="1:40" ht="12" customHeight="1" thickBot="1" x14ac:dyDescent="0.25">
      <c r="A44" s="2380"/>
      <c r="B44" s="2724"/>
      <c r="C44" s="4902"/>
      <c r="D44" s="3215" t="s">
        <v>9436</v>
      </c>
      <c r="E44" s="3215"/>
      <c r="F44" s="3215"/>
      <c r="G44" s="2656" t="s">
        <v>2159</v>
      </c>
      <c r="H44" s="2647" t="s">
        <v>1804</v>
      </c>
      <c r="I44" s="3211" t="s">
        <v>1866</v>
      </c>
      <c r="J44" s="3215"/>
      <c r="K44" s="3215"/>
      <c r="L44" s="3215"/>
      <c r="M44" s="3215"/>
      <c r="N44" s="3215"/>
      <c r="O44" s="3215"/>
      <c r="P44" s="3215"/>
      <c r="Q44" s="3212"/>
      <c r="R44" s="2725"/>
      <c r="S44" s="2662"/>
      <c r="T44" s="2380"/>
      <c r="U44" s="2382"/>
      <c r="AK44" s="3048"/>
      <c r="AL44" s="3046"/>
    </row>
    <row r="45" spans="1:40" ht="12" customHeight="1" x14ac:dyDescent="0.2">
      <c r="A45" s="2380"/>
      <c r="B45" s="2724"/>
      <c r="C45" s="4902"/>
      <c r="D45" s="4906"/>
      <c r="E45" s="4907"/>
      <c r="F45" s="4908"/>
      <c r="G45" s="2720"/>
      <c r="H45" s="2721"/>
      <c r="I45" s="4904"/>
      <c r="J45" s="4904"/>
      <c r="K45" s="4904"/>
      <c r="L45" s="4904"/>
      <c r="M45" s="4904"/>
      <c r="N45" s="4904"/>
      <c r="O45" s="4904"/>
      <c r="P45" s="4904"/>
      <c r="Q45" s="4905"/>
      <c r="R45" s="2725"/>
      <c r="S45" s="2662"/>
      <c r="T45" s="2380"/>
      <c r="U45" s="2382"/>
      <c r="V45" s="4807" t="s">
        <v>9224</v>
      </c>
      <c r="W45" s="4808"/>
      <c r="X45" s="4808"/>
      <c r="Y45" s="4808"/>
      <c r="Z45" s="4808"/>
      <c r="AA45" s="4808"/>
      <c r="AB45" s="4808"/>
      <c r="AC45" s="4808"/>
      <c r="AD45" s="4808"/>
      <c r="AE45" s="4808"/>
      <c r="AF45" s="4808"/>
      <c r="AG45" s="4808"/>
      <c r="AH45" s="4808"/>
      <c r="AI45" s="4808"/>
      <c r="AJ45" s="4809"/>
      <c r="AK45" s="3048"/>
      <c r="AL45" s="3046"/>
    </row>
    <row r="46" spans="1:40" ht="12" customHeight="1" thickBot="1" x14ac:dyDescent="0.25">
      <c r="A46" s="2380"/>
      <c r="B46" s="2724"/>
      <c r="C46" s="4902"/>
      <c r="D46" s="4906"/>
      <c r="E46" s="4907"/>
      <c r="F46" s="4908"/>
      <c r="G46" s="2720"/>
      <c r="H46" s="2721"/>
      <c r="I46" s="4830"/>
      <c r="J46" s="4830"/>
      <c r="K46" s="4830"/>
      <c r="L46" s="4830"/>
      <c r="M46" s="4830"/>
      <c r="N46" s="4830"/>
      <c r="O46" s="4830"/>
      <c r="P46" s="4830"/>
      <c r="Q46" s="4831"/>
      <c r="R46" s="2725"/>
      <c r="S46" s="2662"/>
      <c r="T46" s="2380"/>
      <c r="U46" s="2382"/>
      <c r="V46" s="3638"/>
      <c r="W46" s="3639"/>
      <c r="X46" s="3639"/>
      <c r="Y46" s="3639"/>
      <c r="Z46" s="3639"/>
      <c r="AA46" s="3639"/>
      <c r="AB46" s="3639"/>
      <c r="AC46" s="3639"/>
      <c r="AD46" s="3639"/>
      <c r="AE46" s="3639"/>
      <c r="AF46" s="3639"/>
      <c r="AG46" s="3639"/>
      <c r="AH46" s="3639"/>
      <c r="AI46" s="3639"/>
      <c r="AJ46" s="3640"/>
      <c r="AK46" s="3048"/>
      <c r="AL46" s="3046"/>
    </row>
    <row r="47" spans="1:40" ht="12" customHeight="1" thickBot="1" x14ac:dyDescent="0.25">
      <c r="A47" s="2380"/>
      <c r="B47" s="2724"/>
      <c r="C47" s="4902"/>
      <c r="D47" s="4906"/>
      <c r="E47" s="4907"/>
      <c r="F47" s="4908"/>
      <c r="G47" s="2720"/>
      <c r="H47" s="2721"/>
      <c r="I47" s="4830"/>
      <c r="J47" s="4830"/>
      <c r="K47" s="4830"/>
      <c r="L47" s="4830"/>
      <c r="M47" s="4830"/>
      <c r="N47" s="4830"/>
      <c r="O47" s="4830"/>
      <c r="P47" s="4830"/>
      <c r="Q47" s="4831"/>
      <c r="R47" s="2725"/>
      <c r="S47" s="2662"/>
      <c r="T47" s="2380"/>
      <c r="U47" s="2382"/>
      <c r="AK47" s="3048"/>
      <c r="AL47" s="3046"/>
    </row>
    <row r="48" spans="1:40" ht="12" customHeight="1" thickBot="1" x14ac:dyDescent="0.25">
      <c r="A48" s="2380"/>
      <c r="B48" s="2724"/>
      <c r="C48" s="4902"/>
      <c r="D48" s="4906"/>
      <c r="E48" s="4907"/>
      <c r="F48" s="4908"/>
      <c r="G48" s="2720"/>
      <c r="H48" s="2721"/>
      <c r="I48" s="4830"/>
      <c r="J48" s="4830"/>
      <c r="K48" s="4830"/>
      <c r="L48" s="4830"/>
      <c r="M48" s="4830"/>
      <c r="N48" s="4830"/>
      <c r="O48" s="4830"/>
      <c r="P48" s="4830"/>
      <c r="Q48" s="4831"/>
      <c r="R48" s="2725"/>
      <c r="S48" s="2662"/>
      <c r="T48" s="2380"/>
      <c r="U48" s="2382"/>
      <c r="V48" s="3169" t="s">
        <v>2170</v>
      </c>
      <c r="W48" s="3169"/>
      <c r="X48" s="3169"/>
      <c r="Y48" s="3169"/>
      <c r="Z48" s="3169"/>
      <c r="AA48" s="3169"/>
      <c r="AB48" s="3169"/>
      <c r="AC48" s="3169"/>
      <c r="AE48" s="3169" t="s">
        <v>2171</v>
      </c>
      <c r="AF48" s="3169"/>
      <c r="AG48" s="3169"/>
      <c r="AH48" s="3169"/>
      <c r="AI48" s="3169"/>
      <c r="AJ48" s="3169"/>
      <c r="AK48" s="3048"/>
      <c r="AL48" s="3046"/>
    </row>
    <row r="49" spans="1:48" ht="12" customHeight="1" x14ac:dyDescent="0.2">
      <c r="A49" s="2380"/>
      <c r="B49" s="2724"/>
      <c r="C49" s="4902"/>
      <c r="D49" s="4906"/>
      <c r="E49" s="4907"/>
      <c r="F49" s="4908"/>
      <c r="G49" s="2720"/>
      <c r="H49" s="2721"/>
      <c r="I49" s="4830"/>
      <c r="J49" s="4830"/>
      <c r="K49" s="4830"/>
      <c r="L49" s="4830"/>
      <c r="M49" s="4830"/>
      <c r="N49" s="4830"/>
      <c r="O49" s="4830"/>
      <c r="P49" s="4830"/>
      <c r="Q49" s="4831"/>
      <c r="R49" s="2725"/>
      <c r="S49" s="2662"/>
      <c r="T49" s="2380"/>
      <c r="U49" s="2382"/>
      <c r="V49" s="4109" t="s">
        <v>1754</v>
      </c>
      <c r="W49" s="4109"/>
      <c r="X49" s="4109"/>
      <c r="Y49" s="4109"/>
      <c r="Z49" s="4109"/>
      <c r="AA49" s="4109"/>
      <c r="AB49" s="20" t="s">
        <v>2048</v>
      </c>
      <c r="AC49" s="25" t="s">
        <v>1824</v>
      </c>
      <c r="AE49" s="393" t="s">
        <v>1967</v>
      </c>
      <c r="AF49" s="3431" t="s">
        <v>2023</v>
      </c>
      <c r="AG49" s="3431"/>
      <c r="AH49" s="3431"/>
      <c r="AI49" s="3431"/>
      <c r="AJ49" s="1" t="s">
        <v>1715</v>
      </c>
      <c r="AK49" s="3048"/>
      <c r="AL49" s="3046"/>
    </row>
    <row r="50" spans="1:48" ht="12" customHeight="1" x14ac:dyDescent="0.2">
      <c r="A50" s="2380"/>
      <c r="B50" s="2724"/>
      <c r="C50" s="4902"/>
      <c r="D50" s="4906"/>
      <c r="E50" s="4907"/>
      <c r="F50" s="4908"/>
      <c r="G50" s="2720"/>
      <c r="H50" s="2721"/>
      <c r="I50" s="4830"/>
      <c r="J50" s="4830"/>
      <c r="K50" s="4830"/>
      <c r="L50" s="4830"/>
      <c r="M50" s="4830"/>
      <c r="N50" s="4830"/>
      <c r="O50" s="4830"/>
      <c r="P50" s="4830"/>
      <c r="Q50" s="4831"/>
      <c r="R50" s="2725"/>
      <c r="S50" s="2662"/>
      <c r="T50" s="2380"/>
      <c r="U50" s="2382"/>
      <c r="V50" s="4052"/>
      <c r="W50" s="4052"/>
      <c r="X50" s="4052"/>
      <c r="Y50" s="4052"/>
      <c r="Z50" s="4052"/>
      <c r="AA50" s="4052"/>
      <c r="AB50" s="144"/>
      <c r="AC50" s="27"/>
      <c r="AE50" s="394">
        <f>IF(Metamagia!X15=1,30,0)</f>
        <v>0</v>
      </c>
      <c r="AF50" s="4835"/>
      <c r="AG50" s="4835"/>
      <c r="AH50" s="4835"/>
      <c r="AI50" s="4835"/>
      <c r="AJ50" s="74" t="str">
        <f>IF(AF50=0,"",VLOOKUP(AF50,Tablas!$E$1129:$G$1803,2,FALSE))</f>
        <v/>
      </c>
      <c r="AK50" s="3048"/>
      <c r="AL50" s="3046"/>
    </row>
    <row r="51" spans="1:48" ht="12" customHeight="1" x14ac:dyDescent="0.2">
      <c r="A51" s="2380"/>
      <c r="B51" s="2724"/>
      <c r="C51" s="4902"/>
      <c r="D51" s="4906"/>
      <c r="E51" s="4907"/>
      <c r="F51" s="4908"/>
      <c r="G51" s="2720"/>
      <c r="H51" s="2721"/>
      <c r="I51" s="4830"/>
      <c r="J51" s="4830"/>
      <c r="K51" s="4830"/>
      <c r="L51" s="4830"/>
      <c r="M51" s="4830"/>
      <c r="N51" s="4830"/>
      <c r="O51" s="4830"/>
      <c r="P51" s="4830"/>
      <c r="Q51" s="4831"/>
      <c r="R51" s="2725"/>
      <c r="S51" s="2662"/>
      <c r="T51" s="2380"/>
      <c r="U51" s="2382"/>
      <c r="V51" s="4723"/>
      <c r="W51" s="4723"/>
      <c r="X51" s="4723"/>
      <c r="Y51" s="4723"/>
      <c r="Z51" s="4723"/>
      <c r="AA51" s="4723"/>
      <c r="AB51" s="395"/>
      <c r="AC51" s="396"/>
      <c r="AE51" s="397">
        <f>IF(Metamagia!AD15=1,30,0)</f>
        <v>0</v>
      </c>
      <c r="AF51" s="4826"/>
      <c r="AG51" s="4826"/>
      <c r="AH51" s="4826"/>
      <c r="AI51" s="4826"/>
      <c r="AJ51" s="177" t="str">
        <f>IF(AF51=0,"",VLOOKUP(AF51,Tablas!$E$1129:$G$1803,2,FALSE))</f>
        <v/>
      </c>
      <c r="AK51" s="3048"/>
      <c r="AL51" s="3046"/>
    </row>
    <row r="52" spans="1:48" ht="12" customHeight="1" x14ac:dyDescent="0.2">
      <c r="A52" s="2380"/>
      <c r="B52" s="2724"/>
      <c r="C52" s="4902"/>
      <c r="D52" s="4906"/>
      <c r="E52" s="4907"/>
      <c r="F52" s="4908"/>
      <c r="G52" s="2720"/>
      <c r="H52" s="2721"/>
      <c r="I52" s="4830"/>
      <c r="J52" s="4830"/>
      <c r="K52" s="4830"/>
      <c r="L52" s="4830"/>
      <c r="M52" s="4830"/>
      <c r="N52" s="4830"/>
      <c r="O52" s="4830"/>
      <c r="P52" s="4830"/>
      <c r="Q52" s="4831"/>
      <c r="R52" s="2725"/>
      <c r="S52" s="2662"/>
      <c r="T52" s="2380"/>
      <c r="U52" s="2382"/>
      <c r="V52" s="4056"/>
      <c r="W52" s="4056"/>
      <c r="X52" s="4056"/>
      <c r="Y52" s="4056"/>
      <c r="Z52" s="4056"/>
      <c r="AA52" s="4056"/>
      <c r="AB52" s="144"/>
      <c r="AC52" s="27"/>
      <c r="AE52" s="398">
        <f>IF(Metamagia!R29=1,50,0)</f>
        <v>0</v>
      </c>
      <c r="AF52" s="4834"/>
      <c r="AG52" s="4834"/>
      <c r="AH52" s="4834"/>
      <c r="AI52" s="4834"/>
      <c r="AJ52" s="74" t="str">
        <f>IF(AF52=0,"",VLOOKUP(AF52,Tablas!$E$1129:$G$1803,2,FALSE))</f>
        <v/>
      </c>
      <c r="AK52" s="3048"/>
      <c r="AL52" s="3046"/>
    </row>
    <row r="53" spans="1:48" ht="12" customHeight="1" x14ac:dyDescent="0.2">
      <c r="A53" s="2380"/>
      <c r="B53" s="2724"/>
      <c r="C53" s="4902"/>
      <c r="D53" s="4906"/>
      <c r="E53" s="4907"/>
      <c r="F53" s="4908"/>
      <c r="G53" s="2720"/>
      <c r="H53" s="2721"/>
      <c r="I53" s="4830"/>
      <c r="J53" s="4830"/>
      <c r="K53" s="4830"/>
      <c r="L53" s="4830"/>
      <c r="M53" s="4830"/>
      <c r="N53" s="4830"/>
      <c r="O53" s="4830"/>
      <c r="P53" s="4830"/>
      <c r="Q53" s="4831"/>
      <c r="R53" s="2725"/>
      <c r="S53" s="2662"/>
      <c r="T53" s="2380"/>
      <c r="U53" s="2382"/>
      <c r="V53" s="4723"/>
      <c r="W53" s="4723"/>
      <c r="X53" s="4723"/>
      <c r="Y53" s="4723"/>
      <c r="Z53" s="4723"/>
      <c r="AA53" s="4723"/>
      <c r="AB53" s="395"/>
      <c r="AC53" s="396"/>
      <c r="AE53" s="397">
        <f>IF(Metamagia!AG24=1,60,0)</f>
        <v>0</v>
      </c>
      <c r="AF53" s="4826"/>
      <c r="AG53" s="4826"/>
      <c r="AH53" s="4826"/>
      <c r="AI53" s="4826"/>
      <c r="AJ53" s="177" t="str">
        <f>IF(AF53=0,"",VLOOKUP(AF53,Tablas!$E$1129:$G$1803,2,FALSE))</f>
        <v/>
      </c>
      <c r="AK53" s="3048"/>
      <c r="AL53" s="3046"/>
      <c r="AR53" s="2385"/>
      <c r="AS53" s="291"/>
      <c r="AT53" s="291"/>
      <c r="AU53" s="291"/>
      <c r="AV53" s="291"/>
    </row>
    <row r="54" spans="1:48" ht="12" customHeight="1" thickBot="1" x14ac:dyDescent="0.25">
      <c r="A54" s="2380"/>
      <c r="B54" s="2724"/>
      <c r="C54" s="4903"/>
      <c r="D54" s="4978"/>
      <c r="E54" s="4907"/>
      <c r="F54" s="4908"/>
      <c r="G54" s="2720"/>
      <c r="H54" s="2721"/>
      <c r="I54" s="4830"/>
      <c r="J54" s="4830"/>
      <c r="K54" s="4830"/>
      <c r="L54" s="4830"/>
      <c r="M54" s="4830"/>
      <c r="N54" s="4830"/>
      <c r="O54" s="4830"/>
      <c r="P54" s="4969"/>
      <c r="Q54" s="4970"/>
      <c r="R54" s="2725"/>
      <c r="S54" s="2662"/>
      <c r="T54" s="2380"/>
      <c r="U54" s="2382"/>
      <c r="V54" s="4056"/>
      <c r="W54" s="4056"/>
      <c r="X54" s="4056"/>
      <c r="Y54" s="4056"/>
      <c r="Z54" s="4056"/>
      <c r="AA54" s="4056"/>
      <c r="AB54" s="144"/>
      <c r="AC54" s="27"/>
      <c r="AE54" s="398">
        <f>IF(Metamagia!X24=1,60,0)</f>
        <v>0</v>
      </c>
      <c r="AF54" s="4834"/>
      <c r="AG54" s="4834"/>
      <c r="AH54" s="4834"/>
      <c r="AI54" s="4834"/>
      <c r="AJ54" s="74" t="str">
        <f>IF(AF54=0,"",VLOOKUP(AF54,Tablas!$E$1129:$G$1803,2,FALSE))</f>
        <v/>
      </c>
      <c r="AK54" s="3048"/>
      <c r="AL54" s="3046"/>
      <c r="AR54" s="2385"/>
      <c r="AS54" s="291"/>
      <c r="AT54" s="291"/>
      <c r="AU54" s="291"/>
      <c r="AV54" s="291"/>
    </row>
    <row r="55" spans="1:48" ht="12" customHeight="1" x14ac:dyDescent="0.2">
      <c r="A55" s="2380"/>
      <c r="B55" s="2724"/>
      <c r="C55" s="2664"/>
      <c r="D55" s="2664"/>
      <c r="E55" s="4971" t="s">
        <v>8565</v>
      </c>
      <c r="F55" s="4972"/>
      <c r="G55" s="4972"/>
      <c r="H55" s="4972"/>
      <c r="I55" s="4972"/>
      <c r="J55" s="4972"/>
      <c r="K55" s="4973"/>
      <c r="L55" s="4974" t="s">
        <v>8567</v>
      </c>
      <c r="M55" s="4974"/>
      <c r="N55" s="4974"/>
      <c r="O55" s="4975"/>
      <c r="P55" s="2377"/>
      <c r="Q55" s="2377"/>
      <c r="R55" s="2725"/>
      <c r="S55" s="2662"/>
      <c r="T55" s="2380"/>
      <c r="U55" s="2382"/>
      <c r="V55" s="4723"/>
      <c r="W55" s="4723"/>
      <c r="X55" s="4723"/>
      <c r="Y55" s="4723"/>
      <c r="Z55" s="4723"/>
      <c r="AA55" s="4723"/>
      <c r="AB55" s="395"/>
      <c r="AC55" s="396"/>
      <c r="AE55" s="397">
        <f>IF(Metamagia!AG39=1,70,0)</f>
        <v>0</v>
      </c>
      <c r="AF55" s="4826"/>
      <c r="AG55" s="4826"/>
      <c r="AH55" s="4826"/>
      <c r="AI55" s="4826"/>
      <c r="AJ55" s="177" t="str">
        <f>IF(AF55=0,"",VLOOKUP(AF55,Tablas!$E$1129:$G$1803,2,FALSE))</f>
        <v/>
      </c>
      <c r="AK55" s="3048"/>
      <c r="AL55" s="3046"/>
      <c r="AR55" s="2385"/>
      <c r="AS55" s="291"/>
      <c r="AT55" s="291"/>
      <c r="AU55" s="291"/>
      <c r="AV55" s="291"/>
    </row>
    <row r="56" spans="1:48" ht="12" customHeight="1" thickBot="1" x14ac:dyDescent="0.25">
      <c r="A56" s="2380"/>
      <c r="B56" s="2724"/>
      <c r="C56" s="2664"/>
      <c r="D56" s="2664"/>
      <c r="E56" s="4984"/>
      <c r="F56" s="4985"/>
      <c r="G56" s="4985"/>
      <c r="H56" s="4985"/>
      <c r="I56" s="4985"/>
      <c r="J56" s="4986"/>
      <c r="K56" s="3043"/>
      <c r="L56" s="4982"/>
      <c r="M56" s="4982"/>
      <c r="N56" s="4982"/>
      <c r="O56" s="4909"/>
      <c r="P56" s="2377"/>
      <c r="Q56" s="2377"/>
      <c r="R56" s="2725"/>
      <c r="S56" s="2662"/>
      <c r="T56" s="2380"/>
      <c r="U56" s="2382"/>
      <c r="V56" s="4819"/>
      <c r="W56" s="4819"/>
      <c r="X56" s="4819"/>
      <c r="Y56" s="4819"/>
      <c r="Z56" s="4819"/>
      <c r="AA56" s="4819"/>
      <c r="AB56" s="189"/>
      <c r="AC56" s="28"/>
      <c r="AE56" s="401">
        <f>IF(Metamagia!AA29=1,80,0)</f>
        <v>0</v>
      </c>
      <c r="AF56" s="4833"/>
      <c r="AG56" s="4833"/>
      <c r="AH56" s="4833"/>
      <c r="AI56" s="4833"/>
      <c r="AJ56" s="90" t="str">
        <f>IF(AF56=0,"",VLOOKUP(AF56,Tablas!$E$1129:$G$1803,2,FALSE))</f>
        <v/>
      </c>
      <c r="AK56" s="3048"/>
      <c r="AL56" s="3046"/>
      <c r="AR56" s="2385"/>
      <c r="AS56" s="291"/>
      <c r="AT56" s="291"/>
      <c r="AU56" s="291"/>
      <c r="AV56" s="291"/>
    </row>
    <row r="57" spans="1:48" ht="12" customHeight="1" thickBot="1" x14ac:dyDescent="0.25">
      <c r="A57" s="2380"/>
      <c r="B57" s="2724"/>
      <c r="C57" s="2664"/>
      <c r="D57" s="2664"/>
      <c r="E57" s="4987"/>
      <c r="F57" s="4988"/>
      <c r="G57" s="4988"/>
      <c r="H57" s="4988"/>
      <c r="I57" s="4988"/>
      <c r="J57" s="4989"/>
      <c r="K57" s="3044"/>
      <c r="L57" s="4982"/>
      <c r="M57" s="4982"/>
      <c r="N57" s="4982"/>
      <c r="O57" s="4909"/>
      <c r="P57" s="2377"/>
      <c r="Q57" s="2377"/>
      <c r="R57" s="2725"/>
      <c r="S57" s="2662"/>
      <c r="T57" s="2380"/>
      <c r="U57" s="2382"/>
      <c r="AK57" s="3048"/>
      <c r="AL57" s="3046"/>
      <c r="AR57" s="2385"/>
      <c r="AS57" s="291"/>
      <c r="AT57" s="291"/>
      <c r="AU57" s="291"/>
      <c r="AV57" s="291"/>
    </row>
    <row r="58" spans="1:48" ht="12" customHeight="1" x14ac:dyDescent="0.2">
      <c r="A58" s="2380"/>
      <c r="B58" s="2724"/>
      <c r="C58" s="2664"/>
      <c r="D58" s="2664"/>
      <c r="E58" s="4987"/>
      <c r="F58" s="4988"/>
      <c r="G58" s="4988"/>
      <c r="H58" s="4988"/>
      <c r="I58" s="4988"/>
      <c r="J58" s="4989"/>
      <c r="K58" s="3044"/>
      <c r="L58" s="4982"/>
      <c r="M58" s="4982"/>
      <c r="N58" s="4982"/>
      <c r="O58" s="4909"/>
      <c r="P58" s="2377"/>
      <c r="Q58" s="2377"/>
      <c r="R58" s="2725"/>
      <c r="S58" s="2662"/>
      <c r="T58" s="2380"/>
      <c r="U58" s="2382"/>
      <c r="V58" s="4836" t="s">
        <v>2179</v>
      </c>
      <c r="W58" s="3633" t="s">
        <v>2180</v>
      </c>
      <c r="X58" s="3633"/>
      <c r="Y58" s="3633"/>
      <c r="Z58" s="3633"/>
      <c r="AA58" s="3633"/>
      <c r="AB58" s="97" t="s">
        <v>1804</v>
      </c>
      <c r="AC58" s="262" t="s">
        <v>2181</v>
      </c>
      <c r="AD58" s="4187" t="s">
        <v>1866</v>
      </c>
      <c r="AE58" s="4187"/>
      <c r="AF58" s="4187"/>
      <c r="AG58" s="4187"/>
      <c r="AH58" s="4187"/>
      <c r="AI58" s="4187"/>
      <c r="AJ58" s="4187"/>
      <c r="AK58" s="3048"/>
      <c r="AL58" s="3046"/>
    </row>
    <row r="59" spans="1:48" ht="12" customHeight="1" x14ac:dyDescent="0.2">
      <c r="A59" s="2380"/>
      <c r="B59" s="2724"/>
      <c r="C59" s="2377"/>
      <c r="D59" s="2664"/>
      <c r="E59" s="4987"/>
      <c r="F59" s="4988"/>
      <c r="G59" s="4988"/>
      <c r="H59" s="4988"/>
      <c r="I59" s="4988"/>
      <c r="J59" s="4989"/>
      <c r="K59" s="3044"/>
      <c r="L59" s="4982"/>
      <c r="M59" s="4982"/>
      <c r="N59" s="4982"/>
      <c r="O59" s="4909"/>
      <c r="P59" s="2377"/>
      <c r="Q59" s="2377"/>
      <c r="R59" s="2725"/>
      <c r="S59" s="2662"/>
      <c r="T59" s="2380"/>
      <c r="U59" s="2382"/>
      <c r="V59" s="4837"/>
      <c r="W59" s="4828"/>
      <c r="X59" s="4828"/>
      <c r="Y59" s="4828"/>
      <c r="Z59" s="4828"/>
      <c r="AA59" s="4828"/>
      <c r="AB59" s="404"/>
      <c r="AC59" s="404"/>
      <c r="AD59" s="4829"/>
      <c r="AE59" s="4829"/>
      <c r="AF59" s="4829"/>
      <c r="AG59" s="4829"/>
      <c r="AH59" s="4829"/>
      <c r="AI59" s="4829"/>
      <c r="AJ59" s="4829"/>
      <c r="AK59" s="3048"/>
      <c r="AL59" s="3046"/>
    </row>
    <row r="60" spans="1:48" ht="12" customHeight="1" x14ac:dyDescent="0.2">
      <c r="A60" s="2380"/>
      <c r="B60" s="2724"/>
      <c r="C60" s="2377"/>
      <c r="D60" s="2664"/>
      <c r="E60" s="4987"/>
      <c r="F60" s="4988"/>
      <c r="G60" s="4988"/>
      <c r="H60" s="4988"/>
      <c r="I60" s="4988"/>
      <c r="J60" s="4989"/>
      <c r="K60" s="3044"/>
      <c r="L60" s="4982"/>
      <c r="M60" s="4982"/>
      <c r="N60" s="4982"/>
      <c r="O60" s="4909"/>
      <c r="P60" s="2377"/>
      <c r="Q60" s="2377"/>
      <c r="R60" s="2725"/>
      <c r="S60" s="2662"/>
      <c r="T60" s="2380"/>
      <c r="U60" s="2382"/>
      <c r="V60" s="4837"/>
      <c r="W60" s="4820" t="s">
        <v>2184</v>
      </c>
      <c r="X60" s="4820"/>
      <c r="Y60" s="4821"/>
      <c r="Z60" s="4821"/>
      <c r="AA60" s="4821"/>
      <c r="AB60" s="4821"/>
      <c r="AC60" s="4821"/>
      <c r="AD60" s="4821"/>
      <c r="AE60" s="4821"/>
      <c r="AF60" s="4821"/>
      <c r="AG60" s="4821"/>
      <c r="AH60" s="4821"/>
      <c r="AI60" s="4821"/>
      <c r="AJ60" s="4821"/>
      <c r="AK60" s="3048"/>
      <c r="AL60" s="3046"/>
    </row>
    <row r="61" spans="1:48" ht="12" customHeight="1" thickBot="1" x14ac:dyDescent="0.25">
      <c r="A61" s="2380"/>
      <c r="B61" s="2724"/>
      <c r="C61" s="2377"/>
      <c r="D61" s="2664"/>
      <c r="E61" s="4987"/>
      <c r="F61" s="4988"/>
      <c r="G61" s="4988"/>
      <c r="H61" s="4988"/>
      <c r="I61" s="4988"/>
      <c r="J61" s="4989"/>
      <c r="K61" s="3044"/>
      <c r="L61" s="4982"/>
      <c r="M61" s="4982"/>
      <c r="N61" s="4982"/>
      <c r="O61" s="4909"/>
      <c r="P61" s="2377"/>
      <c r="Q61" s="2377"/>
      <c r="R61" s="2725"/>
      <c r="S61" s="2662"/>
      <c r="T61" s="2380"/>
      <c r="U61" s="2382"/>
      <c r="V61" s="4837"/>
      <c r="W61" s="4168" t="s">
        <v>2185</v>
      </c>
      <c r="X61" s="4168"/>
      <c r="Y61" s="4822"/>
      <c r="Z61" s="4822"/>
      <c r="AA61" s="4822"/>
      <c r="AB61" s="4822"/>
      <c r="AC61" s="4822"/>
      <c r="AD61" s="4822"/>
      <c r="AE61" s="4822"/>
      <c r="AF61" s="4822"/>
      <c r="AG61" s="4822"/>
      <c r="AH61" s="4822"/>
      <c r="AI61" s="4822"/>
      <c r="AJ61" s="4822"/>
      <c r="AK61" s="3048"/>
      <c r="AL61" s="3046"/>
    </row>
    <row r="62" spans="1:48" ht="12" customHeight="1" x14ac:dyDescent="0.2">
      <c r="A62" s="2380"/>
      <c r="B62" s="2724"/>
      <c r="C62" s="2664"/>
      <c r="D62" s="2664"/>
      <c r="E62" s="4987"/>
      <c r="F62" s="4988"/>
      <c r="G62" s="4988"/>
      <c r="H62" s="4988"/>
      <c r="I62" s="4988"/>
      <c r="J62" s="4989"/>
      <c r="K62" s="3044"/>
      <c r="L62" s="4982"/>
      <c r="M62" s="4982"/>
      <c r="N62" s="4982"/>
      <c r="O62" s="4909"/>
      <c r="P62" s="2377"/>
      <c r="Q62" s="2377"/>
      <c r="R62" s="2725"/>
      <c r="S62" s="2662"/>
      <c r="T62" s="2380"/>
      <c r="U62" s="2382"/>
      <c r="V62" s="4837"/>
      <c r="W62" s="3633" t="s">
        <v>2180</v>
      </c>
      <c r="X62" s="3633"/>
      <c r="Y62" s="3633"/>
      <c r="Z62" s="3633"/>
      <c r="AA62" s="3633"/>
      <c r="AB62" s="97" t="s">
        <v>1804</v>
      </c>
      <c r="AC62" s="262" t="s">
        <v>2181</v>
      </c>
      <c r="AD62" s="4187" t="s">
        <v>1866</v>
      </c>
      <c r="AE62" s="4187"/>
      <c r="AF62" s="4187"/>
      <c r="AG62" s="4187"/>
      <c r="AH62" s="4187"/>
      <c r="AI62" s="4187"/>
      <c r="AJ62" s="4187"/>
      <c r="AK62" s="3048"/>
      <c r="AL62" s="3046"/>
    </row>
    <row r="63" spans="1:48" ht="12" customHeight="1" x14ac:dyDescent="0.2">
      <c r="A63" s="2380"/>
      <c r="B63" s="2724"/>
      <c r="C63" s="2664"/>
      <c r="D63" s="2664"/>
      <c r="E63" s="4993" t="s">
        <v>8566</v>
      </c>
      <c r="F63" s="4994"/>
      <c r="G63" s="4994"/>
      <c r="H63" s="4994"/>
      <c r="I63" s="4994"/>
      <c r="J63" s="4994"/>
      <c r="K63" s="4994"/>
      <c r="L63" s="4982"/>
      <c r="M63" s="4982"/>
      <c r="N63" s="4982"/>
      <c r="O63" s="4909"/>
      <c r="P63" s="2377"/>
      <c r="Q63" s="2377"/>
      <c r="R63" s="2725"/>
      <c r="S63" s="2662"/>
      <c r="T63" s="2380"/>
      <c r="U63" s="2382"/>
      <c r="V63" s="4837"/>
      <c r="W63" s="4828"/>
      <c r="X63" s="4828"/>
      <c r="Y63" s="4828"/>
      <c r="Z63" s="4828"/>
      <c r="AA63" s="4828"/>
      <c r="AB63" s="404"/>
      <c r="AC63" s="404"/>
      <c r="AD63" s="4829"/>
      <c r="AE63" s="4829"/>
      <c r="AF63" s="4829"/>
      <c r="AG63" s="4829"/>
      <c r="AH63" s="4829"/>
      <c r="AI63" s="4829"/>
      <c r="AJ63" s="4829"/>
      <c r="AK63" s="3048"/>
      <c r="AL63" s="3046"/>
    </row>
    <row r="64" spans="1:48" ht="12" customHeight="1" x14ac:dyDescent="0.2">
      <c r="A64" s="2380"/>
      <c r="B64" s="2724"/>
      <c r="C64" s="2664"/>
      <c r="D64" s="2664"/>
      <c r="E64" s="4984"/>
      <c r="F64" s="4985"/>
      <c r="G64" s="4985"/>
      <c r="H64" s="4985"/>
      <c r="I64" s="4985"/>
      <c r="J64" s="4986"/>
      <c r="K64" s="3043"/>
      <c r="L64" s="4982"/>
      <c r="M64" s="4982"/>
      <c r="N64" s="4982"/>
      <c r="O64" s="4909"/>
      <c r="P64" s="2377"/>
      <c r="Q64" s="2377"/>
      <c r="R64" s="2725"/>
      <c r="S64" s="2662"/>
      <c r="T64" s="2380"/>
      <c r="U64" s="2382"/>
      <c r="V64" s="4837"/>
      <c r="W64" s="4820" t="s">
        <v>2184</v>
      </c>
      <c r="X64" s="4820"/>
      <c r="Y64" s="4821"/>
      <c r="Z64" s="4821"/>
      <c r="AA64" s="4821"/>
      <c r="AB64" s="4821"/>
      <c r="AC64" s="4821"/>
      <c r="AD64" s="4821"/>
      <c r="AE64" s="4821"/>
      <c r="AF64" s="4821"/>
      <c r="AG64" s="4821"/>
      <c r="AH64" s="4821"/>
      <c r="AI64" s="4821"/>
      <c r="AJ64" s="4821"/>
      <c r="AK64" s="3048"/>
      <c r="AL64" s="3046"/>
    </row>
    <row r="65" spans="1:38" ht="12" customHeight="1" thickBot="1" x14ac:dyDescent="0.25">
      <c r="A65" s="2380"/>
      <c r="B65" s="2724"/>
      <c r="C65" s="2664"/>
      <c r="D65" s="2664"/>
      <c r="E65" s="4987"/>
      <c r="F65" s="4988"/>
      <c r="G65" s="4988"/>
      <c r="H65" s="4988"/>
      <c r="I65" s="4988"/>
      <c r="J65" s="4989"/>
      <c r="K65" s="3044"/>
      <c r="L65" s="4982"/>
      <c r="M65" s="4982"/>
      <c r="N65" s="4982"/>
      <c r="O65" s="4909"/>
      <c r="P65" s="2377"/>
      <c r="Q65" s="2377"/>
      <c r="R65" s="2725"/>
      <c r="S65" s="2662"/>
      <c r="T65" s="2380"/>
      <c r="U65" s="2382"/>
      <c r="V65" s="4838"/>
      <c r="W65" s="4168" t="s">
        <v>2185</v>
      </c>
      <c r="X65" s="4168"/>
      <c r="Y65" s="4822"/>
      <c r="Z65" s="4822"/>
      <c r="AA65" s="4822"/>
      <c r="AB65" s="4822"/>
      <c r="AC65" s="4822"/>
      <c r="AD65" s="4822"/>
      <c r="AE65" s="4822"/>
      <c r="AF65" s="4822"/>
      <c r="AG65" s="4822"/>
      <c r="AH65" s="4822"/>
      <c r="AI65" s="4822"/>
      <c r="AJ65" s="4822"/>
      <c r="AK65" s="3048"/>
      <c r="AL65" s="3046"/>
    </row>
    <row r="66" spans="1:38" ht="12" customHeight="1" x14ac:dyDescent="0.2">
      <c r="A66" s="2380"/>
      <c r="B66" s="2724"/>
      <c r="C66" s="2664"/>
      <c r="D66" s="2664"/>
      <c r="E66" s="4987"/>
      <c r="F66" s="4988"/>
      <c r="G66" s="4988"/>
      <c r="H66" s="4988"/>
      <c r="I66" s="4988"/>
      <c r="J66" s="4989"/>
      <c r="K66" s="3044"/>
      <c r="L66" s="4982"/>
      <c r="M66" s="4982"/>
      <c r="N66" s="4982"/>
      <c r="O66" s="4909"/>
      <c r="P66" s="2377"/>
      <c r="Q66" s="2377"/>
      <c r="R66" s="2725"/>
      <c r="S66" s="2662"/>
      <c r="T66" s="2380"/>
      <c r="U66" s="2382"/>
      <c r="AK66" s="3048"/>
      <c r="AL66" s="3046"/>
    </row>
    <row r="67" spans="1:38" ht="12" customHeight="1" x14ac:dyDescent="0.2">
      <c r="A67" s="2380"/>
      <c r="B67" s="2724"/>
      <c r="C67" s="2664"/>
      <c r="D67" s="2664"/>
      <c r="E67" s="4987"/>
      <c r="F67" s="4988"/>
      <c r="G67" s="4988"/>
      <c r="H67" s="4988"/>
      <c r="I67" s="4988"/>
      <c r="J67" s="4989"/>
      <c r="K67" s="3044"/>
      <c r="L67" s="4982"/>
      <c r="M67" s="4982"/>
      <c r="N67" s="4982"/>
      <c r="O67" s="4909"/>
      <c r="P67" s="2377"/>
      <c r="Q67" s="2377"/>
      <c r="R67" s="2725"/>
      <c r="S67" s="2662"/>
      <c r="T67" s="2380"/>
      <c r="U67" s="2382"/>
      <c r="AK67" s="3048"/>
      <c r="AL67" s="3046"/>
    </row>
    <row r="68" spans="1:38" ht="12" customHeight="1" x14ac:dyDescent="0.2">
      <c r="A68" s="2380"/>
      <c r="B68" s="2724"/>
      <c r="C68" s="2664"/>
      <c r="D68" s="2664"/>
      <c r="E68" s="4987"/>
      <c r="F68" s="4988"/>
      <c r="G68" s="4988"/>
      <c r="H68" s="4988"/>
      <c r="I68" s="4988"/>
      <c r="J68" s="4989"/>
      <c r="K68" s="3044"/>
      <c r="L68" s="4982"/>
      <c r="M68" s="4982"/>
      <c r="N68" s="4982"/>
      <c r="O68" s="4909"/>
      <c r="P68" s="2377"/>
      <c r="Q68" s="2377"/>
      <c r="R68" s="2725"/>
      <c r="S68" s="2662"/>
      <c r="T68" s="2380"/>
      <c r="U68" s="2382"/>
      <c r="AK68" s="3048"/>
      <c r="AL68" s="3046"/>
    </row>
    <row r="69" spans="1:38" ht="12" customHeight="1" x14ac:dyDescent="0.2">
      <c r="A69" s="2380"/>
      <c r="B69" s="2724"/>
      <c r="C69" s="2664"/>
      <c r="D69" s="2664"/>
      <c r="E69" s="4987"/>
      <c r="F69" s="4988"/>
      <c r="G69" s="4988"/>
      <c r="H69" s="4988"/>
      <c r="I69" s="4988"/>
      <c r="J69" s="4989"/>
      <c r="K69" s="3044"/>
      <c r="L69" s="4982"/>
      <c r="M69" s="4982"/>
      <c r="N69" s="4982"/>
      <c r="O69" s="4909"/>
      <c r="P69" s="2377"/>
      <c r="Q69" s="2377"/>
      <c r="R69" s="2725"/>
      <c r="S69" s="2662"/>
      <c r="T69" s="2380"/>
      <c r="U69" s="2382"/>
      <c r="AK69" s="3048"/>
      <c r="AL69" s="3046"/>
    </row>
    <row r="70" spans="1:38" ht="12" customHeight="1" thickBot="1" x14ac:dyDescent="0.25">
      <c r="A70" s="2380"/>
      <c r="B70" s="2724"/>
      <c r="C70" s="2664"/>
      <c r="D70" s="2664"/>
      <c r="E70" s="4990"/>
      <c r="F70" s="4991"/>
      <c r="G70" s="4991"/>
      <c r="H70" s="4991"/>
      <c r="I70" s="4991"/>
      <c r="J70" s="4992"/>
      <c r="K70" s="3045"/>
      <c r="L70" s="4983"/>
      <c r="M70" s="4983"/>
      <c r="N70" s="4983"/>
      <c r="O70" s="4981"/>
      <c r="P70" s="2377"/>
      <c r="Q70" s="2377"/>
      <c r="R70" s="2725"/>
      <c r="S70" s="2662"/>
      <c r="T70" s="2380"/>
      <c r="U70" s="2382"/>
      <c r="AK70" s="3048"/>
      <c r="AL70" s="3046"/>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3"/>
      <c r="S71" s="2662"/>
      <c r="T71" s="2380"/>
      <c r="U71" s="2384"/>
      <c r="V71" s="2387"/>
      <c r="W71" s="2387"/>
      <c r="X71" s="2387"/>
      <c r="Y71" s="2387"/>
      <c r="Z71" s="2387"/>
      <c r="AA71" s="2387"/>
      <c r="AB71" s="2387"/>
      <c r="AC71" s="2387"/>
      <c r="AD71" s="2387"/>
      <c r="AE71" s="2387"/>
      <c r="AF71" s="2387"/>
      <c r="AG71" s="2387"/>
      <c r="AH71" s="2387"/>
      <c r="AI71" s="2387"/>
      <c r="AJ71" s="2387"/>
      <c r="AK71" s="3052"/>
      <c r="AL71" s="3046"/>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2"/>
      <c r="S72" s="2662"/>
      <c r="T72" s="2380"/>
      <c r="U72" s="2380"/>
      <c r="V72" s="2380"/>
      <c r="W72" s="2380"/>
      <c r="X72" s="2380"/>
      <c r="Y72" s="2380"/>
      <c r="Z72" s="2380"/>
      <c r="AA72" s="2380"/>
      <c r="AB72" s="2380"/>
      <c r="AC72" s="2380"/>
      <c r="AD72" s="2380"/>
      <c r="AE72" s="2380"/>
      <c r="AF72" s="2380"/>
      <c r="AG72" s="2380"/>
      <c r="AH72" s="2380"/>
      <c r="AI72" s="2380"/>
      <c r="AJ72" s="2380"/>
      <c r="AK72" s="3046"/>
      <c r="AL72" s="3046"/>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4"/>
    </row>
    <row r="122" spans="13:44" ht="12" customHeight="1" thickBot="1" x14ac:dyDescent="0.25">
      <c r="AR122" s="2665"/>
    </row>
  </sheetData>
  <sheetProtection selectLockedCells="1"/>
  <mergeCells count="282">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s>
  <phoneticPr fontId="10" type="noConversion"/>
  <conditionalFormatting sqref="V50:AA50">
    <cfRule type="cellIs" dxfId="233" priority="43" stopIfTrue="1" operator="equal">
      <formula>"Armas naturales"</formula>
    </cfRule>
  </conditionalFormatting>
  <conditionalFormatting sqref="Y28:Z28 AF28:AG28">
    <cfRule type="cellIs" dxfId="232" priority="47" stopIfTrue="1" operator="greaterThan">
      <formula>0</formula>
    </cfRule>
  </conditionalFormatting>
  <conditionalFormatting sqref="AE50 AE52 AE54 AE56">
    <cfRule type="cellIs" dxfId="231" priority="48" stopIfTrue="1" operator="equal">
      <formula>0</formula>
    </cfRule>
  </conditionalFormatting>
  <conditionalFormatting sqref="AE51 AE53 AE55">
    <cfRule type="cellIs" dxfId="230" priority="49" stopIfTrue="1" operator="equal">
      <formula>0</formula>
    </cfRule>
  </conditionalFormatting>
  <conditionalFormatting sqref="V51">
    <cfRule type="cellIs" dxfId="229" priority="56" stopIfTrue="1" operator="equal">
      <formula>"Armas naturales"</formula>
    </cfRule>
  </conditionalFormatting>
  <conditionalFormatting sqref="V52">
    <cfRule type="cellIs" dxfId="228" priority="57" stopIfTrue="1" operator="equal">
      <formula>"Armas naturales"</formula>
    </cfRule>
  </conditionalFormatting>
  <conditionalFormatting sqref="V53">
    <cfRule type="cellIs" dxfId="227" priority="58" stopIfTrue="1" operator="equal">
      <formula>"Armas naturales"</formula>
    </cfRule>
  </conditionalFormatting>
  <conditionalFormatting sqref="V54">
    <cfRule type="cellIs" dxfId="226" priority="59" stopIfTrue="1" operator="equal">
      <formula>"Armas naturales"</formula>
    </cfRule>
  </conditionalFormatting>
  <conditionalFormatting sqref="V55">
    <cfRule type="cellIs" dxfId="225" priority="60" stopIfTrue="1" operator="equal">
      <formula>"Armas naturales"</formula>
    </cfRule>
  </conditionalFormatting>
  <conditionalFormatting sqref="AB10:AE10">
    <cfRule type="expression" dxfId="224" priority="25">
      <formula>$AE$7="No"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16:AE16 AC20:AE20 AC24:AE24">
    <cfRule type="cellIs" dxfId="221"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809" zoomScaleNormal="100" workbookViewId="0">
      <selection activeCell="J1825" sqref="J1825"/>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5"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4995"/>
      <c r="C2" s="4996" t="s">
        <v>9448</v>
      </c>
      <c r="D2" s="4996"/>
      <c r="E2" s="4996"/>
      <c r="F2" s="4996"/>
      <c r="G2" s="4996"/>
      <c r="H2" s="4996"/>
      <c r="I2" s="4996"/>
      <c r="J2" s="4996"/>
      <c r="K2" s="4996"/>
      <c r="L2" s="4996"/>
      <c r="M2" s="4996"/>
      <c r="N2" s="4996"/>
      <c r="O2" s="4996"/>
      <c r="P2" s="4996"/>
      <c r="Q2" s="4996"/>
      <c r="R2" s="4996"/>
      <c r="S2" s="4996"/>
      <c r="T2" s="4996"/>
      <c r="U2" s="4996"/>
      <c r="V2" s="4996"/>
      <c r="W2" s="4996"/>
      <c r="X2" s="4996"/>
      <c r="Y2" s="4996"/>
      <c r="Z2" s="4996"/>
    </row>
    <row r="3" spans="1:263" ht="12.75" customHeight="1" x14ac:dyDescent="0.2">
      <c r="A3" s="2028">
        <v>3</v>
      </c>
      <c r="B3" s="4995"/>
      <c r="C3" s="4996"/>
      <c r="D3" s="4996"/>
      <c r="E3" s="4996"/>
      <c r="F3" s="4996"/>
      <c r="G3" s="4996"/>
      <c r="H3" s="4996"/>
      <c r="I3" s="4996"/>
      <c r="J3" s="4996"/>
      <c r="K3" s="4996"/>
      <c r="L3" s="4996"/>
      <c r="M3" s="4996"/>
      <c r="N3" s="4996"/>
      <c r="O3" s="4996"/>
      <c r="P3" s="4996"/>
      <c r="Q3" s="4996"/>
      <c r="R3" s="4996"/>
      <c r="S3" s="4996"/>
      <c r="T3" s="4996"/>
      <c r="U3" s="4996"/>
      <c r="V3" s="4996"/>
      <c r="W3" s="4996"/>
      <c r="X3" s="4996"/>
      <c r="Y3" s="4996"/>
      <c r="Z3" s="4996"/>
    </row>
    <row r="4" spans="1:263" ht="12.75" customHeight="1" x14ac:dyDescent="0.2">
      <c r="A4" s="2029">
        <v>4</v>
      </c>
      <c r="B4" s="4995"/>
      <c r="C4" s="4996"/>
      <c r="D4" s="4996"/>
      <c r="E4" s="4996"/>
      <c r="F4" s="4996"/>
      <c r="G4" s="4996"/>
      <c r="H4" s="4996"/>
      <c r="I4" s="4996"/>
      <c r="J4" s="4996"/>
      <c r="K4" s="4996"/>
      <c r="L4" s="4996"/>
      <c r="M4" s="4996"/>
      <c r="N4" s="4996"/>
      <c r="O4" s="4996"/>
      <c r="P4" s="4996"/>
      <c r="Q4" s="4996"/>
      <c r="R4" s="4996"/>
      <c r="S4" s="4996"/>
      <c r="T4" s="4996"/>
      <c r="U4" s="4996"/>
      <c r="V4" s="4996"/>
      <c r="W4" s="4996"/>
      <c r="X4" s="4996"/>
      <c r="Y4" s="4996"/>
      <c r="Z4" s="4996"/>
    </row>
    <row r="5" spans="1:263" ht="13.5" customHeight="1" thickBot="1" x14ac:dyDescent="0.25">
      <c r="A5" s="2029">
        <v>5</v>
      </c>
      <c r="B5" s="4995"/>
      <c r="H5" s="413"/>
      <c r="I5" s="1761"/>
      <c r="N5" s="413"/>
      <c r="O5" s="2112"/>
    </row>
    <row r="6" spans="1:263" ht="12.75" customHeight="1" thickBot="1" x14ac:dyDescent="0.25">
      <c r="A6" s="2029">
        <v>6</v>
      </c>
      <c r="B6" s="4995"/>
      <c r="C6" s="3169" t="s">
        <v>2548</v>
      </c>
      <c r="E6" s="3169" t="s">
        <v>1608</v>
      </c>
      <c r="G6" s="3169" t="s">
        <v>1082</v>
      </c>
      <c r="H6" s="3169"/>
      <c r="I6" s="1761"/>
      <c r="N6" s="413"/>
      <c r="O6" s="2112"/>
      <c r="S6" s="5010" t="s">
        <v>8554</v>
      </c>
      <c r="T6" s="5011"/>
      <c r="U6" s="5011"/>
      <c r="V6" s="5011"/>
      <c r="W6" s="5011"/>
      <c r="X6" s="5012"/>
      <c r="Y6" s="1159"/>
      <c r="Z6" s="1159"/>
    </row>
    <row r="7" spans="1:263" ht="12.75" customHeight="1" thickBot="1" x14ac:dyDescent="0.25">
      <c r="A7" s="2029">
        <v>7</v>
      </c>
      <c r="B7" s="4995"/>
      <c r="C7" s="3169"/>
      <c r="E7" s="3169"/>
      <c r="G7" s="3169"/>
      <c r="H7" s="3169"/>
      <c r="I7" s="1761"/>
      <c r="N7" s="413"/>
      <c r="O7" s="2112"/>
      <c r="S7" s="5013"/>
      <c r="T7" s="5014"/>
      <c r="U7" s="5014"/>
      <c r="V7" s="5014"/>
      <c r="W7" s="5014"/>
      <c r="X7" s="5015"/>
      <c r="Y7" s="1159"/>
      <c r="Z7" s="1159"/>
    </row>
    <row r="8" spans="1:263" ht="12.75" customHeight="1" thickBot="1" x14ac:dyDescent="0.25">
      <c r="A8" s="2029">
        <v>8</v>
      </c>
      <c r="B8" s="4995"/>
      <c r="C8" s="482" t="s">
        <v>2549</v>
      </c>
      <c r="E8" s="514" t="s">
        <v>1609</v>
      </c>
      <c r="G8" s="432" t="s">
        <v>1083</v>
      </c>
      <c r="H8" s="69"/>
      <c r="I8" s="1761"/>
      <c r="N8" s="413"/>
      <c r="O8" s="2112"/>
      <c r="S8" s="2004"/>
      <c r="T8" s="2512" t="s">
        <v>8564</v>
      </c>
      <c r="U8" s="2511" t="s">
        <v>8563</v>
      </c>
      <c r="V8" s="2511" t="s">
        <v>8558</v>
      </c>
      <c r="W8" s="2511" t="s">
        <v>8559</v>
      </c>
      <c r="X8" s="2005" t="s">
        <v>918</v>
      </c>
    </row>
    <row r="9" spans="1:263" ht="12.75" customHeight="1" thickBot="1" x14ac:dyDescent="0.25">
      <c r="A9" s="2029">
        <v>9</v>
      </c>
      <c r="B9" s="4995"/>
      <c r="C9" s="484" t="s">
        <v>1693</v>
      </c>
      <c r="E9" s="515" t="s">
        <v>1610</v>
      </c>
      <c r="G9" s="433" t="s">
        <v>1084</v>
      </c>
      <c r="H9" s="200"/>
      <c r="I9" s="1761"/>
      <c r="N9" s="413"/>
      <c r="O9" s="2112"/>
      <c r="S9" s="1873" t="s">
        <v>8555</v>
      </c>
      <c r="T9" s="263">
        <f>VLOOKUP($S9&amp;$X$15,$U$14:$W$22,2,FALSE)</f>
        <v>40</v>
      </c>
      <c r="U9" s="263">
        <f>VLOOKUP($S9&amp;$X$15,$U$14:$W$22,3,FALSE)</f>
        <v>0.3</v>
      </c>
      <c r="V9" s="263">
        <f>1/4</f>
        <v>0.25</v>
      </c>
      <c r="W9" s="263"/>
      <c r="X9" s="1978">
        <v>0</v>
      </c>
    </row>
    <row r="10" spans="1:263" ht="12.75" customHeight="1" thickBot="1" x14ac:dyDescent="0.25">
      <c r="A10" s="2028">
        <v>10</v>
      </c>
      <c r="B10" s="4995"/>
      <c r="H10" s="413"/>
      <c r="I10" s="1761"/>
      <c r="N10" s="413"/>
      <c r="O10" s="2112"/>
      <c r="P10" s="5008" t="s">
        <v>1506</v>
      </c>
      <c r="Q10" s="5008"/>
      <c r="S10" s="1873" t="s">
        <v>2062</v>
      </c>
      <c r="T10" s="263">
        <f>VLOOKUP($S10&amp;$X$15,$U$14:$W$22,2,FALSE)</f>
        <v>50</v>
      </c>
      <c r="U10" s="263">
        <f>VLOOKUP($S10&amp;$X$15,$U$14:$W$22,3,FALSE)</f>
        <v>0.5</v>
      </c>
      <c r="V10" s="263">
        <v>0.5</v>
      </c>
      <c r="W10" s="263"/>
      <c r="X10" s="1978">
        <v>1</v>
      </c>
    </row>
    <row r="11" spans="1:263" ht="12.75" customHeight="1" thickBot="1" x14ac:dyDescent="0.25">
      <c r="A11" s="2028">
        <v>11</v>
      </c>
      <c r="B11" s="4995"/>
      <c r="C11" s="5067" t="s">
        <v>2421</v>
      </c>
      <c r="D11" s="5067"/>
      <c r="E11" s="5067"/>
      <c r="G11" s="5044" t="s">
        <v>2463</v>
      </c>
      <c r="H11" s="5044"/>
      <c r="I11" s="5044"/>
      <c r="J11" s="5044"/>
      <c r="L11" s="5067" t="s">
        <v>1448</v>
      </c>
      <c r="M11" s="5067"/>
      <c r="N11" s="413"/>
      <c r="O11" s="2112"/>
      <c r="P11" s="5008"/>
      <c r="Q11" s="5008"/>
      <c r="S11" s="1873" t="s">
        <v>8556</v>
      </c>
      <c r="T11" s="263">
        <f>VLOOKUP($S11&amp;$X$15,$U$14:$W$22,2,FALSE)</f>
        <v>60</v>
      </c>
      <c r="U11" s="263">
        <f>VLOOKUP($S11&amp;$X$15,$U$14:$W$22,3,FALSE)</f>
        <v>0.8</v>
      </c>
      <c r="V11" s="263">
        <v>1</v>
      </c>
      <c r="W11" s="263"/>
      <c r="X11" s="1978">
        <v>1</v>
      </c>
    </row>
    <row r="12" spans="1:263" ht="12.75" customHeight="1" thickBot="1" x14ac:dyDescent="0.25">
      <c r="A12" s="2028">
        <v>12</v>
      </c>
      <c r="B12" s="4995"/>
      <c r="C12" s="5067"/>
      <c r="D12" s="5067"/>
      <c r="E12" s="5067"/>
      <c r="G12" s="5044"/>
      <c r="H12" s="5044"/>
      <c r="I12" s="5044"/>
      <c r="J12" s="5044"/>
      <c r="L12" s="5067"/>
      <c r="M12" s="5067"/>
      <c r="N12" s="413"/>
      <c r="O12" s="2112"/>
      <c r="P12" s="455" t="s">
        <v>1507</v>
      </c>
      <c r="Q12" s="457" t="s">
        <v>1508</v>
      </c>
      <c r="S12" s="2116" t="s">
        <v>9173</v>
      </c>
      <c r="T12" s="1874" t="s">
        <v>1769</v>
      </c>
      <c r="U12" s="1874" t="s">
        <v>1769</v>
      </c>
      <c r="V12" s="1874" t="s">
        <v>1769</v>
      </c>
      <c r="W12" s="1874" t="s">
        <v>1769</v>
      </c>
      <c r="X12" s="2006" t="s">
        <v>1769</v>
      </c>
    </row>
    <row r="13" spans="1:263" ht="12.75" customHeight="1" thickBot="1" x14ac:dyDescent="0.25">
      <c r="A13" s="2029">
        <v>13</v>
      </c>
      <c r="B13" s="4995"/>
      <c r="C13" s="1848" t="s">
        <v>2422</v>
      </c>
      <c r="D13" s="419" t="s">
        <v>1679</v>
      </c>
      <c r="E13" s="420" t="s">
        <v>1804</v>
      </c>
      <c r="G13" s="418" t="s">
        <v>1695</v>
      </c>
      <c r="H13" s="419" t="s">
        <v>2464</v>
      </c>
      <c r="I13" s="419" t="s">
        <v>2465</v>
      </c>
      <c r="J13" s="420" t="s">
        <v>2466</v>
      </c>
      <c r="L13" s="455" t="s">
        <v>1695</v>
      </c>
      <c r="M13" s="457" t="s">
        <v>1449</v>
      </c>
      <c r="N13" s="413"/>
      <c r="O13" s="2112"/>
      <c r="P13" s="207">
        <v>1</v>
      </c>
      <c r="Q13" s="523">
        <v>1</v>
      </c>
      <c r="S13" s="2010"/>
      <c r="T13" s="2013" t="s">
        <v>2508</v>
      </c>
      <c r="U13" s="2120" t="s">
        <v>8562</v>
      </c>
      <c r="V13" s="2014" t="s">
        <v>8557</v>
      </c>
      <c r="W13" s="2015" t="s">
        <v>3405</v>
      </c>
      <c r="X13" s="2007" t="s">
        <v>8561</v>
      </c>
    </row>
    <row r="14" spans="1:263" ht="12.75" customHeight="1" x14ac:dyDescent="0.2">
      <c r="A14" s="2029">
        <v>14</v>
      </c>
      <c r="B14" s="4995"/>
      <c r="C14" s="1849">
        <v>1</v>
      </c>
      <c r="D14" s="441">
        <v>-30</v>
      </c>
      <c r="E14" s="442">
        <v>1</v>
      </c>
      <c r="G14" s="443">
        <v>1</v>
      </c>
      <c r="H14" s="263">
        <v>0</v>
      </c>
      <c r="I14" s="263">
        <v>0.5</v>
      </c>
      <c r="J14" s="284">
        <v>1</v>
      </c>
      <c r="L14" s="478">
        <v>3</v>
      </c>
      <c r="M14" s="442">
        <v>-30</v>
      </c>
      <c r="N14" s="413"/>
      <c r="O14" s="2112"/>
      <c r="P14" s="207">
        <v>2</v>
      </c>
      <c r="Q14" s="523">
        <v>1</v>
      </c>
      <c r="S14" s="2010" t="s">
        <v>8555</v>
      </c>
      <c r="T14" s="2806" t="s">
        <v>2525</v>
      </c>
      <c r="U14" s="2121" t="str">
        <f>S14&amp;T14</f>
        <v>BajoMístico</v>
      </c>
      <c r="V14" s="263">
        <v>40</v>
      </c>
      <c r="W14" s="2016">
        <f>0.3</f>
        <v>0.3</v>
      </c>
      <c r="X14" s="2008" t="str">
        <f>IF(PDs!U5="","",VLOOKUP(PDs!U5,$D$202:$CH$223,83,FALSE))</f>
        <v>MísticoSin</v>
      </c>
    </row>
    <row r="15" spans="1:263" ht="12.75" customHeight="1" thickBot="1" x14ac:dyDescent="0.25">
      <c r="A15" s="2029">
        <v>15</v>
      </c>
      <c r="B15" s="4995"/>
      <c r="C15" s="1850">
        <v>2</v>
      </c>
      <c r="D15" s="263">
        <v>-20</v>
      </c>
      <c r="E15" s="284">
        <v>2</v>
      </c>
      <c r="G15" s="443">
        <v>2</v>
      </c>
      <c r="H15" s="263">
        <v>0</v>
      </c>
      <c r="I15" s="263">
        <v>5</v>
      </c>
      <c r="J15" s="284">
        <v>10</v>
      </c>
      <c r="L15" s="266">
        <v>4</v>
      </c>
      <c r="M15" s="284">
        <v>-10</v>
      </c>
      <c r="N15" s="413"/>
      <c r="O15" s="2112"/>
      <c r="P15" s="207">
        <v>3</v>
      </c>
      <c r="Q15" s="523">
        <v>1</v>
      </c>
      <c r="S15" s="2011" t="s">
        <v>8555</v>
      </c>
      <c r="T15" s="2806" t="s">
        <v>8560</v>
      </c>
      <c r="U15" s="2121" t="str">
        <f t="shared" ref="U15:U22" si="0">S15&amp;T15</f>
        <v>BajoMixto</v>
      </c>
      <c r="V15" s="263">
        <v>20</v>
      </c>
      <c r="W15" s="2016">
        <f>0.2</f>
        <v>0.2</v>
      </c>
      <c r="X15" s="2009" t="str">
        <f>IF(X14="MísticoSin","Místico",IF(ISNUMBER(SEARCH("Místico",X14)),"Mixto","Otros"))</f>
        <v>Místico</v>
      </c>
    </row>
    <row r="16" spans="1:263" ht="12.75" customHeight="1" x14ac:dyDescent="0.2">
      <c r="A16" s="2028">
        <v>16</v>
      </c>
      <c r="B16" s="4995"/>
      <c r="C16" s="1850">
        <v>3</v>
      </c>
      <c r="D16" s="263">
        <v>-10</v>
      </c>
      <c r="E16" s="284">
        <v>3</v>
      </c>
      <c r="G16" s="443">
        <v>3</v>
      </c>
      <c r="H16" s="263">
        <v>0</v>
      </c>
      <c r="I16" s="263">
        <v>10</v>
      </c>
      <c r="J16" s="284">
        <v>20</v>
      </c>
      <c r="L16" s="266">
        <v>5</v>
      </c>
      <c r="M16" s="284">
        <v>0</v>
      </c>
      <c r="N16" s="413"/>
      <c r="O16" s="2112"/>
      <c r="P16" s="207">
        <v>4</v>
      </c>
      <c r="Q16" s="523">
        <v>1</v>
      </c>
      <c r="S16" s="2011" t="s">
        <v>8555</v>
      </c>
      <c r="T16" s="2806" t="s">
        <v>8359</v>
      </c>
      <c r="U16" s="2121" t="str">
        <f t="shared" si="0"/>
        <v>BajoOtros</v>
      </c>
      <c r="V16" s="263">
        <v>0</v>
      </c>
      <c r="W16" s="2016">
        <v>0</v>
      </c>
    </row>
    <row r="17" spans="1:113" ht="12.75" customHeight="1" x14ac:dyDescent="0.2">
      <c r="A17" s="2028">
        <v>17</v>
      </c>
      <c r="B17" s="4995"/>
      <c r="C17" s="1850">
        <v>4</v>
      </c>
      <c r="D17" s="263">
        <v>-5</v>
      </c>
      <c r="E17" s="284">
        <v>4</v>
      </c>
      <c r="G17" s="443">
        <v>4</v>
      </c>
      <c r="H17" s="263">
        <v>0</v>
      </c>
      <c r="I17" s="263">
        <v>15</v>
      </c>
      <c r="J17" s="284">
        <v>40</v>
      </c>
      <c r="L17" s="266">
        <v>7</v>
      </c>
      <c r="M17" s="284">
        <v>10</v>
      </c>
      <c r="N17" s="413"/>
      <c r="O17" s="2112"/>
      <c r="P17" s="207">
        <v>5</v>
      </c>
      <c r="Q17" s="523">
        <v>1</v>
      </c>
      <c r="S17" s="2010" t="s">
        <v>2062</v>
      </c>
      <c r="T17" s="2807" t="s">
        <v>2525</v>
      </c>
      <c r="U17" s="2122" t="str">
        <f t="shared" si="0"/>
        <v>MedioMístico</v>
      </c>
      <c r="V17" s="2018">
        <v>50</v>
      </c>
      <c r="W17" s="2019">
        <v>0.5</v>
      </c>
    </row>
    <row r="18" spans="1:113" ht="12.75" customHeight="1" thickBot="1" x14ac:dyDescent="0.25">
      <c r="A18" s="2028">
        <v>18</v>
      </c>
      <c r="B18" s="4995"/>
      <c r="C18" s="1850">
        <v>5</v>
      </c>
      <c r="D18" s="263">
        <v>0</v>
      </c>
      <c r="E18" s="284">
        <v>5</v>
      </c>
      <c r="G18" s="443">
        <v>5</v>
      </c>
      <c r="H18" s="263">
        <v>0</v>
      </c>
      <c r="I18" s="263">
        <v>25</v>
      </c>
      <c r="J18" s="284">
        <v>60</v>
      </c>
      <c r="L18" s="266">
        <v>8</v>
      </c>
      <c r="M18" s="284">
        <v>20</v>
      </c>
      <c r="N18" s="413"/>
      <c r="O18" s="2112"/>
      <c r="P18" s="207">
        <v>6</v>
      </c>
      <c r="Q18" s="523">
        <v>1</v>
      </c>
      <c r="S18" s="2011" t="s">
        <v>2062</v>
      </c>
      <c r="T18" s="2806" t="s">
        <v>8560</v>
      </c>
      <c r="U18" s="2121" t="str">
        <f t="shared" si="0"/>
        <v>MedioMixto</v>
      </c>
      <c r="V18" s="263">
        <v>40</v>
      </c>
      <c r="W18" s="2016">
        <v>0.4</v>
      </c>
    </row>
    <row r="19" spans="1:113" ht="12.75" customHeight="1" x14ac:dyDescent="0.2">
      <c r="A19" s="2029">
        <v>19</v>
      </c>
      <c r="B19" s="4995"/>
      <c r="C19" s="1851">
        <v>6</v>
      </c>
      <c r="D19" s="263">
        <v>5</v>
      </c>
      <c r="E19" s="284">
        <v>6</v>
      </c>
      <c r="G19" s="444">
        <v>6</v>
      </c>
      <c r="H19" s="263">
        <v>0</v>
      </c>
      <c r="I19" s="263">
        <v>40</v>
      </c>
      <c r="J19" s="284">
        <v>120</v>
      </c>
      <c r="L19" s="266">
        <v>9</v>
      </c>
      <c r="M19" s="284">
        <v>30</v>
      </c>
      <c r="N19" s="413"/>
      <c r="O19" s="2112"/>
      <c r="P19" s="207">
        <v>7</v>
      </c>
      <c r="Q19" s="523">
        <v>1</v>
      </c>
      <c r="S19" s="2012" t="s">
        <v>2062</v>
      </c>
      <c r="T19" s="2808" t="s">
        <v>8359</v>
      </c>
      <c r="U19" s="2123" t="str">
        <f t="shared" si="0"/>
        <v>MedioOtros</v>
      </c>
      <c r="V19" s="2017">
        <v>10</v>
      </c>
      <c r="W19" s="2017">
        <v>0.1</v>
      </c>
      <c r="X19" s="5072" t="s">
        <v>9265</v>
      </c>
    </row>
    <row r="20" spans="1:113" ht="12.75" customHeight="1" x14ac:dyDescent="0.2">
      <c r="A20" s="2029">
        <v>20</v>
      </c>
      <c r="B20" s="4995"/>
      <c r="C20" s="1851">
        <v>7</v>
      </c>
      <c r="D20" s="263">
        <v>5</v>
      </c>
      <c r="E20" s="284">
        <v>7</v>
      </c>
      <c r="G20" s="444">
        <v>7</v>
      </c>
      <c r="H20" s="263">
        <v>0</v>
      </c>
      <c r="I20" s="263">
        <v>60</v>
      </c>
      <c r="J20" s="284">
        <v>180</v>
      </c>
      <c r="L20" s="266">
        <v>10</v>
      </c>
      <c r="M20" s="284">
        <v>50</v>
      </c>
      <c r="N20" s="413"/>
      <c r="O20" s="2112"/>
      <c r="P20" s="207">
        <v>8</v>
      </c>
      <c r="Q20" s="523">
        <v>1</v>
      </c>
      <c r="S20" s="2011" t="s">
        <v>8556</v>
      </c>
      <c r="T20" s="2806" t="s">
        <v>2525</v>
      </c>
      <c r="U20" s="2121" t="str">
        <f t="shared" si="0"/>
        <v>AltoMístico</v>
      </c>
      <c r="V20" s="263">
        <v>60</v>
      </c>
      <c r="W20" s="263">
        <v>0.8</v>
      </c>
      <c r="X20" s="5073"/>
    </row>
    <row r="21" spans="1:113" ht="12.75" customHeight="1" x14ac:dyDescent="0.2">
      <c r="A21" s="2029">
        <v>21</v>
      </c>
      <c r="B21" s="4995"/>
      <c r="C21" s="1851">
        <v>8</v>
      </c>
      <c r="D21" s="263">
        <v>10</v>
      </c>
      <c r="E21" s="284">
        <v>8</v>
      </c>
      <c r="G21" s="444">
        <v>8</v>
      </c>
      <c r="H21" s="263">
        <v>1</v>
      </c>
      <c r="I21" s="263">
        <v>80</v>
      </c>
      <c r="J21" s="284">
        <v>260</v>
      </c>
      <c r="L21" s="266">
        <v>11</v>
      </c>
      <c r="M21" s="284">
        <v>100</v>
      </c>
      <c r="N21" s="413"/>
      <c r="O21" s="2112"/>
      <c r="P21" s="207">
        <v>9</v>
      </c>
      <c r="Q21" s="523">
        <v>1</v>
      </c>
      <c r="S21" s="2011" t="s">
        <v>8556</v>
      </c>
      <c r="T21" s="2806" t="s">
        <v>8560</v>
      </c>
      <c r="U21" s="2121" t="str">
        <f t="shared" si="0"/>
        <v>AltoMixto</v>
      </c>
      <c r="V21" s="263">
        <v>50</v>
      </c>
      <c r="W21" s="263">
        <v>0.6</v>
      </c>
      <c r="X21" s="5074" t="b">
        <f>AND(Nivel_Sobrenatural&lt;&gt;Tablas!S12,General!$V$12="")</f>
        <v>0</v>
      </c>
    </row>
    <row r="22" spans="1:113" ht="12.75" customHeight="1" thickBot="1" x14ac:dyDescent="0.25">
      <c r="A22" s="2029">
        <v>22</v>
      </c>
      <c r="B22" s="4995"/>
      <c r="C22" s="1851">
        <v>9</v>
      </c>
      <c r="D22" s="263">
        <v>10</v>
      </c>
      <c r="E22" s="284">
        <v>10</v>
      </c>
      <c r="G22" s="444">
        <v>9</v>
      </c>
      <c r="H22" s="263">
        <v>1</v>
      </c>
      <c r="I22" s="263">
        <v>100</v>
      </c>
      <c r="J22" s="284">
        <v>350</v>
      </c>
      <c r="L22" s="266">
        <v>12</v>
      </c>
      <c r="M22" s="284">
        <v>250</v>
      </c>
      <c r="N22" s="413"/>
      <c r="O22" s="2112"/>
      <c r="P22" s="207">
        <v>10</v>
      </c>
      <c r="Q22" s="523">
        <v>2</v>
      </c>
      <c r="S22" s="2012" t="s">
        <v>8556</v>
      </c>
      <c r="T22" s="2808" t="s">
        <v>8359</v>
      </c>
      <c r="U22" s="2123" t="str">
        <f t="shared" si="0"/>
        <v>AltoOtros</v>
      </c>
      <c r="V22" s="2017">
        <v>20</v>
      </c>
      <c r="W22" s="2017">
        <v>0.25</v>
      </c>
      <c r="X22" s="5075"/>
    </row>
    <row r="23" spans="1:113" ht="12.75" customHeight="1" thickBot="1" x14ac:dyDescent="0.25">
      <c r="A23" s="2029">
        <v>23</v>
      </c>
      <c r="B23" s="4995"/>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4995"/>
      <c r="C24" s="1851">
        <v>11</v>
      </c>
      <c r="D24" s="263">
        <v>20</v>
      </c>
      <c r="E24" s="284">
        <v>20</v>
      </c>
      <c r="G24" s="444">
        <v>11</v>
      </c>
      <c r="H24" s="263">
        <v>3</v>
      </c>
      <c r="I24" s="263">
        <v>200</v>
      </c>
      <c r="J24" s="284">
        <v>600</v>
      </c>
      <c r="L24" s="266">
        <v>14</v>
      </c>
      <c r="M24" s="284">
        <v>1000</v>
      </c>
      <c r="N24" s="413"/>
      <c r="O24" s="2112"/>
      <c r="P24" s="207">
        <v>12</v>
      </c>
      <c r="Q24" s="523">
        <v>2</v>
      </c>
      <c r="S24" s="5180" t="s">
        <v>9288</v>
      </c>
      <c r="T24" s="5181"/>
    </row>
    <row r="25" spans="1:113" ht="12.75" customHeight="1" x14ac:dyDescent="0.2">
      <c r="A25" s="2028">
        <v>25</v>
      </c>
      <c r="B25" s="4995"/>
      <c r="C25" s="1851">
        <v>12</v>
      </c>
      <c r="D25" s="263">
        <v>20</v>
      </c>
      <c r="E25" s="284">
        <v>30</v>
      </c>
      <c r="G25" s="444">
        <v>12</v>
      </c>
      <c r="H25" s="263">
        <v>3</v>
      </c>
      <c r="I25" s="263">
        <v>350</v>
      </c>
      <c r="J25" s="284">
        <v>1000</v>
      </c>
      <c r="L25" s="266">
        <v>15</v>
      </c>
      <c r="M25" s="284">
        <v>5000</v>
      </c>
      <c r="N25" s="413"/>
      <c r="O25" s="2112"/>
      <c r="P25" s="207">
        <v>13</v>
      </c>
      <c r="Q25" s="523">
        <v>3</v>
      </c>
      <c r="S25" s="5182"/>
      <c r="T25" s="5183"/>
    </row>
    <row r="26" spans="1:113" ht="13.5" customHeight="1" thickBot="1" x14ac:dyDescent="0.25">
      <c r="A26" s="2028">
        <v>26</v>
      </c>
      <c r="B26" s="4995"/>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4995"/>
      <c r="C27" s="1851">
        <v>14</v>
      </c>
      <c r="D27" s="263">
        <v>25</v>
      </c>
      <c r="E27" s="284">
        <v>50</v>
      </c>
      <c r="G27" s="444">
        <v>14</v>
      </c>
      <c r="H27" s="263">
        <v>4</v>
      </c>
      <c r="I27" s="263">
        <v>5000</v>
      </c>
      <c r="J27" s="284">
        <v>25000</v>
      </c>
      <c r="N27" s="413"/>
      <c r="O27" s="2112"/>
      <c r="P27" s="207">
        <v>15</v>
      </c>
      <c r="Q27" s="523">
        <v>3</v>
      </c>
      <c r="S27" s="2056">
        <v>20</v>
      </c>
      <c r="T27" s="1978" t="s">
        <v>9289</v>
      </c>
    </row>
    <row r="28" spans="1:113" ht="12.75" customHeight="1" x14ac:dyDescent="0.2">
      <c r="A28" s="2029">
        <v>28</v>
      </c>
      <c r="B28" s="4995"/>
      <c r="C28" s="1850">
        <v>15</v>
      </c>
      <c r="D28" s="263">
        <v>30</v>
      </c>
      <c r="E28" s="284">
        <v>60</v>
      </c>
      <c r="G28" s="443">
        <v>15</v>
      </c>
      <c r="H28" s="263">
        <v>5</v>
      </c>
      <c r="I28" s="263">
        <v>15000</v>
      </c>
      <c r="J28" s="284">
        <v>100000</v>
      </c>
      <c r="N28" s="413"/>
      <c r="O28" s="2112"/>
      <c r="P28" s="207">
        <v>16</v>
      </c>
      <c r="Q28" s="523">
        <v>4</v>
      </c>
      <c r="S28" s="2056">
        <v>40</v>
      </c>
      <c r="T28" s="1978" t="s">
        <v>9290</v>
      </c>
    </row>
    <row r="29" spans="1:113" ht="12.75" customHeight="1" x14ac:dyDescent="0.2">
      <c r="A29" s="2029">
        <v>29</v>
      </c>
      <c r="B29" s="4995"/>
      <c r="C29" s="1850">
        <v>16</v>
      </c>
      <c r="D29" s="263">
        <v>35</v>
      </c>
      <c r="E29" s="284">
        <v>70</v>
      </c>
      <c r="G29" s="443">
        <v>16</v>
      </c>
      <c r="H29" s="263">
        <v>5</v>
      </c>
      <c r="I29" s="263">
        <v>100000</v>
      </c>
      <c r="J29" s="284">
        <v>500000</v>
      </c>
      <c r="N29" s="413"/>
      <c r="O29" s="2112"/>
      <c r="P29" s="207">
        <v>17</v>
      </c>
      <c r="Q29" s="523">
        <v>4</v>
      </c>
      <c r="S29" s="2483">
        <v>80</v>
      </c>
      <c r="T29" s="1978" t="s">
        <v>9291</v>
      </c>
      <c r="W29" s="2510"/>
    </row>
    <row r="30" spans="1:113" ht="12.75" customHeight="1" x14ac:dyDescent="0.2">
      <c r="A30" s="2029">
        <v>30</v>
      </c>
      <c r="B30" s="4995"/>
      <c r="C30" s="1851">
        <v>17</v>
      </c>
      <c r="D30" s="263">
        <v>35</v>
      </c>
      <c r="E30" s="284">
        <v>80</v>
      </c>
      <c r="G30" s="444">
        <v>17</v>
      </c>
      <c r="H30" s="263">
        <v>5</v>
      </c>
      <c r="I30" s="263">
        <v>500000</v>
      </c>
      <c r="J30" s="284">
        <v>2500000</v>
      </c>
      <c r="N30" s="413"/>
      <c r="O30" s="2112"/>
      <c r="P30" s="207">
        <v>18</v>
      </c>
      <c r="Q30" s="523">
        <v>4</v>
      </c>
      <c r="S30" s="2483">
        <v>120</v>
      </c>
      <c r="T30" s="1978" t="s">
        <v>9300</v>
      </c>
      <c r="W30" s="2510"/>
    </row>
    <row r="31" spans="1:113" s="1761" customFormat="1" ht="14.85" customHeight="1" x14ac:dyDescent="0.2">
      <c r="A31" s="2028">
        <v>31</v>
      </c>
      <c r="B31" s="4995"/>
      <c r="C31" s="1851">
        <v>18</v>
      </c>
      <c r="D31" s="263">
        <v>40</v>
      </c>
      <c r="E31" s="284">
        <v>90</v>
      </c>
      <c r="F31" s="413"/>
      <c r="G31" s="444">
        <v>18</v>
      </c>
      <c r="H31" s="263">
        <v>5</v>
      </c>
      <c r="I31" s="263">
        <v>1000000</v>
      </c>
      <c r="J31" s="284">
        <v>10000000</v>
      </c>
      <c r="K31" s="413"/>
      <c r="L31" s="413"/>
      <c r="M31" s="413"/>
      <c r="N31" s="413"/>
      <c r="O31" s="2112"/>
      <c r="P31" s="207">
        <v>19</v>
      </c>
      <c r="Q31" s="523">
        <v>4</v>
      </c>
      <c r="R31" s="413"/>
      <c r="S31" s="2483">
        <v>140</v>
      </c>
      <c r="T31" s="1978" t="s">
        <v>9292</v>
      </c>
      <c r="W31" s="2510"/>
      <c r="Z31" s="413"/>
      <c r="AA31" s="413"/>
      <c r="AB31" s="2625"/>
      <c r="DI31" s="1761" t="str">
        <f>IFERROR(VLOOKUP(SMALL($DH$31:$DH$34,DF31),$DF$31:$DG$34,2,FALSE),"")</f>
        <v/>
      </c>
    </row>
    <row r="32" spans="1:113" s="1761" customFormat="1" ht="12.75" customHeight="1" thickBot="1" x14ac:dyDescent="0.25">
      <c r="A32" s="2028">
        <v>32</v>
      </c>
      <c r="B32" s="4995"/>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3">
        <v>180</v>
      </c>
      <c r="T32" s="1978" t="s">
        <v>9293</v>
      </c>
      <c r="W32" s="2510"/>
      <c r="Z32" s="413"/>
      <c r="AB32" s="2625"/>
      <c r="DG32" s="2288"/>
      <c r="DH32" s="2288"/>
      <c r="DI32" s="2288" t="str">
        <f t="shared" ref="DI32:DI34" si="1">IFERROR(VLOOKUP(SMALL($DH$31:$DH$34,DF32),$DF$31:$DG$34,2,FALSE),"")</f>
        <v/>
      </c>
    </row>
    <row r="33" spans="1:113" s="1760" customFormat="1" ht="14.85" customHeight="1" thickBot="1" x14ac:dyDescent="0.25">
      <c r="A33" s="2028">
        <v>33</v>
      </c>
      <c r="B33" s="4995"/>
      <c r="C33" s="1853">
        <v>20</v>
      </c>
      <c r="D33" s="439">
        <v>45</v>
      </c>
      <c r="E33" s="431">
        <v>150</v>
      </c>
      <c r="F33" s="413"/>
      <c r="G33" s="446">
        <v>20</v>
      </c>
      <c r="H33" s="439">
        <v>5</v>
      </c>
      <c r="I33" s="451">
        <v>1E+100</v>
      </c>
      <c r="J33" s="452">
        <v>1E+100</v>
      </c>
      <c r="K33" s="413"/>
      <c r="L33" s="413"/>
      <c r="M33" s="413"/>
      <c r="N33" s="413"/>
      <c r="O33" s="2112"/>
      <c r="P33" s="413"/>
      <c r="Q33" s="413"/>
      <c r="R33" s="413"/>
      <c r="S33" s="2483">
        <v>240</v>
      </c>
      <c r="T33" s="1978" t="s">
        <v>9294</v>
      </c>
      <c r="W33" s="2510"/>
      <c r="Z33" s="413"/>
      <c r="DG33" s="2288"/>
      <c r="DH33" s="2288"/>
      <c r="DI33" s="2288" t="str">
        <f t="shared" si="1"/>
        <v/>
      </c>
    </row>
    <row r="34" spans="1:113" s="1761" customFormat="1" ht="14.85" customHeight="1" thickBot="1" x14ac:dyDescent="0.25">
      <c r="A34" s="2029">
        <v>34</v>
      </c>
      <c r="B34" s="4995"/>
      <c r="C34" s="413"/>
      <c r="D34" s="413"/>
      <c r="E34" s="413"/>
      <c r="F34" s="413"/>
      <c r="G34" s="413"/>
      <c r="H34" s="413"/>
      <c r="J34" s="413"/>
      <c r="K34" s="413"/>
      <c r="L34" s="413"/>
      <c r="M34" s="413"/>
      <c r="N34" s="413"/>
      <c r="O34" s="2112"/>
      <c r="P34" s="413"/>
      <c r="Q34" s="413"/>
      <c r="R34" s="413"/>
      <c r="S34" s="2483">
        <v>280</v>
      </c>
      <c r="T34" s="1978" t="s">
        <v>9295</v>
      </c>
      <c r="W34" s="2510"/>
      <c r="Z34" s="413"/>
      <c r="AB34" s="2625"/>
      <c r="DG34" s="2288"/>
      <c r="DH34" s="2288"/>
      <c r="DI34" s="2288" t="str">
        <f t="shared" si="1"/>
        <v/>
      </c>
    </row>
    <row r="35" spans="1:113" ht="14.85" customHeight="1" thickBot="1" x14ac:dyDescent="0.25">
      <c r="A35" s="2029">
        <v>35</v>
      </c>
      <c r="B35" s="4995"/>
      <c r="C35" s="3192" t="s">
        <v>2423</v>
      </c>
      <c r="D35" s="3192"/>
      <c r="E35" s="3192"/>
      <c r="F35" s="3192"/>
      <c r="G35" s="3192"/>
      <c r="H35" s="413"/>
      <c r="I35" s="3192" t="s">
        <v>2467</v>
      </c>
      <c r="J35" s="3192"/>
      <c r="L35" s="5044" t="s">
        <v>2553</v>
      </c>
      <c r="M35" s="5044"/>
      <c r="N35" s="5044"/>
      <c r="O35" s="2112"/>
      <c r="P35" s="3192" t="s">
        <v>2550</v>
      </c>
      <c r="Q35" s="3192"/>
      <c r="S35" s="2483">
        <v>320</v>
      </c>
      <c r="T35" s="1978" t="s">
        <v>9296</v>
      </c>
      <c r="W35" s="2510"/>
    </row>
    <row r="36" spans="1:113" ht="14.85" customHeight="1" thickBot="1" x14ac:dyDescent="0.25">
      <c r="A36" s="2029">
        <v>36</v>
      </c>
      <c r="B36" s="4995"/>
      <c r="C36" s="3192"/>
      <c r="D36" s="3192"/>
      <c r="E36" s="3192"/>
      <c r="F36" s="3192"/>
      <c r="G36" s="3192"/>
      <c r="H36" s="413"/>
      <c r="I36" s="3192"/>
      <c r="J36" s="3192"/>
      <c r="L36" s="485" t="s">
        <v>2554</v>
      </c>
      <c r="M36" s="419" t="s">
        <v>2555</v>
      </c>
      <c r="N36" s="420" t="s">
        <v>2556</v>
      </c>
      <c r="O36" s="2112"/>
      <c r="P36" s="3192"/>
      <c r="Q36" s="3192"/>
      <c r="S36" s="2483">
        <v>440</v>
      </c>
      <c r="T36" s="1978" t="s">
        <v>9297</v>
      </c>
      <c r="W36" s="2510"/>
    </row>
    <row r="37" spans="1:113" ht="14.85" customHeight="1" thickBot="1" x14ac:dyDescent="0.25">
      <c r="A37" s="2029">
        <v>37</v>
      </c>
      <c r="B37" s="4995"/>
      <c r="C37" s="418" t="s">
        <v>1813</v>
      </c>
      <c r="D37" s="1854" t="s">
        <v>1680</v>
      </c>
      <c r="E37" s="5184" t="s">
        <v>2424</v>
      </c>
      <c r="F37" s="5184"/>
      <c r="G37" s="437" t="s">
        <v>2425</v>
      </c>
      <c r="H37" s="413"/>
      <c r="I37" s="418" t="s">
        <v>2468</v>
      </c>
      <c r="J37" s="437" t="s">
        <v>1699</v>
      </c>
      <c r="L37" s="486">
        <v>1</v>
      </c>
      <c r="M37" s="355">
        <v>5</v>
      </c>
      <c r="N37" s="215">
        <v>0</v>
      </c>
      <c r="O37" s="2112"/>
      <c r="P37" s="435" t="s">
        <v>2551</v>
      </c>
      <c r="Q37" s="437" t="s">
        <v>2552</v>
      </c>
      <c r="S37" s="2483" t="s">
        <v>9298</v>
      </c>
      <c r="T37" s="1978" t="s">
        <v>9297</v>
      </c>
      <c r="W37" s="2510"/>
    </row>
    <row r="38" spans="1:113" ht="14.85" customHeight="1" thickBot="1" x14ac:dyDescent="0.25">
      <c r="A38" s="2029">
        <v>38</v>
      </c>
      <c r="B38" s="4995"/>
      <c r="C38" s="266">
        <v>1</v>
      </c>
      <c r="D38" s="305">
        <v>0</v>
      </c>
      <c r="E38" s="5158" t="s">
        <v>2426</v>
      </c>
      <c r="F38" s="5158"/>
      <c r="G38" s="447" t="s">
        <v>2426</v>
      </c>
      <c r="H38" s="413"/>
      <c r="I38" s="266">
        <v>1</v>
      </c>
      <c r="J38" s="447" t="s">
        <v>2469</v>
      </c>
      <c r="L38" s="486">
        <v>2</v>
      </c>
      <c r="M38" s="355">
        <v>20</v>
      </c>
      <c r="N38" s="215">
        <v>0</v>
      </c>
      <c r="O38" s="2112"/>
      <c r="P38" s="266">
        <v>0</v>
      </c>
      <c r="Q38" s="284">
        <v>1</v>
      </c>
      <c r="S38" s="2484" t="s">
        <v>9299</v>
      </c>
      <c r="T38" s="2006" t="s">
        <v>9297</v>
      </c>
      <c r="W38" s="2510"/>
    </row>
    <row r="39" spans="1:113" ht="12.75" customHeight="1" thickBot="1" x14ac:dyDescent="0.25">
      <c r="A39" s="2029">
        <v>39</v>
      </c>
      <c r="B39" s="4995"/>
      <c r="C39" s="266">
        <v>2</v>
      </c>
      <c r="D39" s="305">
        <v>0</v>
      </c>
      <c r="E39" s="5158" t="s">
        <v>2426</v>
      </c>
      <c r="F39" s="5158"/>
      <c r="G39" s="447" t="s">
        <v>2426</v>
      </c>
      <c r="H39" s="413"/>
      <c r="I39" s="266">
        <v>2</v>
      </c>
      <c r="J39" s="447" t="s">
        <v>2470</v>
      </c>
      <c r="L39" s="486">
        <v>3</v>
      </c>
      <c r="M39" s="355">
        <v>40</v>
      </c>
      <c r="N39" s="215">
        <v>0</v>
      </c>
      <c r="O39" s="2112"/>
      <c r="P39" s="266">
        <v>11</v>
      </c>
      <c r="Q39" s="284">
        <v>2</v>
      </c>
      <c r="W39" s="2510"/>
    </row>
    <row r="40" spans="1:113" ht="12.75" customHeight="1" thickBot="1" x14ac:dyDescent="0.25">
      <c r="A40" s="2028">
        <v>40</v>
      </c>
      <c r="B40" s="4995"/>
      <c r="C40" s="266">
        <v>3</v>
      </c>
      <c r="D40" s="305">
        <v>1</v>
      </c>
      <c r="E40" s="5158" t="s">
        <v>2427</v>
      </c>
      <c r="F40" s="5158"/>
      <c r="G40" s="448" t="s">
        <v>2428</v>
      </c>
      <c r="H40" s="413"/>
      <c r="I40" s="266">
        <v>3</v>
      </c>
      <c r="J40" s="447" t="s">
        <v>2471</v>
      </c>
      <c r="L40" s="486">
        <v>4</v>
      </c>
      <c r="M40" s="355">
        <v>55</v>
      </c>
      <c r="N40" s="215">
        <v>0</v>
      </c>
      <c r="O40" s="2112"/>
      <c r="P40" s="266">
        <v>15</v>
      </c>
      <c r="Q40" s="284">
        <v>3</v>
      </c>
      <c r="S40" s="3169" t="s">
        <v>1551</v>
      </c>
      <c r="T40" s="3169"/>
      <c r="W40" s="2510"/>
    </row>
    <row r="41" spans="1:113" ht="12.75" customHeight="1" thickBot="1" x14ac:dyDescent="0.25">
      <c r="A41" s="2028">
        <v>41</v>
      </c>
      <c r="B41" s="4995"/>
      <c r="C41" s="266">
        <v>4</v>
      </c>
      <c r="D41" s="305">
        <v>1</v>
      </c>
      <c r="E41" s="5158" t="s">
        <v>2427</v>
      </c>
      <c r="F41" s="5158"/>
      <c r="G41" s="448" t="s">
        <v>2428</v>
      </c>
      <c r="H41" s="413"/>
      <c r="I41" s="266">
        <v>4</v>
      </c>
      <c r="J41" s="447" t="s">
        <v>2472</v>
      </c>
      <c r="L41" s="486">
        <v>5</v>
      </c>
      <c r="M41" s="355">
        <v>70</v>
      </c>
      <c r="N41" s="215">
        <v>5</v>
      </c>
      <c r="O41" s="2112"/>
      <c r="P41" s="266">
        <v>20</v>
      </c>
      <c r="Q41" s="284">
        <v>4</v>
      </c>
      <c r="S41" s="3169"/>
      <c r="T41" s="3169"/>
      <c r="W41" s="2510"/>
    </row>
    <row r="42" spans="1:113" ht="12.75" customHeight="1" x14ac:dyDescent="0.2">
      <c r="A42" s="2028">
        <v>42</v>
      </c>
      <c r="B42" s="4995"/>
      <c r="C42" s="266">
        <v>5</v>
      </c>
      <c r="D42" s="305">
        <v>1</v>
      </c>
      <c r="E42" s="5158" t="s">
        <v>2427</v>
      </c>
      <c r="F42" s="5158"/>
      <c r="G42" s="448" t="s">
        <v>2428</v>
      </c>
      <c r="H42" s="413"/>
      <c r="I42" s="266">
        <v>5</v>
      </c>
      <c r="J42" s="447" t="s">
        <v>2473</v>
      </c>
      <c r="L42" s="486">
        <v>6</v>
      </c>
      <c r="M42" s="355">
        <v>85</v>
      </c>
      <c r="N42" s="215">
        <v>5</v>
      </c>
      <c r="O42" s="2112"/>
      <c r="P42" s="266">
        <v>23</v>
      </c>
      <c r="Q42" s="284">
        <v>5</v>
      </c>
      <c r="S42" s="207">
        <v>0</v>
      </c>
      <c r="T42" s="284">
        <v>200</v>
      </c>
      <c r="W42" s="2510"/>
    </row>
    <row r="43" spans="1:113" ht="12.75" customHeight="1" x14ac:dyDescent="0.2">
      <c r="A43" s="2029">
        <v>43</v>
      </c>
      <c r="B43" s="4995"/>
      <c r="C43" s="266">
        <v>6</v>
      </c>
      <c r="D43" s="305">
        <v>1</v>
      </c>
      <c r="E43" s="5158" t="s">
        <v>2427</v>
      </c>
      <c r="F43" s="5158"/>
      <c r="G43" s="448" t="s">
        <v>2428</v>
      </c>
      <c r="H43" s="413"/>
      <c r="I43" s="266">
        <v>6</v>
      </c>
      <c r="J43" s="447" t="s">
        <v>2474</v>
      </c>
      <c r="L43" s="486">
        <v>7</v>
      </c>
      <c r="M43" s="355">
        <v>95</v>
      </c>
      <c r="N43" s="215">
        <v>5</v>
      </c>
      <c r="O43" s="2112"/>
      <c r="P43" s="266">
        <v>26</v>
      </c>
      <c r="Q43" s="284">
        <v>6</v>
      </c>
      <c r="S43" s="207">
        <v>4</v>
      </c>
      <c r="T43" s="284">
        <v>280</v>
      </c>
      <c r="W43" s="2510"/>
    </row>
    <row r="44" spans="1:113" ht="14.85" customHeight="1" x14ac:dyDescent="0.2">
      <c r="A44" s="2029">
        <v>44</v>
      </c>
      <c r="B44" s="4995"/>
      <c r="C44" s="266">
        <v>7</v>
      </c>
      <c r="D44" s="305">
        <v>1</v>
      </c>
      <c r="E44" s="5158" t="s">
        <v>2427</v>
      </c>
      <c r="F44" s="5158"/>
      <c r="G44" s="448" t="s">
        <v>2428</v>
      </c>
      <c r="H44" s="413"/>
      <c r="I44" s="266">
        <v>7</v>
      </c>
      <c r="J44" s="447" t="s">
        <v>2475</v>
      </c>
      <c r="L44" s="486">
        <v>8</v>
      </c>
      <c r="M44" s="355">
        <v>110</v>
      </c>
      <c r="N44" s="215">
        <v>10</v>
      </c>
      <c r="O44" s="2112"/>
      <c r="P44" s="266">
        <v>29</v>
      </c>
      <c r="Q44" s="284">
        <v>8</v>
      </c>
      <c r="S44" s="207">
        <v>7</v>
      </c>
      <c r="T44" s="284">
        <v>320</v>
      </c>
    </row>
    <row r="45" spans="1:113" ht="14.85" customHeight="1" thickBot="1" x14ac:dyDescent="0.25">
      <c r="A45" s="2029">
        <v>45</v>
      </c>
      <c r="B45" s="4995"/>
      <c r="C45" s="266">
        <v>8</v>
      </c>
      <c r="D45" s="305">
        <v>2</v>
      </c>
      <c r="E45" s="5158" t="s">
        <v>2429</v>
      </c>
      <c r="F45" s="5158"/>
      <c r="G45" s="448" t="s">
        <v>2428</v>
      </c>
      <c r="H45" s="413"/>
      <c r="I45" s="266">
        <v>8</v>
      </c>
      <c r="J45" s="447" t="s">
        <v>2476</v>
      </c>
      <c r="L45" s="486">
        <v>9</v>
      </c>
      <c r="M45" s="355">
        <v>120</v>
      </c>
      <c r="N45" s="215">
        <v>10</v>
      </c>
      <c r="O45" s="2112"/>
      <c r="P45" s="438">
        <v>32</v>
      </c>
      <c r="Q45" s="431">
        <v>10</v>
      </c>
      <c r="S45" s="553">
        <v>10</v>
      </c>
      <c r="T45" s="431">
        <v>1000</v>
      </c>
    </row>
    <row r="46" spans="1:113" ht="14.85" customHeight="1" thickBot="1" x14ac:dyDescent="0.25">
      <c r="A46" s="2028">
        <v>46</v>
      </c>
      <c r="B46" s="4995"/>
      <c r="C46" s="266">
        <v>9</v>
      </c>
      <c r="D46" s="305">
        <v>2</v>
      </c>
      <c r="E46" s="5158" t="s">
        <v>2429</v>
      </c>
      <c r="F46" s="5158"/>
      <c r="G46" s="448" t="s">
        <v>2428</v>
      </c>
      <c r="H46" s="413"/>
      <c r="I46" s="266">
        <v>9</v>
      </c>
      <c r="J46" s="447" t="s">
        <v>2477</v>
      </c>
      <c r="L46" s="486">
        <v>10</v>
      </c>
      <c r="M46" s="355">
        <v>135</v>
      </c>
      <c r="N46" s="215">
        <v>10</v>
      </c>
      <c r="O46" s="2112"/>
    </row>
    <row r="47" spans="1:113" ht="14.85" customHeight="1" thickBot="1" x14ac:dyDescent="0.25">
      <c r="A47" s="2028">
        <v>47</v>
      </c>
      <c r="B47" s="4995"/>
      <c r="C47" s="266">
        <v>10</v>
      </c>
      <c r="D47" s="305">
        <v>3</v>
      </c>
      <c r="E47" s="5158" t="s">
        <v>2430</v>
      </c>
      <c r="F47" s="5158"/>
      <c r="G47" s="448" t="s">
        <v>2428</v>
      </c>
      <c r="H47" s="413"/>
      <c r="I47" s="266">
        <v>10</v>
      </c>
      <c r="J47" s="447" t="s">
        <v>2478</v>
      </c>
      <c r="L47" s="486">
        <v>11</v>
      </c>
      <c r="M47" s="355">
        <v>150</v>
      </c>
      <c r="N47" s="215">
        <v>10</v>
      </c>
      <c r="O47" s="2112"/>
      <c r="S47" s="3169" t="s">
        <v>1134</v>
      </c>
    </row>
    <row r="48" spans="1:113" ht="14.85" customHeight="1" thickBot="1" x14ac:dyDescent="0.25">
      <c r="A48" s="2028">
        <v>48</v>
      </c>
      <c r="B48" s="4995"/>
      <c r="C48" s="266">
        <v>11</v>
      </c>
      <c r="D48" s="305">
        <v>4</v>
      </c>
      <c r="E48" s="5158" t="s">
        <v>2431</v>
      </c>
      <c r="F48" s="5158"/>
      <c r="G48" s="448" t="s">
        <v>2432</v>
      </c>
      <c r="H48" s="413"/>
      <c r="I48" s="266">
        <v>11</v>
      </c>
      <c r="J48" s="447" t="s">
        <v>2479</v>
      </c>
      <c r="L48" s="486">
        <v>12</v>
      </c>
      <c r="M48" s="355">
        <v>160</v>
      </c>
      <c r="N48" s="215">
        <v>15</v>
      </c>
      <c r="O48" s="2112"/>
      <c r="S48" s="3169"/>
    </row>
    <row r="49" spans="1:19" ht="14.85" customHeight="1" x14ac:dyDescent="0.2">
      <c r="A49" s="2029">
        <v>49</v>
      </c>
      <c r="B49" s="4995"/>
      <c r="C49" s="266">
        <v>12</v>
      </c>
      <c r="D49" s="305">
        <v>5</v>
      </c>
      <c r="E49" s="5158" t="s">
        <v>2433</v>
      </c>
      <c r="F49" s="5158"/>
      <c r="G49" s="448" t="s">
        <v>2432</v>
      </c>
      <c r="H49" s="413"/>
      <c r="I49" s="266">
        <v>12</v>
      </c>
      <c r="J49" s="447" t="s">
        <v>2480</v>
      </c>
      <c r="L49" s="486">
        <v>13</v>
      </c>
      <c r="M49" s="355">
        <v>175</v>
      </c>
      <c r="N49" s="215">
        <v>15</v>
      </c>
      <c r="O49" s="2112"/>
      <c r="S49" s="565" t="s">
        <v>1769</v>
      </c>
    </row>
    <row r="50" spans="1:19" ht="14.85" customHeight="1" x14ac:dyDescent="0.2">
      <c r="A50" s="2029">
        <v>50</v>
      </c>
      <c r="B50" s="4995"/>
      <c r="C50" s="266">
        <v>13</v>
      </c>
      <c r="D50" s="305">
        <v>6</v>
      </c>
      <c r="E50" s="5158" t="s">
        <v>2434</v>
      </c>
      <c r="F50" s="5158"/>
      <c r="G50" s="448" t="s">
        <v>2432</v>
      </c>
      <c r="H50" s="413"/>
      <c r="I50" s="266">
        <v>13</v>
      </c>
      <c r="J50" s="447" t="s">
        <v>2481</v>
      </c>
      <c r="L50" s="486">
        <v>14</v>
      </c>
      <c r="M50" s="355">
        <v>185</v>
      </c>
      <c r="N50" s="215">
        <v>15</v>
      </c>
      <c r="O50" s="2112"/>
      <c r="S50" s="565" t="s">
        <v>1868</v>
      </c>
    </row>
    <row r="51" spans="1:19" ht="12.75" customHeight="1" x14ac:dyDescent="0.2">
      <c r="A51" s="2029">
        <v>51</v>
      </c>
      <c r="B51" s="4995"/>
      <c r="C51" s="266">
        <v>14</v>
      </c>
      <c r="D51" s="305">
        <v>7</v>
      </c>
      <c r="E51" s="5158" t="s">
        <v>2435</v>
      </c>
      <c r="F51" s="5158"/>
      <c r="G51" s="448" t="s">
        <v>2436</v>
      </c>
      <c r="H51" s="413"/>
      <c r="I51" s="266">
        <v>14</v>
      </c>
      <c r="J51" s="447" t="s">
        <v>2482</v>
      </c>
      <c r="L51" s="486">
        <v>15</v>
      </c>
      <c r="M51" s="355">
        <v>200</v>
      </c>
      <c r="N51" s="215">
        <v>20</v>
      </c>
      <c r="O51" s="2112"/>
      <c r="S51" s="565" t="s">
        <v>1813</v>
      </c>
    </row>
    <row r="52" spans="1:19" ht="12.75" customHeight="1" x14ac:dyDescent="0.2">
      <c r="A52" s="2029">
        <v>52</v>
      </c>
      <c r="B52" s="4995"/>
      <c r="C52" s="266">
        <v>15</v>
      </c>
      <c r="D52" s="305">
        <v>8</v>
      </c>
      <c r="E52" s="5158" t="s">
        <v>2437</v>
      </c>
      <c r="F52" s="5158"/>
      <c r="G52" s="448" t="s">
        <v>2438</v>
      </c>
      <c r="H52" s="413"/>
      <c r="I52" s="266">
        <v>15</v>
      </c>
      <c r="J52" s="447" t="s">
        <v>2483</v>
      </c>
      <c r="L52" s="486">
        <v>16</v>
      </c>
      <c r="M52" s="355">
        <v>215</v>
      </c>
      <c r="N52" s="215">
        <v>25</v>
      </c>
      <c r="O52" s="2112"/>
      <c r="S52" s="565" t="s">
        <v>1869</v>
      </c>
    </row>
    <row r="53" spans="1:19" ht="12.75" customHeight="1" x14ac:dyDescent="0.2">
      <c r="A53" s="2029">
        <v>53</v>
      </c>
      <c r="B53" s="4995"/>
      <c r="C53" s="266">
        <v>16</v>
      </c>
      <c r="D53" s="305">
        <v>9</v>
      </c>
      <c r="E53" s="5158" t="s">
        <v>2439</v>
      </c>
      <c r="F53" s="5158"/>
      <c r="G53" s="448" t="s">
        <v>2440</v>
      </c>
      <c r="H53" s="413"/>
      <c r="I53" s="266">
        <v>16</v>
      </c>
      <c r="J53" s="447" t="s">
        <v>2484</v>
      </c>
      <c r="L53" s="486">
        <v>17</v>
      </c>
      <c r="M53" s="355">
        <v>225</v>
      </c>
      <c r="N53" s="215">
        <v>25</v>
      </c>
      <c r="O53" s="2112"/>
      <c r="S53" s="565" t="s">
        <v>1870</v>
      </c>
    </row>
    <row r="54" spans="1:19" ht="12.75" customHeight="1" x14ac:dyDescent="0.2">
      <c r="A54" s="2029">
        <v>54</v>
      </c>
      <c r="B54" s="4995"/>
      <c r="C54" s="266">
        <v>17</v>
      </c>
      <c r="D54" s="305">
        <v>10</v>
      </c>
      <c r="E54" s="5158" t="s">
        <v>2441</v>
      </c>
      <c r="F54" s="5158"/>
      <c r="G54" s="448" t="s">
        <v>2442</v>
      </c>
      <c r="H54" s="413"/>
      <c r="I54" s="266">
        <v>17</v>
      </c>
      <c r="J54" s="447" t="s">
        <v>2485</v>
      </c>
      <c r="L54" s="486">
        <v>18</v>
      </c>
      <c r="M54" s="355">
        <v>240</v>
      </c>
      <c r="N54" s="215">
        <v>30</v>
      </c>
      <c r="O54" s="2112"/>
      <c r="S54" s="565" t="s">
        <v>1871</v>
      </c>
    </row>
    <row r="55" spans="1:19" ht="12.75" customHeight="1" x14ac:dyDescent="0.2">
      <c r="A55" s="2028">
        <v>55</v>
      </c>
      <c r="B55" s="4995"/>
      <c r="C55" s="266">
        <v>18</v>
      </c>
      <c r="D55" s="305">
        <v>11</v>
      </c>
      <c r="E55" s="5158" t="s">
        <v>2443</v>
      </c>
      <c r="F55" s="5158"/>
      <c r="G55" s="448" t="s">
        <v>2444</v>
      </c>
      <c r="H55" s="413"/>
      <c r="I55" s="266">
        <v>18</v>
      </c>
      <c r="J55" s="447" t="s">
        <v>2486</v>
      </c>
      <c r="L55" s="486">
        <v>19</v>
      </c>
      <c r="M55" s="355">
        <v>250</v>
      </c>
      <c r="N55" s="215">
        <v>30</v>
      </c>
      <c r="O55" s="2112"/>
      <c r="S55" s="565" t="s">
        <v>1872</v>
      </c>
    </row>
    <row r="56" spans="1:19" ht="12.75" customHeight="1" thickBot="1" x14ac:dyDescent="0.25">
      <c r="A56" s="2028">
        <v>56</v>
      </c>
      <c r="B56" s="4995"/>
      <c r="C56" s="266">
        <v>19</v>
      </c>
      <c r="D56" s="305">
        <v>12</v>
      </c>
      <c r="E56" s="5158" t="s">
        <v>2445</v>
      </c>
      <c r="F56" s="5158"/>
      <c r="G56" s="448" t="s">
        <v>2446</v>
      </c>
      <c r="H56" s="413"/>
      <c r="I56" s="266">
        <v>19</v>
      </c>
      <c r="J56" s="447" t="s">
        <v>2487</v>
      </c>
      <c r="L56" s="487">
        <v>20</v>
      </c>
      <c r="M56" s="439">
        <v>265</v>
      </c>
      <c r="N56" s="488">
        <v>35</v>
      </c>
      <c r="O56" s="2112"/>
      <c r="S56" s="581" t="s">
        <v>1873</v>
      </c>
    </row>
    <row r="57" spans="1:19" ht="12.75" customHeight="1" thickBot="1" x14ac:dyDescent="0.25">
      <c r="A57" s="2028">
        <v>57</v>
      </c>
      <c r="B57" s="4995"/>
      <c r="C57" s="266">
        <v>20</v>
      </c>
      <c r="D57" s="305">
        <v>12</v>
      </c>
      <c r="E57" s="5158" t="s">
        <v>2445</v>
      </c>
      <c r="F57" s="5158"/>
      <c r="G57" s="448" t="s">
        <v>2447</v>
      </c>
      <c r="H57" s="413"/>
      <c r="I57" s="438">
        <v>20</v>
      </c>
      <c r="J57" s="453" t="s">
        <v>2488</v>
      </c>
      <c r="N57" s="413"/>
      <c r="O57" s="2112"/>
    </row>
    <row r="58" spans="1:19" ht="12.75" customHeight="1" x14ac:dyDescent="0.2">
      <c r="A58" s="2029">
        <v>58</v>
      </c>
      <c r="B58" s="4995"/>
      <c r="C58" s="65"/>
      <c r="D58" s="305">
        <v>13</v>
      </c>
      <c r="E58" s="5158" t="s">
        <v>2448</v>
      </c>
      <c r="F58" s="5158"/>
      <c r="G58" s="448" t="s">
        <v>2449</v>
      </c>
      <c r="H58" s="413"/>
      <c r="I58" s="1761"/>
      <c r="N58" s="413"/>
      <c r="O58" s="2112"/>
    </row>
    <row r="59" spans="1:19" ht="12.75" customHeight="1" x14ac:dyDescent="0.2">
      <c r="A59" s="2029">
        <v>59</v>
      </c>
      <c r="B59" s="4995"/>
      <c r="C59" s="65"/>
      <c r="D59" s="305">
        <v>14</v>
      </c>
      <c r="E59" s="5158" t="s">
        <v>2450</v>
      </c>
      <c r="F59" s="5158"/>
      <c r="G59" s="448" t="s">
        <v>2451</v>
      </c>
      <c r="H59" s="413"/>
      <c r="I59" s="1761"/>
      <c r="N59" s="413"/>
      <c r="O59" s="2112"/>
    </row>
    <row r="60" spans="1:19" ht="12.75" customHeight="1" x14ac:dyDescent="0.2">
      <c r="A60" s="2029">
        <v>60</v>
      </c>
      <c r="B60" s="4995"/>
      <c r="C60" s="65"/>
      <c r="D60" s="305">
        <v>15</v>
      </c>
      <c r="E60" s="5158" t="s">
        <v>2452</v>
      </c>
      <c r="F60" s="5158"/>
      <c r="G60" s="448" t="s">
        <v>2453</v>
      </c>
      <c r="H60" s="413"/>
      <c r="I60" s="1761"/>
      <c r="N60" s="413"/>
      <c r="O60" s="2112"/>
    </row>
    <row r="61" spans="1:19" ht="12.75" customHeight="1" x14ac:dyDescent="0.2">
      <c r="A61" s="2028">
        <v>61</v>
      </c>
      <c r="B61" s="4995"/>
      <c r="C61" s="65"/>
      <c r="D61" s="305">
        <v>16</v>
      </c>
      <c r="E61" s="5158" t="s">
        <v>2454</v>
      </c>
      <c r="F61" s="5158"/>
      <c r="G61" s="448" t="s">
        <v>2455</v>
      </c>
      <c r="H61" s="413"/>
      <c r="I61" s="1761"/>
      <c r="N61" s="413"/>
      <c r="O61" s="2112"/>
    </row>
    <row r="62" spans="1:19" ht="12.75" customHeight="1" x14ac:dyDescent="0.2">
      <c r="A62" s="2028">
        <v>62</v>
      </c>
      <c r="B62" s="4995"/>
      <c r="C62" s="65"/>
      <c r="D62" s="305">
        <v>17</v>
      </c>
      <c r="E62" s="5158" t="s">
        <v>2456</v>
      </c>
      <c r="F62" s="5158"/>
      <c r="G62" s="448" t="s">
        <v>2457</v>
      </c>
      <c r="H62" s="413"/>
      <c r="I62" s="1761"/>
      <c r="N62" s="413"/>
      <c r="O62" s="2112"/>
    </row>
    <row r="63" spans="1:19" ht="12.75" customHeight="1" x14ac:dyDescent="0.2">
      <c r="A63" s="2028">
        <v>63</v>
      </c>
      <c r="B63" s="4995"/>
      <c r="C63" s="65"/>
      <c r="D63" s="305">
        <v>18</v>
      </c>
      <c r="E63" s="5158" t="s">
        <v>2458</v>
      </c>
      <c r="F63" s="5158"/>
      <c r="G63" s="448" t="s">
        <v>2459</v>
      </c>
      <c r="H63" s="413"/>
      <c r="I63" s="1761"/>
      <c r="N63" s="413"/>
      <c r="O63" s="2112"/>
    </row>
    <row r="64" spans="1:19" ht="12.75" customHeight="1" x14ac:dyDescent="0.2">
      <c r="A64" s="2029">
        <v>64</v>
      </c>
      <c r="B64" s="4995"/>
      <c r="C64" s="65"/>
      <c r="D64" s="305">
        <v>19</v>
      </c>
      <c r="E64" s="5158" t="s">
        <v>2460</v>
      </c>
      <c r="F64" s="5158"/>
      <c r="G64" s="448" t="s">
        <v>2461</v>
      </c>
      <c r="H64" s="413"/>
      <c r="I64" s="1761"/>
      <c r="N64" s="413"/>
      <c r="O64" s="2112"/>
    </row>
    <row r="65" spans="1:19" ht="12.75" customHeight="1" thickBot="1" x14ac:dyDescent="0.25">
      <c r="A65" s="2029">
        <v>65</v>
      </c>
      <c r="B65" s="4995"/>
      <c r="C65" s="198"/>
      <c r="D65" s="1855">
        <v>20</v>
      </c>
      <c r="E65" s="5179" t="s">
        <v>2462</v>
      </c>
      <c r="F65" s="5179"/>
      <c r="G65" s="450" t="s">
        <v>2461</v>
      </c>
      <c r="H65" s="413"/>
      <c r="I65" s="1761"/>
      <c r="N65" s="413"/>
      <c r="O65" s="2112"/>
    </row>
    <row r="66" spans="1:19" ht="12.75" customHeight="1" thickBot="1" x14ac:dyDescent="0.25">
      <c r="A66" s="2029">
        <v>66</v>
      </c>
      <c r="B66" s="4995"/>
      <c r="H66" s="413"/>
      <c r="I66" s="1761"/>
      <c r="N66" s="413"/>
      <c r="O66" s="2112"/>
    </row>
    <row r="67" spans="1:19" ht="12.75" customHeight="1" thickBot="1" x14ac:dyDescent="0.25">
      <c r="A67" s="2029">
        <v>67</v>
      </c>
      <c r="B67" s="4995"/>
      <c r="C67" s="5056" t="s">
        <v>9164</v>
      </c>
      <c r="D67" s="5057"/>
      <c r="F67" s="5067" t="s">
        <v>1446</v>
      </c>
      <c r="G67" s="5067"/>
      <c r="H67" s="5067"/>
      <c r="J67" s="5067" t="s">
        <v>2534</v>
      </c>
      <c r="K67" s="5067"/>
      <c r="L67" s="5067"/>
      <c r="N67" s="5067" t="s">
        <v>2537</v>
      </c>
      <c r="O67" s="5067"/>
      <c r="P67" s="5067"/>
      <c r="R67" s="5044" t="s">
        <v>1788</v>
      </c>
      <c r="S67" s="5044"/>
    </row>
    <row r="68" spans="1:19" ht="12.75" customHeight="1" x14ac:dyDescent="0.2">
      <c r="A68" s="2029">
        <v>68</v>
      </c>
      <c r="B68" s="4995"/>
      <c r="C68" s="2423">
        <v>0</v>
      </c>
      <c r="D68" s="1997">
        <v>0</v>
      </c>
      <c r="F68" s="5067"/>
      <c r="G68" s="5067"/>
      <c r="H68" s="5067"/>
      <c r="J68" s="5067"/>
      <c r="K68" s="5067"/>
      <c r="L68" s="5067"/>
      <c r="N68" s="5067"/>
      <c r="O68" s="5067"/>
      <c r="P68" s="5067"/>
      <c r="R68" s="5044"/>
      <c r="S68" s="5044"/>
    </row>
    <row r="69" spans="1:19" ht="12.75" customHeight="1" thickBot="1" x14ac:dyDescent="0.25">
      <c r="A69" s="2029">
        <v>69</v>
      </c>
      <c r="B69" s="4995"/>
      <c r="C69" s="2423">
        <v>1</v>
      </c>
      <c r="D69" s="1997">
        <v>0</v>
      </c>
      <c r="F69" s="536" t="s">
        <v>1688</v>
      </c>
      <c r="G69" s="537" t="s">
        <v>1689</v>
      </c>
      <c r="H69" s="538" t="s">
        <v>1447</v>
      </c>
      <c r="J69" s="475" t="s">
        <v>2535</v>
      </c>
      <c r="K69" s="476" t="s">
        <v>1670</v>
      </c>
      <c r="L69" s="477" t="s">
        <v>2536</v>
      </c>
      <c r="N69" s="475" t="s">
        <v>2538</v>
      </c>
      <c r="O69" s="480" t="s">
        <v>2539</v>
      </c>
      <c r="P69" s="477" t="s">
        <v>2536</v>
      </c>
      <c r="R69" s="418" t="s">
        <v>1698</v>
      </c>
      <c r="S69" s="420" t="s">
        <v>1445</v>
      </c>
    </row>
    <row r="70" spans="1:19" ht="12.75" customHeight="1" x14ac:dyDescent="0.2">
      <c r="A70" s="2028">
        <v>70</v>
      </c>
      <c r="B70" s="4995"/>
      <c r="C70" s="2423">
        <v>2</v>
      </c>
      <c r="D70" s="1997">
        <v>100</v>
      </c>
      <c r="F70" s="478">
        <v>0</v>
      </c>
      <c r="G70" s="441">
        <v>0</v>
      </c>
      <c r="H70" s="479"/>
      <c r="J70" s="478">
        <v>0</v>
      </c>
      <c r="K70" s="441" t="s">
        <v>1769</v>
      </c>
      <c r="L70" s="479" t="s">
        <v>1769</v>
      </c>
      <c r="N70" s="478">
        <v>0</v>
      </c>
      <c r="O70" s="463" t="s">
        <v>2540</v>
      </c>
      <c r="P70" s="479">
        <v>0</v>
      </c>
      <c r="R70" s="534">
        <v>1</v>
      </c>
      <c r="S70" s="215">
        <v>1</v>
      </c>
    </row>
    <row r="71" spans="1:19" ht="12.75" customHeight="1" x14ac:dyDescent="0.2">
      <c r="A71" s="2028">
        <v>71</v>
      </c>
      <c r="B71" s="4995"/>
      <c r="C71" s="2423">
        <v>3</v>
      </c>
      <c r="D71" s="1997">
        <v>225</v>
      </c>
      <c r="F71" s="266">
        <v>5</v>
      </c>
      <c r="G71" s="263">
        <v>0</v>
      </c>
      <c r="H71" s="523"/>
      <c r="J71" s="266">
        <v>9</v>
      </c>
      <c r="K71" s="263">
        <v>20</v>
      </c>
      <c r="L71" s="284">
        <v>5</v>
      </c>
      <c r="N71" s="266">
        <v>10</v>
      </c>
      <c r="O71" s="355" t="s">
        <v>2541</v>
      </c>
      <c r="P71" s="284">
        <v>-1</v>
      </c>
      <c r="R71" s="534">
        <v>2</v>
      </c>
      <c r="S71" s="215">
        <v>1</v>
      </c>
    </row>
    <row r="72" spans="1:19" ht="12.75" customHeight="1" x14ac:dyDescent="0.2">
      <c r="A72" s="2028">
        <v>72</v>
      </c>
      <c r="B72" s="4995"/>
      <c r="C72" s="2423">
        <v>4</v>
      </c>
      <c r="D72" s="1997">
        <v>375</v>
      </c>
      <c r="F72" s="266">
        <v>10</v>
      </c>
      <c r="G72" s="263">
        <v>0</v>
      </c>
      <c r="H72" s="523"/>
      <c r="J72" s="266">
        <v>13</v>
      </c>
      <c r="K72" s="263">
        <v>30</v>
      </c>
      <c r="L72" s="284">
        <v>10</v>
      </c>
      <c r="N72" s="266">
        <v>20</v>
      </c>
      <c r="O72" s="355" t="s">
        <v>2542</v>
      </c>
      <c r="P72" s="284">
        <v>-3</v>
      </c>
      <c r="R72" s="534">
        <v>3</v>
      </c>
      <c r="S72" s="215">
        <v>1</v>
      </c>
    </row>
    <row r="73" spans="1:19" ht="12.75" customHeight="1" x14ac:dyDescent="0.2">
      <c r="A73" s="2029">
        <v>73</v>
      </c>
      <c r="B73" s="4995"/>
      <c r="C73" s="2423">
        <v>5</v>
      </c>
      <c r="D73" s="1997">
        <v>550</v>
      </c>
      <c r="F73" s="266">
        <v>15</v>
      </c>
      <c r="G73" s="263">
        <v>0</v>
      </c>
      <c r="H73" s="523"/>
      <c r="J73" s="266">
        <v>16</v>
      </c>
      <c r="K73" s="263">
        <v>50</v>
      </c>
      <c r="L73" s="284">
        <v>15</v>
      </c>
      <c r="N73" s="266">
        <v>30</v>
      </c>
      <c r="O73" s="355" t="s">
        <v>2543</v>
      </c>
      <c r="P73" s="284">
        <v>-5</v>
      </c>
      <c r="R73" s="534">
        <v>4</v>
      </c>
      <c r="S73" s="215">
        <v>1</v>
      </c>
    </row>
    <row r="74" spans="1:19" ht="12.75" customHeight="1" x14ac:dyDescent="0.2">
      <c r="A74" s="2029">
        <v>74</v>
      </c>
      <c r="B74" s="4995"/>
      <c r="C74" s="2423">
        <v>6</v>
      </c>
      <c r="D74" s="1997">
        <v>750</v>
      </c>
      <c r="F74" s="266">
        <v>20</v>
      </c>
      <c r="G74" s="263">
        <v>0</v>
      </c>
      <c r="H74" s="523"/>
      <c r="J74" s="266">
        <v>19</v>
      </c>
      <c r="K74" s="263">
        <v>80</v>
      </c>
      <c r="L74" s="284">
        <v>20</v>
      </c>
      <c r="N74" s="266">
        <v>40</v>
      </c>
      <c r="O74" s="355" t="s">
        <v>2544</v>
      </c>
      <c r="P74" s="284">
        <v>-10</v>
      </c>
      <c r="R74" s="534">
        <v>5</v>
      </c>
      <c r="S74" s="215">
        <v>1</v>
      </c>
    </row>
    <row r="75" spans="1:19" ht="12.75" customHeight="1" x14ac:dyDescent="0.2">
      <c r="A75" s="2029">
        <v>75</v>
      </c>
      <c r="B75" s="4995"/>
      <c r="C75" s="2423">
        <v>7</v>
      </c>
      <c r="D75" s="1997">
        <v>975</v>
      </c>
      <c r="F75" s="266">
        <v>25</v>
      </c>
      <c r="G75" s="263">
        <v>0</v>
      </c>
      <c r="H75" s="523"/>
      <c r="J75" s="266">
        <v>22</v>
      </c>
      <c r="K75" s="263">
        <v>120</v>
      </c>
      <c r="L75" s="284">
        <v>25</v>
      </c>
      <c r="N75" s="266">
        <v>50</v>
      </c>
      <c r="O75" s="355" t="s">
        <v>2545</v>
      </c>
      <c r="P75" s="284">
        <v>-15</v>
      </c>
      <c r="R75" s="534">
        <v>6</v>
      </c>
      <c r="S75" s="215">
        <v>2</v>
      </c>
    </row>
    <row r="76" spans="1:19" ht="12.75" customHeight="1" x14ac:dyDescent="0.2">
      <c r="A76" s="2028">
        <v>76</v>
      </c>
      <c r="B76" s="4995"/>
      <c r="C76" s="2423">
        <v>8</v>
      </c>
      <c r="D76" s="1997">
        <v>1225</v>
      </c>
      <c r="F76" s="266">
        <v>30</v>
      </c>
      <c r="G76" s="263">
        <v>50</v>
      </c>
      <c r="H76" s="523">
        <v>1</v>
      </c>
      <c r="J76" s="266">
        <v>25</v>
      </c>
      <c r="K76" s="263">
        <v>150</v>
      </c>
      <c r="L76" s="284">
        <v>30</v>
      </c>
      <c r="N76" s="266">
        <v>70</v>
      </c>
      <c r="O76" s="355" t="s">
        <v>2546</v>
      </c>
      <c r="P76" s="284">
        <v>-25</v>
      </c>
      <c r="R76" s="534">
        <v>7</v>
      </c>
      <c r="S76" s="215">
        <v>3</v>
      </c>
    </row>
    <row r="77" spans="1:19" ht="12.75" customHeight="1" thickBot="1" x14ac:dyDescent="0.25">
      <c r="A77" s="2028">
        <v>77</v>
      </c>
      <c r="B77" s="4995"/>
      <c r="C77" s="2423">
        <v>9</v>
      </c>
      <c r="D77" s="1997">
        <v>1500</v>
      </c>
      <c r="F77" s="266">
        <v>35</v>
      </c>
      <c r="G77" s="263">
        <v>150</v>
      </c>
      <c r="H77" s="523">
        <v>3</v>
      </c>
      <c r="J77" s="266">
        <v>29</v>
      </c>
      <c r="K77" s="263">
        <v>200</v>
      </c>
      <c r="L77" s="284">
        <v>40</v>
      </c>
      <c r="N77" s="438">
        <v>100</v>
      </c>
      <c r="O77" s="439" t="s">
        <v>2547</v>
      </c>
      <c r="P77" s="481" t="s">
        <v>1769</v>
      </c>
      <c r="R77" s="534">
        <v>8</v>
      </c>
      <c r="S77" s="215">
        <v>4</v>
      </c>
    </row>
    <row r="78" spans="1:19" ht="12.75" customHeight="1" x14ac:dyDescent="0.2">
      <c r="A78" s="2028">
        <v>78</v>
      </c>
      <c r="B78" s="4995"/>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4995"/>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4995"/>
      <c r="C80" s="2423">
        <v>12</v>
      </c>
      <c r="D80" s="1997">
        <v>2475</v>
      </c>
      <c r="F80" s="438">
        <v>50</v>
      </c>
      <c r="G80" s="439">
        <v>750</v>
      </c>
      <c r="H80" s="539">
        <v>15</v>
      </c>
      <c r="N80" s="413"/>
      <c r="R80" s="534">
        <v>11</v>
      </c>
      <c r="S80" s="215">
        <v>6</v>
      </c>
    </row>
    <row r="81" spans="1:19" ht="12.75" customHeight="1" thickBot="1" x14ac:dyDescent="0.25">
      <c r="A81" s="2029">
        <v>81</v>
      </c>
      <c r="B81" s="4995"/>
      <c r="C81" s="2423">
        <v>13</v>
      </c>
      <c r="D81" s="1997">
        <v>2850</v>
      </c>
      <c r="H81" s="413"/>
      <c r="N81" s="413"/>
      <c r="R81" s="534">
        <v>12</v>
      </c>
      <c r="S81" s="215">
        <v>7</v>
      </c>
    </row>
    <row r="82" spans="1:19" ht="12.75" customHeight="1" x14ac:dyDescent="0.2">
      <c r="A82" s="2029">
        <v>82</v>
      </c>
      <c r="B82" s="4995"/>
      <c r="C82" s="2423">
        <v>14</v>
      </c>
      <c r="D82" s="1997">
        <v>3250</v>
      </c>
      <c r="F82" s="3997" t="s">
        <v>9162</v>
      </c>
      <c r="G82" s="3999"/>
      <c r="H82" s="413"/>
      <c r="N82" s="413"/>
      <c r="R82" s="534">
        <v>13</v>
      </c>
      <c r="S82" s="215">
        <v>8</v>
      </c>
    </row>
    <row r="83" spans="1:19" ht="12.75" customHeight="1" thickBot="1" x14ac:dyDescent="0.25">
      <c r="A83" s="2029">
        <v>83</v>
      </c>
      <c r="B83" s="4995"/>
      <c r="C83" s="2423">
        <v>15</v>
      </c>
      <c r="D83" s="1997">
        <v>3675</v>
      </c>
      <c r="F83" s="5081"/>
      <c r="G83" s="5157"/>
      <c r="H83" s="413"/>
      <c r="N83" s="413"/>
      <c r="R83" s="534">
        <v>14</v>
      </c>
      <c r="S83" s="215">
        <v>9</v>
      </c>
    </row>
    <row r="84" spans="1:19" ht="12.75" customHeight="1" x14ac:dyDescent="0.2">
      <c r="A84" s="2029">
        <v>84</v>
      </c>
      <c r="B84" s="4995"/>
      <c r="C84" s="2423">
        <v>16</v>
      </c>
      <c r="D84" s="1997">
        <f>D83+450+25*MAX(0,C84-16)</f>
        <v>4125</v>
      </c>
      <c r="F84" s="1959" t="s">
        <v>1689</v>
      </c>
      <c r="G84" s="1877"/>
      <c r="H84" s="413"/>
      <c r="N84" s="413"/>
      <c r="R84" s="534">
        <v>15</v>
      </c>
      <c r="S84" s="215">
        <v>10</v>
      </c>
    </row>
    <row r="85" spans="1:19" ht="12.75" customHeight="1" thickBot="1" x14ac:dyDescent="0.25">
      <c r="A85" s="2028">
        <v>85</v>
      </c>
      <c r="B85" s="4995"/>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4995"/>
      <c r="C86" s="2423">
        <v>18</v>
      </c>
      <c r="D86" s="1997">
        <f t="shared" si="2"/>
        <v>5100</v>
      </c>
      <c r="H86" s="413"/>
      <c r="N86" s="413"/>
      <c r="R86" s="534">
        <v>17</v>
      </c>
      <c r="S86" s="215">
        <v>10</v>
      </c>
    </row>
    <row r="87" spans="1:19" ht="12.75" customHeight="1" thickBot="1" x14ac:dyDescent="0.25">
      <c r="A87" s="2028">
        <v>87</v>
      </c>
      <c r="B87" s="4995"/>
      <c r="C87" s="2423">
        <v>19</v>
      </c>
      <c r="D87" s="1997">
        <f t="shared" si="2"/>
        <v>5625</v>
      </c>
      <c r="F87" s="5067" t="s">
        <v>2397</v>
      </c>
      <c r="G87" s="5067"/>
      <c r="H87" s="5067"/>
      <c r="I87" s="5067"/>
      <c r="J87" s="5067"/>
      <c r="K87" s="5067"/>
      <c r="L87" s="5067"/>
      <c r="M87" s="5067"/>
      <c r="N87" s="5067"/>
      <c r="O87" s="5067"/>
      <c r="R87" s="534">
        <v>18</v>
      </c>
      <c r="S87" s="215">
        <v>10</v>
      </c>
    </row>
    <row r="88" spans="1:19" ht="12.75" customHeight="1" x14ac:dyDescent="0.2">
      <c r="A88" s="2029">
        <v>88</v>
      </c>
      <c r="B88" s="4995"/>
      <c r="C88" s="2423">
        <v>20</v>
      </c>
      <c r="D88" s="1997">
        <f t="shared" si="2"/>
        <v>6175</v>
      </c>
      <c r="F88" s="5067"/>
      <c r="G88" s="5067"/>
      <c r="H88" s="5067"/>
      <c r="I88" s="5067"/>
      <c r="J88" s="5067"/>
      <c r="K88" s="5067"/>
      <c r="L88" s="5067"/>
      <c r="M88" s="5067"/>
      <c r="N88" s="5067"/>
      <c r="O88" s="5067"/>
      <c r="R88" s="534">
        <v>19</v>
      </c>
      <c r="S88" s="215">
        <v>10</v>
      </c>
    </row>
    <row r="89" spans="1:19" ht="12.75" customHeight="1" thickBot="1" x14ac:dyDescent="0.25">
      <c r="A89" s="2029">
        <v>89</v>
      </c>
      <c r="B89" s="4995"/>
      <c r="C89" s="2423">
        <v>21</v>
      </c>
      <c r="D89" s="1997">
        <f t="shared" si="2"/>
        <v>6750</v>
      </c>
      <c r="F89" s="435" t="s">
        <v>2398</v>
      </c>
      <c r="G89" s="436" t="s">
        <v>2246</v>
      </c>
      <c r="H89" s="436" t="s">
        <v>2399</v>
      </c>
      <c r="I89" s="436" t="s">
        <v>2400</v>
      </c>
      <c r="J89" s="436" t="s">
        <v>2401</v>
      </c>
      <c r="K89" s="436" t="s">
        <v>1864</v>
      </c>
      <c r="L89" s="1854" t="s">
        <v>2402</v>
      </c>
      <c r="M89" s="2554" t="s">
        <v>2403</v>
      </c>
      <c r="N89" s="436" t="s">
        <v>1895</v>
      </c>
      <c r="O89" s="437" t="s">
        <v>2404</v>
      </c>
      <c r="R89" s="535">
        <v>20</v>
      </c>
      <c r="S89" s="488">
        <v>10</v>
      </c>
    </row>
    <row r="90" spans="1:19" ht="12.75" customHeight="1" x14ac:dyDescent="0.2">
      <c r="A90" s="2029">
        <v>90</v>
      </c>
      <c r="B90" s="4995"/>
      <c r="C90" s="2423">
        <v>22</v>
      </c>
      <c r="D90" s="1997">
        <f t="shared" si="2"/>
        <v>7350</v>
      </c>
      <c r="F90" s="266">
        <v>-5</v>
      </c>
      <c r="G90" s="263" t="s">
        <v>2405</v>
      </c>
      <c r="H90" s="263">
        <v>40</v>
      </c>
      <c r="I90" s="263">
        <v>-4</v>
      </c>
      <c r="J90" s="263">
        <v>1</v>
      </c>
      <c r="K90" s="263">
        <v>1</v>
      </c>
      <c r="L90" s="305">
        <f>5</f>
        <v>5</v>
      </c>
      <c r="M90" s="263">
        <f>20-IF(Raza="Daimah",10,0)</f>
        <v>20</v>
      </c>
      <c r="N90" s="263">
        <v>-4</v>
      </c>
      <c r="O90" s="284">
        <v>4</v>
      </c>
    </row>
    <row r="91" spans="1:19" ht="12.75" customHeight="1" x14ac:dyDescent="0.2">
      <c r="A91" s="2028">
        <v>91</v>
      </c>
      <c r="B91" s="4995"/>
      <c r="C91" s="2423">
        <v>23</v>
      </c>
      <c r="D91" s="1997">
        <f t="shared" si="2"/>
        <v>7975</v>
      </c>
      <c r="F91" s="266">
        <v>1</v>
      </c>
      <c r="G91" s="263" t="s">
        <v>2405</v>
      </c>
      <c r="H91" s="263">
        <v>40</v>
      </c>
      <c r="I91" s="263">
        <v>-4</v>
      </c>
      <c r="J91" s="263">
        <v>1</v>
      </c>
      <c r="K91" s="263">
        <v>1</v>
      </c>
      <c r="L91" s="305">
        <f>5</f>
        <v>5</v>
      </c>
      <c r="M91" s="263">
        <f>20-IF(Raza="Daimah",10,0)</f>
        <v>20</v>
      </c>
      <c r="N91" s="263">
        <v>-4</v>
      </c>
      <c r="O91" s="284">
        <v>4</v>
      </c>
    </row>
    <row r="92" spans="1:19" ht="12.75" customHeight="1" x14ac:dyDescent="0.2">
      <c r="A92" s="2028">
        <v>92</v>
      </c>
      <c r="B92" s="4995"/>
      <c r="C92" s="2423">
        <v>24</v>
      </c>
      <c r="D92" s="1997">
        <f t="shared" si="2"/>
        <v>8625</v>
      </c>
      <c r="F92" s="266">
        <v>4</v>
      </c>
      <c r="G92" s="263" t="s">
        <v>2406</v>
      </c>
      <c r="H92" s="263">
        <v>30</v>
      </c>
      <c r="I92" s="263">
        <v>-2</v>
      </c>
      <c r="J92" s="263">
        <v>2</v>
      </c>
      <c r="K92" s="263">
        <v>2</v>
      </c>
      <c r="L92" s="305">
        <f>10</f>
        <v>10</v>
      </c>
      <c r="M92" s="263">
        <f>30-IF(Raza="Daimah",10,0)</f>
        <v>30</v>
      </c>
      <c r="N92" s="263">
        <v>-2</v>
      </c>
      <c r="O92" s="284">
        <v>8</v>
      </c>
    </row>
    <row r="93" spans="1:19" ht="12.75" customHeight="1" x14ac:dyDescent="0.2">
      <c r="A93" s="2028">
        <v>93</v>
      </c>
      <c r="B93" s="4995"/>
      <c r="C93" s="2423">
        <v>25</v>
      </c>
      <c r="D93" s="1997">
        <f t="shared" si="2"/>
        <v>9300</v>
      </c>
      <c r="F93" s="266">
        <v>9</v>
      </c>
      <c r="G93" s="263" t="s">
        <v>2062</v>
      </c>
      <c r="H93" s="263">
        <v>20</v>
      </c>
      <c r="I93" s="263">
        <v>0</v>
      </c>
      <c r="J93" s="263">
        <v>5</v>
      </c>
      <c r="K93" s="263">
        <v>3</v>
      </c>
      <c r="L93" s="305">
        <f>15</f>
        <v>15</v>
      </c>
      <c r="M93" s="263">
        <f>40-IF(Raza="Daimah",10,0)</f>
        <v>40</v>
      </c>
      <c r="N93" s="263">
        <v>0</v>
      </c>
      <c r="O93" s="284">
        <v>12</v>
      </c>
    </row>
    <row r="94" spans="1:19" ht="12.75" customHeight="1" x14ac:dyDescent="0.2">
      <c r="A94" s="2029">
        <v>94</v>
      </c>
      <c r="B94" s="4995"/>
      <c r="C94" s="2423">
        <v>26</v>
      </c>
      <c r="D94" s="1997">
        <f t="shared" si="2"/>
        <v>10000</v>
      </c>
      <c r="F94" s="266">
        <v>23</v>
      </c>
      <c r="G94" s="263" t="s">
        <v>2407</v>
      </c>
      <c r="H94" s="263">
        <v>10</v>
      </c>
      <c r="I94" s="263">
        <v>0</v>
      </c>
      <c r="J94" s="263">
        <v>5</v>
      </c>
      <c r="K94" s="263">
        <v>4</v>
      </c>
      <c r="L94" s="305">
        <f>20</f>
        <v>20</v>
      </c>
      <c r="M94" s="263">
        <f>60-IF(Raza="Daimah",10,0)</f>
        <v>60</v>
      </c>
      <c r="N94" s="263">
        <v>4</v>
      </c>
      <c r="O94" s="284">
        <v>16</v>
      </c>
    </row>
    <row r="95" spans="1:19" ht="12.75" customHeight="1" x14ac:dyDescent="0.2">
      <c r="A95" s="2029">
        <v>95</v>
      </c>
      <c r="B95" s="4995"/>
      <c r="C95" s="2423">
        <v>27</v>
      </c>
      <c r="D95" s="1997">
        <f t="shared" si="2"/>
        <v>10725</v>
      </c>
      <c r="F95" s="266">
        <v>25</v>
      </c>
      <c r="G95" s="263" t="s">
        <v>2408</v>
      </c>
      <c r="H95" s="263">
        <v>0</v>
      </c>
      <c r="I95" s="263">
        <v>1</v>
      </c>
      <c r="J95" s="263">
        <v>10</v>
      </c>
      <c r="K95" s="263">
        <v>6</v>
      </c>
      <c r="L95" s="305">
        <f>30</f>
        <v>30</v>
      </c>
      <c r="M95" s="263">
        <f>100-IF(Raza="Daimah",10,0)</f>
        <v>100</v>
      </c>
      <c r="N95" s="263">
        <v>8</v>
      </c>
      <c r="O95" s="284">
        <v>20</v>
      </c>
    </row>
    <row r="96" spans="1:19" ht="12.75" customHeight="1" x14ac:dyDescent="0.2">
      <c r="A96" s="2029">
        <v>96</v>
      </c>
      <c r="B96" s="4995"/>
      <c r="C96" s="2423">
        <v>28</v>
      </c>
      <c r="D96" s="1997">
        <f t="shared" si="2"/>
        <v>11475</v>
      </c>
      <c r="F96" s="266">
        <v>29</v>
      </c>
      <c r="G96" s="263" t="s">
        <v>2409</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4995"/>
      <c r="C97" s="2423">
        <v>29</v>
      </c>
      <c r="D97" s="1997">
        <f t="shared" si="2"/>
        <v>12250</v>
      </c>
      <c r="F97" s="438">
        <v>34</v>
      </c>
      <c r="G97" s="439" t="s">
        <v>2410</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4995"/>
      <c r="C98" s="2424">
        <v>30</v>
      </c>
      <c r="D98" s="2425">
        <f t="shared" si="2"/>
        <v>13050</v>
      </c>
      <c r="H98" s="413"/>
      <c r="I98" s="2625"/>
      <c r="N98" s="413"/>
      <c r="O98" s="2625"/>
    </row>
    <row r="99" spans="1:109" ht="12.75" customHeight="1" x14ac:dyDescent="0.2">
      <c r="A99" s="2029">
        <v>99</v>
      </c>
      <c r="B99" s="4995"/>
      <c r="H99" s="413"/>
      <c r="I99" s="1761"/>
      <c r="N99" s="413"/>
      <c r="O99" s="2112"/>
    </row>
    <row r="100" spans="1:109" ht="12.75" customHeight="1" x14ac:dyDescent="0.2">
      <c r="A100" s="2029">
        <v>100</v>
      </c>
      <c r="B100" s="4995"/>
    </row>
    <row r="101" spans="1:109" ht="12.75" customHeight="1" x14ac:dyDescent="0.2">
      <c r="A101" s="2029">
        <v>101</v>
      </c>
      <c r="B101" s="4995"/>
      <c r="C101" s="5003" t="s">
        <v>9447</v>
      </c>
      <c r="D101" s="5003"/>
      <c r="E101" s="5003"/>
      <c r="F101" s="5003"/>
      <c r="G101" s="5003"/>
      <c r="H101" s="5003"/>
      <c r="I101" s="5003"/>
      <c r="J101" s="5003"/>
      <c r="K101" s="5003"/>
      <c r="L101" s="5003"/>
      <c r="M101" s="5003"/>
      <c r="N101" s="5003"/>
      <c r="O101" s="5003"/>
      <c r="P101" s="5003"/>
      <c r="Q101" s="5003"/>
      <c r="R101" s="5003"/>
      <c r="S101" s="5003"/>
      <c r="T101" s="5003"/>
      <c r="U101" s="5003"/>
      <c r="V101" s="5003"/>
      <c r="W101" s="5003"/>
      <c r="X101" s="5003"/>
      <c r="Y101" s="5003"/>
      <c r="Z101" s="5003"/>
      <c r="AA101" s="5003"/>
      <c r="AB101" s="5003"/>
      <c r="AC101" s="5003"/>
      <c r="AD101" s="5003"/>
      <c r="AE101" s="5003"/>
      <c r="AF101" s="5003"/>
      <c r="AG101" s="5003"/>
      <c r="AH101" s="5003"/>
      <c r="AI101" s="5003"/>
      <c r="AJ101" s="5003"/>
      <c r="AK101" s="5003"/>
      <c r="AL101" s="5003"/>
      <c r="AM101" s="5003"/>
      <c r="AN101" s="5003"/>
      <c r="AO101" s="5003"/>
      <c r="AP101" s="5003"/>
      <c r="AQ101" s="5003"/>
      <c r="AR101" s="5003"/>
      <c r="AS101" s="5003"/>
      <c r="AT101" s="5003"/>
      <c r="AU101" s="5003"/>
      <c r="AV101" s="5003"/>
      <c r="AW101" s="5003"/>
      <c r="AX101" s="5003"/>
      <c r="AY101" s="5003"/>
      <c r="AZ101" s="5003"/>
      <c r="BA101" s="5003"/>
      <c r="BB101" s="5003"/>
      <c r="BC101" s="5003"/>
      <c r="BD101" s="5003"/>
      <c r="BE101" s="5003"/>
      <c r="BF101" s="5003"/>
      <c r="BG101" s="5003"/>
      <c r="BH101" s="5003"/>
      <c r="BI101" s="5003"/>
      <c r="BJ101" s="5003"/>
      <c r="BK101" s="5003"/>
      <c r="BL101" s="5003"/>
      <c r="BM101" s="5003"/>
      <c r="BN101" s="5003"/>
      <c r="BO101" s="5003"/>
      <c r="BP101" s="5003"/>
      <c r="BQ101" s="5003"/>
      <c r="BR101" s="5003"/>
      <c r="BS101" s="5003"/>
      <c r="BT101" s="5003"/>
      <c r="BU101" s="5003"/>
      <c r="BV101" s="5003"/>
      <c r="BW101" s="5003"/>
      <c r="BX101" s="5003"/>
      <c r="BY101" s="5003"/>
      <c r="BZ101" s="5003"/>
      <c r="CA101" s="5003"/>
      <c r="CB101" s="5003"/>
      <c r="CC101" s="5003"/>
      <c r="CD101" s="5003"/>
      <c r="CE101" s="5003"/>
      <c r="CF101" s="5003"/>
      <c r="CG101" s="5003"/>
      <c r="CH101" s="5003"/>
      <c r="CI101" s="5003"/>
      <c r="CJ101" s="5003"/>
      <c r="CK101" s="5003"/>
      <c r="CL101" s="5003"/>
      <c r="CM101" s="5003"/>
      <c r="CN101" s="5003"/>
      <c r="CO101" s="5003"/>
      <c r="CP101" s="5003"/>
      <c r="CQ101" s="5003"/>
      <c r="CR101" s="5003"/>
      <c r="CS101" s="5003"/>
      <c r="CT101" s="5003"/>
      <c r="CU101" s="5003"/>
      <c r="CV101" s="5003"/>
      <c r="CW101" s="5003"/>
      <c r="CX101" s="5003"/>
      <c r="CY101" s="5003"/>
      <c r="CZ101" s="5003"/>
      <c r="DA101" s="5003"/>
      <c r="DB101" s="5003"/>
      <c r="DC101" s="5003"/>
      <c r="DD101" s="5003"/>
      <c r="DE101" s="5003"/>
    </row>
    <row r="102" spans="1:109" ht="12.75" customHeight="1" x14ac:dyDescent="0.2">
      <c r="A102" s="2029">
        <v>102</v>
      </c>
      <c r="B102" s="4995"/>
      <c r="C102" s="5003"/>
      <c r="D102" s="5003"/>
      <c r="E102" s="5003"/>
      <c r="F102" s="5003"/>
      <c r="G102" s="5003"/>
      <c r="H102" s="5003"/>
      <c r="I102" s="5003"/>
      <c r="J102" s="5003"/>
      <c r="K102" s="5003"/>
      <c r="L102" s="5003"/>
      <c r="M102" s="5003"/>
      <c r="N102" s="5003"/>
      <c r="O102" s="5003"/>
      <c r="P102" s="5003"/>
      <c r="Q102" s="5003"/>
      <c r="R102" s="5003"/>
      <c r="S102" s="5003"/>
      <c r="T102" s="5003"/>
      <c r="U102" s="5003"/>
      <c r="V102" s="5003"/>
      <c r="W102" s="5003"/>
      <c r="X102" s="5003"/>
      <c r="Y102" s="5003"/>
      <c r="Z102" s="5003"/>
      <c r="AA102" s="5003"/>
      <c r="AB102" s="5003"/>
      <c r="AC102" s="5003"/>
      <c r="AD102" s="5003"/>
      <c r="AE102" s="5003"/>
      <c r="AF102" s="5003"/>
      <c r="AG102" s="5003"/>
      <c r="AH102" s="5003"/>
      <c r="AI102" s="5003"/>
      <c r="AJ102" s="5003"/>
      <c r="AK102" s="5003"/>
      <c r="AL102" s="5003"/>
      <c r="AM102" s="5003"/>
      <c r="AN102" s="5003"/>
      <c r="AO102" s="5003"/>
      <c r="AP102" s="5003"/>
      <c r="AQ102" s="5003"/>
      <c r="AR102" s="5003"/>
      <c r="AS102" s="5003"/>
      <c r="AT102" s="5003"/>
      <c r="AU102" s="5003"/>
      <c r="AV102" s="5003"/>
      <c r="AW102" s="5003"/>
      <c r="AX102" s="5003"/>
      <c r="AY102" s="5003"/>
      <c r="AZ102" s="5003"/>
      <c r="BA102" s="5003"/>
      <c r="BB102" s="5003"/>
      <c r="BC102" s="5003"/>
      <c r="BD102" s="5003"/>
      <c r="BE102" s="5003"/>
      <c r="BF102" s="5003"/>
      <c r="BG102" s="5003"/>
      <c r="BH102" s="5003"/>
      <c r="BI102" s="5003"/>
      <c r="BJ102" s="5003"/>
      <c r="BK102" s="5003"/>
      <c r="BL102" s="5003"/>
      <c r="BM102" s="5003"/>
      <c r="BN102" s="5003"/>
      <c r="BO102" s="5003"/>
      <c r="BP102" s="5003"/>
      <c r="BQ102" s="5003"/>
      <c r="BR102" s="5003"/>
      <c r="BS102" s="5003"/>
      <c r="BT102" s="5003"/>
      <c r="BU102" s="5003"/>
      <c r="BV102" s="5003"/>
      <c r="BW102" s="5003"/>
      <c r="BX102" s="5003"/>
      <c r="BY102" s="5003"/>
      <c r="BZ102" s="5003"/>
      <c r="CA102" s="5003"/>
      <c r="CB102" s="5003"/>
      <c r="CC102" s="5003"/>
      <c r="CD102" s="5003"/>
      <c r="CE102" s="5003"/>
      <c r="CF102" s="5003"/>
      <c r="CG102" s="5003"/>
      <c r="CH102" s="5003"/>
      <c r="CI102" s="5003"/>
      <c r="CJ102" s="5003"/>
      <c r="CK102" s="5003"/>
      <c r="CL102" s="5003"/>
      <c r="CM102" s="5003"/>
      <c r="CN102" s="5003"/>
      <c r="CO102" s="5003"/>
      <c r="CP102" s="5003"/>
      <c r="CQ102" s="5003"/>
      <c r="CR102" s="5003"/>
      <c r="CS102" s="5003"/>
      <c r="CT102" s="5003"/>
      <c r="CU102" s="5003"/>
      <c r="CV102" s="5003"/>
      <c r="CW102" s="5003"/>
      <c r="CX102" s="5003"/>
      <c r="CY102" s="5003"/>
      <c r="CZ102" s="5003"/>
      <c r="DA102" s="5003"/>
      <c r="DB102" s="5003"/>
      <c r="DC102" s="5003"/>
      <c r="DD102" s="5003"/>
      <c r="DE102" s="5003"/>
    </row>
    <row r="103" spans="1:109" ht="12.75" customHeight="1" x14ac:dyDescent="0.2">
      <c r="A103" s="2029">
        <v>103</v>
      </c>
      <c r="B103" s="4995"/>
      <c r="C103" s="5003"/>
      <c r="D103" s="5003"/>
      <c r="E103" s="5003"/>
      <c r="F103" s="5003"/>
      <c r="G103" s="5003"/>
      <c r="H103" s="5003"/>
      <c r="I103" s="5003"/>
      <c r="J103" s="5003"/>
      <c r="K103" s="5003"/>
      <c r="L103" s="5003"/>
      <c r="M103" s="5003"/>
      <c r="N103" s="5003"/>
      <c r="O103" s="5003"/>
      <c r="P103" s="5003"/>
      <c r="Q103" s="5003"/>
      <c r="R103" s="5003"/>
      <c r="S103" s="5003"/>
      <c r="T103" s="5003"/>
      <c r="U103" s="5003"/>
      <c r="V103" s="5003"/>
      <c r="W103" s="5003"/>
      <c r="X103" s="5003"/>
      <c r="Y103" s="5003"/>
      <c r="Z103" s="5003"/>
      <c r="AA103" s="5003"/>
      <c r="AB103" s="5003"/>
      <c r="AC103" s="5003"/>
      <c r="AD103" s="5003"/>
      <c r="AE103" s="5003"/>
      <c r="AF103" s="5003"/>
      <c r="AG103" s="5003"/>
      <c r="AH103" s="5003"/>
      <c r="AI103" s="5003"/>
      <c r="AJ103" s="5003"/>
      <c r="AK103" s="5003"/>
      <c r="AL103" s="5003"/>
      <c r="AM103" s="5003"/>
      <c r="AN103" s="5003"/>
      <c r="AO103" s="5003"/>
      <c r="AP103" s="5003"/>
      <c r="AQ103" s="5003"/>
      <c r="AR103" s="5003"/>
      <c r="AS103" s="5003"/>
      <c r="AT103" s="5003"/>
      <c r="AU103" s="5003"/>
      <c r="AV103" s="5003"/>
      <c r="AW103" s="5003"/>
      <c r="AX103" s="5003"/>
      <c r="AY103" s="5003"/>
      <c r="AZ103" s="5003"/>
      <c r="BA103" s="5003"/>
      <c r="BB103" s="5003"/>
      <c r="BC103" s="5003"/>
      <c r="BD103" s="5003"/>
      <c r="BE103" s="5003"/>
      <c r="BF103" s="5003"/>
      <c r="BG103" s="5003"/>
      <c r="BH103" s="5003"/>
      <c r="BI103" s="5003"/>
      <c r="BJ103" s="5003"/>
      <c r="BK103" s="5003"/>
      <c r="BL103" s="5003"/>
      <c r="BM103" s="5003"/>
      <c r="BN103" s="5003"/>
      <c r="BO103" s="5003"/>
      <c r="BP103" s="5003"/>
      <c r="BQ103" s="5003"/>
      <c r="BR103" s="5003"/>
      <c r="BS103" s="5003"/>
      <c r="BT103" s="5003"/>
      <c r="BU103" s="5003"/>
      <c r="BV103" s="5003"/>
      <c r="BW103" s="5003"/>
      <c r="BX103" s="5003"/>
      <c r="BY103" s="5003"/>
      <c r="BZ103" s="5003"/>
      <c r="CA103" s="5003"/>
      <c r="CB103" s="5003"/>
      <c r="CC103" s="5003"/>
      <c r="CD103" s="5003"/>
      <c r="CE103" s="5003"/>
      <c r="CF103" s="5003"/>
      <c r="CG103" s="5003"/>
      <c r="CH103" s="5003"/>
      <c r="CI103" s="5003"/>
      <c r="CJ103" s="5003"/>
      <c r="CK103" s="5003"/>
      <c r="CL103" s="5003"/>
      <c r="CM103" s="5003"/>
      <c r="CN103" s="5003"/>
      <c r="CO103" s="5003"/>
      <c r="CP103" s="5003"/>
      <c r="CQ103" s="5003"/>
      <c r="CR103" s="5003"/>
      <c r="CS103" s="5003"/>
      <c r="CT103" s="5003"/>
      <c r="CU103" s="5003"/>
      <c r="CV103" s="5003"/>
      <c r="CW103" s="5003"/>
      <c r="CX103" s="5003"/>
      <c r="CY103" s="5003"/>
      <c r="CZ103" s="5003"/>
      <c r="DA103" s="5003"/>
      <c r="DB103" s="5003"/>
      <c r="DC103" s="5003"/>
      <c r="DD103" s="5003"/>
      <c r="DE103" s="5003"/>
    </row>
    <row r="104" spans="1:109" ht="12.75" customHeight="1" thickBot="1" x14ac:dyDescent="0.25">
      <c r="A104" s="2029">
        <v>104</v>
      </c>
      <c r="B104" s="4995"/>
      <c r="H104" s="413"/>
      <c r="N104" s="413"/>
    </row>
    <row r="105" spans="1:109" ht="12.75" customHeight="1" thickBot="1" x14ac:dyDescent="0.25">
      <c r="A105" s="2029">
        <v>105</v>
      </c>
      <c r="B105" s="4995"/>
      <c r="C105" s="3177" t="s">
        <v>2368</v>
      </c>
      <c r="D105" s="3177"/>
      <c r="F105" s="3177" t="s">
        <v>2394</v>
      </c>
      <c r="G105" s="3177"/>
      <c r="H105" s="413"/>
      <c r="I105" s="5051" t="s">
        <v>2244</v>
      </c>
      <c r="J105" s="5051"/>
      <c r="K105" s="5051"/>
      <c r="L105" s="5051"/>
      <c r="M105" s="5051"/>
      <c r="N105" s="5051"/>
      <c r="O105" s="5051"/>
      <c r="P105" s="5051"/>
      <c r="Q105" s="5051"/>
      <c r="R105" s="5051"/>
      <c r="S105" s="5051"/>
      <c r="T105" s="5051"/>
      <c r="U105" s="5051"/>
      <c r="V105" s="5051"/>
      <c r="W105" s="5051"/>
      <c r="X105" s="5051"/>
      <c r="Y105" s="5051"/>
      <c r="Z105" s="5051"/>
      <c r="AA105" s="5051"/>
      <c r="AB105" s="5051"/>
      <c r="AC105" s="5051"/>
      <c r="AD105" s="5051"/>
      <c r="AE105" s="5051"/>
      <c r="AF105" s="5051"/>
      <c r="AG105" s="5051"/>
      <c r="AH105" s="5051"/>
      <c r="AI105" s="5051"/>
      <c r="AJ105" s="5051"/>
      <c r="AK105" s="5051"/>
      <c r="AL105" s="5051"/>
      <c r="AM105" s="5051"/>
      <c r="AN105" s="5051"/>
      <c r="AO105" s="5051"/>
      <c r="AP105" s="5051"/>
      <c r="AQ105" s="5051"/>
      <c r="AR105" s="5051"/>
      <c r="AS105" s="5051"/>
      <c r="AT105" s="5051"/>
      <c r="AU105" s="5051"/>
      <c r="AV105" s="5051"/>
      <c r="AW105" s="5051"/>
      <c r="AX105" s="5051"/>
      <c r="AY105" s="5051"/>
      <c r="AZ105" s="5051"/>
      <c r="BA105" s="5051"/>
      <c r="BB105" s="5051"/>
      <c r="BC105" s="5051"/>
      <c r="BD105" s="5051"/>
      <c r="BE105" s="5051"/>
      <c r="BF105" s="5051"/>
      <c r="BG105" s="5051"/>
      <c r="BH105" s="5051"/>
      <c r="BI105" s="5051"/>
      <c r="BJ105" s="5051"/>
      <c r="BK105" s="5051"/>
      <c r="BL105" s="5051"/>
    </row>
    <row r="106" spans="1:109" ht="12.75" customHeight="1" thickBot="1" x14ac:dyDescent="0.25">
      <c r="A106" s="2029">
        <v>106</v>
      </c>
      <c r="B106" s="4995"/>
      <c r="C106" s="3177"/>
      <c r="D106" s="3177"/>
      <c r="F106" s="3177"/>
      <c r="G106" s="3177"/>
      <c r="H106" s="413"/>
      <c r="I106" s="5051"/>
      <c r="J106" s="5051"/>
      <c r="K106" s="5051"/>
      <c r="L106" s="5051"/>
      <c r="M106" s="5051"/>
      <c r="N106" s="5051"/>
      <c r="O106" s="5051"/>
      <c r="P106" s="5051"/>
      <c r="Q106" s="5051"/>
      <c r="R106" s="5051"/>
      <c r="S106" s="5051"/>
      <c r="T106" s="5051"/>
      <c r="U106" s="5051"/>
      <c r="V106" s="5051"/>
      <c r="W106" s="5051"/>
      <c r="X106" s="5051"/>
      <c r="Y106" s="5051"/>
      <c r="Z106" s="5051"/>
      <c r="AA106" s="5051"/>
      <c r="AB106" s="5051"/>
      <c r="AC106" s="5051"/>
      <c r="AD106" s="5051"/>
      <c r="AE106" s="5051"/>
      <c r="AF106" s="5051"/>
      <c r="AG106" s="5051"/>
      <c r="AH106" s="5051"/>
      <c r="AI106" s="5051"/>
      <c r="AJ106" s="5051"/>
      <c r="AK106" s="5051"/>
      <c r="AL106" s="5051"/>
      <c r="AM106" s="5051"/>
      <c r="AN106" s="5051"/>
      <c r="AO106" s="5051"/>
      <c r="AP106" s="5051"/>
      <c r="AQ106" s="5051"/>
      <c r="AR106" s="5051"/>
      <c r="AS106" s="5051"/>
      <c r="AT106" s="5051"/>
      <c r="AU106" s="5051"/>
      <c r="AV106" s="5051"/>
      <c r="AW106" s="5051"/>
      <c r="AX106" s="5051"/>
      <c r="AY106" s="5051"/>
      <c r="AZ106" s="5051"/>
      <c r="BA106" s="5051"/>
      <c r="BB106" s="5051"/>
      <c r="BC106" s="5051"/>
      <c r="BD106" s="5051"/>
      <c r="BE106" s="5051"/>
      <c r="BF106" s="5051"/>
      <c r="BG106" s="5051"/>
      <c r="BH106" s="5051"/>
      <c r="BI106" s="5051"/>
      <c r="BJ106" s="5051"/>
      <c r="BK106" s="5051"/>
      <c r="BL106" s="5051"/>
    </row>
    <row r="107" spans="1:109" ht="13.5" customHeight="1" x14ac:dyDescent="0.2">
      <c r="A107" s="2029">
        <v>107</v>
      </c>
      <c r="B107" s="4995"/>
      <c r="C107" s="432" t="s">
        <v>2369</v>
      </c>
      <c r="D107" s="69"/>
      <c r="F107" s="434" t="s">
        <v>2395</v>
      </c>
      <c r="G107" s="284">
        <f>IF(General!$N$23=Tablas!F107,1,0)</f>
        <v>0</v>
      </c>
      <c r="H107" s="413"/>
      <c r="I107" s="414"/>
      <c r="J107" s="2539">
        <v>1</v>
      </c>
      <c r="K107" s="2539">
        <v>2</v>
      </c>
      <c r="L107" s="2539">
        <v>3</v>
      </c>
      <c r="M107" s="2539">
        <v>4</v>
      </c>
      <c r="N107" s="2539">
        <v>5</v>
      </c>
      <c r="O107" s="1845">
        <v>6</v>
      </c>
      <c r="P107" s="2539">
        <v>7</v>
      </c>
      <c r="Q107" s="2539">
        <v>8</v>
      </c>
      <c r="R107" s="2540">
        <v>9</v>
      </c>
      <c r="S107" s="2540">
        <v>10</v>
      </c>
      <c r="T107" s="2540">
        <v>11</v>
      </c>
      <c r="U107" s="2117">
        <v>12</v>
      </c>
      <c r="V107" s="2540">
        <v>13</v>
      </c>
      <c r="W107" s="2540">
        <v>14</v>
      </c>
      <c r="X107" s="2540">
        <v>15</v>
      </c>
      <c r="Y107" s="2540">
        <v>16</v>
      </c>
      <c r="Z107" s="2540">
        <v>17</v>
      </c>
      <c r="AA107" s="2540">
        <v>18</v>
      </c>
      <c r="AB107" s="2691">
        <v>19</v>
      </c>
      <c r="AC107" s="5163">
        <v>20</v>
      </c>
      <c r="AD107" s="5163"/>
      <c r="AE107" s="2540">
        <v>21</v>
      </c>
      <c r="AF107" s="5163">
        <v>22</v>
      </c>
      <c r="AG107" s="5163"/>
      <c r="AH107" s="2540">
        <v>23</v>
      </c>
      <c r="AI107" s="5163">
        <v>24</v>
      </c>
      <c r="AJ107" s="5163"/>
      <c r="AK107" s="2540">
        <v>25</v>
      </c>
      <c r="AL107" s="5163">
        <v>26</v>
      </c>
      <c r="AM107" s="5163"/>
      <c r="AN107" s="2540">
        <v>27</v>
      </c>
      <c r="AO107" s="5163">
        <v>28</v>
      </c>
      <c r="AP107" s="5163"/>
      <c r="AQ107" s="2540">
        <v>29</v>
      </c>
      <c r="AR107" s="5163">
        <v>30</v>
      </c>
      <c r="AS107" s="5163"/>
      <c r="AT107" s="2540">
        <v>31</v>
      </c>
      <c r="AU107" s="5163">
        <v>32</v>
      </c>
      <c r="AV107" s="5163"/>
      <c r="AW107" s="2540">
        <v>33</v>
      </c>
      <c r="AX107" s="5163">
        <v>34</v>
      </c>
      <c r="AY107" s="5163"/>
      <c r="AZ107" s="2540">
        <v>35</v>
      </c>
      <c r="BA107" s="5163">
        <v>36</v>
      </c>
      <c r="BB107" s="5163"/>
      <c r="BC107" s="2540">
        <v>37</v>
      </c>
      <c r="BD107" s="5163">
        <v>38</v>
      </c>
      <c r="BE107" s="5163"/>
      <c r="BF107" s="2540">
        <v>39</v>
      </c>
      <c r="BG107" s="5163">
        <v>40</v>
      </c>
      <c r="BH107" s="5163"/>
      <c r="BI107" s="2540">
        <v>41</v>
      </c>
      <c r="BJ107" s="5163">
        <v>42</v>
      </c>
      <c r="BK107" s="5163"/>
      <c r="BL107" s="417">
        <v>43</v>
      </c>
    </row>
    <row r="108" spans="1:109" ht="12.75" customHeight="1" thickBot="1" x14ac:dyDescent="0.25">
      <c r="A108" s="2029">
        <v>108</v>
      </c>
      <c r="B108" s="4995"/>
      <c r="C108" s="433" t="s">
        <v>2371</v>
      </c>
      <c r="D108" s="200"/>
      <c r="F108" s="433" t="s">
        <v>2396</v>
      </c>
      <c r="G108" s="200"/>
      <c r="H108" s="413"/>
      <c r="I108" s="2542" t="s">
        <v>9320</v>
      </c>
      <c r="J108" s="2541" t="s">
        <v>1766</v>
      </c>
      <c r="K108" s="2541" t="s">
        <v>1772</v>
      </c>
      <c r="L108" s="2541" t="s">
        <v>1774</v>
      </c>
      <c r="M108" s="2541" t="s">
        <v>1776</v>
      </c>
      <c r="N108" s="2541" t="s">
        <v>1778</v>
      </c>
      <c r="O108" s="1846" t="s">
        <v>1780</v>
      </c>
      <c r="P108" s="2541" t="s">
        <v>2245</v>
      </c>
      <c r="Q108" s="2541" t="s">
        <v>1685</v>
      </c>
      <c r="R108" s="2541" t="s">
        <v>1813</v>
      </c>
      <c r="S108" s="2541" t="s">
        <v>1690</v>
      </c>
      <c r="T108" s="2541" t="s">
        <v>1695</v>
      </c>
      <c r="U108" s="1846" t="s">
        <v>1698</v>
      </c>
      <c r="V108" s="2541" t="s">
        <v>1701</v>
      </c>
      <c r="W108" s="2541" t="s">
        <v>1703</v>
      </c>
      <c r="X108" s="2541" t="s">
        <v>1704</v>
      </c>
      <c r="Y108" s="2541" t="s">
        <v>2246</v>
      </c>
      <c r="Z108" s="2541" t="s">
        <v>1680</v>
      </c>
      <c r="AA108" s="2541" t="s">
        <v>1700</v>
      </c>
      <c r="AB108" s="2690" t="s">
        <v>2247</v>
      </c>
      <c r="AC108" s="5156" t="s">
        <v>2248</v>
      </c>
      <c r="AD108" s="5156"/>
      <c r="AE108" s="2541" t="s">
        <v>2249</v>
      </c>
      <c r="AF108" s="5156" t="s">
        <v>2250</v>
      </c>
      <c r="AG108" s="5156"/>
      <c r="AH108" s="2541" t="s">
        <v>2249</v>
      </c>
      <c r="AI108" s="5156" t="s">
        <v>2251</v>
      </c>
      <c r="AJ108" s="5156"/>
      <c r="AK108" s="2541" t="s">
        <v>2249</v>
      </c>
      <c r="AL108" s="5156" t="s">
        <v>2252</v>
      </c>
      <c r="AM108" s="5156"/>
      <c r="AN108" s="2541" t="s">
        <v>2249</v>
      </c>
      <c r="AO108" s="5156" t="s">
        <v>2253</v>
      </c>
      <c r="AP108" s="5156"/>
      <c r="AQ108" s="2541" t="s">
        <v>2249</v>
      </c>
      <c r="AR108" s="5156" t="s">
        <v>2254</v>
      </c>
      <c r="AS108" s="5156"/>
      <c r="AT108" s="2541" t="s">
        <v>2249</v>
      </c>
      <c r="AU108" s="5156" t="s">
        <v>2255</v>
      </c>
      <c r="AV108" s="5156"/>
      <c r="AW108" s="2541" t="s">
        <v>2249</v>
      </c>
      <c r="AX108" s="5156" t="s">
        <v>2256</v>
      </c>
      <c r="AY108" s="5156"/>
      <c r="AZ108" s="2541" t="s">
        <v>2249</v>
      </c>
      <c r="BA108" s="5156" t="s">
        <v>2257</v>
      </c>
      <c r="BB108" s="5156"/>
      <c r="BC108" s="2541" t="s">
        <v>2249</v>
      </c>
      <c r="BD108" s="5156" t="s">
        <v>2258</v>
      </c>
      <c r="BE108" s="5156"/>
      <c r="BF108" s="2541" t="s">
        <v>2249</v>
      </c>
      <c r="BG108" s="5156" t="s">
        <v>2259</v>
      </c>
      <c r="BH108" s="5156"/>
      <c r="BI108" s="2541" t="s">
        <v>2249</v>
      </c>
      <c r="BJ108" s="5156" t="s">
        <v>2260</v>
      </c>
      <c r="BK108" s="5156"/>
      <c r="BL108" s="420" t="s">
        <v>2249</v>
      </c>
    </row>
    <row r="109" spans="1:109" ht="12.75" customHeight="1" thickBot="1" x14ac:dyDescent="0.25">
      <c r="A109" s="2029">
        <v>109</v>
      </c>
      <c r="B109" s="4995"/>
      <c r="H109" s="413"/>
      <c r="I109" s="2917" t="str">
        <f t="shared" ref="I109:I129" si="3">IF(OR(Nephilim=J109,Raza=J109),1,"")</f>
        <v/>
      </c>
      <c r="J109" s="2582" t="s">
        <v>2262</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7" t="s">
        <v>9170</v>
      </c>
      <c r="AD109" s="2577"/>
      <c r="AE109" s="2578">
        <v>1</v>
      </c>
      <c r="AF109" s="51" t="s">
        <v>9171</v>
      </c>
      <c r="AG109" s="51"/>
      <c r="AH109" s="2578"/>
      <c r="AI109" s="51" t="s">
        <v>2263</v>
      </c>
      <c r="AJ109" s="51"/>
      <c r="AK109" s="2578">
        <v>1</v>
      </c>
      <c r="AL109" s="51" t="s">
        <v>2264</v>
      </c>
      <c r="AM109" s="51"/>
      <c r="AN109" s="2578"/>
      <c r="AO109" s="51" t="s">
        <v>2265</v>
      </c>
      <c r="AP109" s="51"/>
      <c r="AQ109" s="2578"/>
      <c r="AR109" s="51" t="s">
        <v>2266</v>
      </c>
      <c r="AS109" s="51"/>
      <c r="AT109" s="2578"/>
      <c r="AU109" s="51"/>
      <c r="AV109" s="51"/>
      <c r="AW109" s="2578"/>
      <c r="AX109" s="51"/>
      <c r="AY109" s="51"/>
      <c r="AZ109" s="2578"/>
      <c r="BA109" s="51"/>
      <c r="BB109" s="51"/>
      <c r="BC109" s="2578"/>
      <c r="BD109" s="51"/>
      <c r="BE109" s="51"/>
      <c r="BF109" s="2578"/>
      <c r="BG109" s="51"/>
      <c r="BH109" s="51"/>
      <c r="BI109" s="2578"/>
      <c r="BJ109" s="51"/>
      <c r="BK109" s="51"/>
      <c r="BL109" s="2579"/>
    </row>
    <row r="110" spans="1:109" ht="12.75" customHeight="1" thickBot="1" x14ac:dyDescent="0.25">
      <c r="A110" s="2029">
        <v>110</v>
      </c>
      <c r="B110" s="4995"/>
      <c r="C110" s="3177" t="s">
        <v>2374</v>
      </c>
      <c r="D110" s="3177"/>
      <c r="F110" s="3169" t="s">
        <v>2162</v>
      </c>
      <c r="G110" s="3169"/>
      <c r="H110" s="413"/>
      <c r="I110" s="2918" t="str">
        <f t="shared" si="3"/>
        <v/>
      </c>
      <c r="J110" s="2582" t="s">
        <v>2267</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7" t="s">
        <v>2268</v>
      </c>
      <c r="AD110" s="2577"/>
      <c r="AE110" s="2578">
        <v>1</v>
      </c>
      <c r="AF110" s="51" t="s">
        <v>2269</v>
      </c>
      <c r="AG110" s="51"/>
      <c r="AH110" s="2578">
        <v>1</v>
      </c>
      <c r="AI110" s="51" t="s">
        <v>2270</v>
      </c>
      <c r="AJ110" s="51"/>
      <c r="AK110" s="2578">
        <v>1</v>
      </c>
      <c r="AL110" s="51" t="s">
        <v>2271</v>
      </c>
      <c r="AM110" s="51"/>
      <c r="AN110" s="2578">
        <v>1</v>
      </c>
      <c r="AO110" s="51" t="s">
        <v>2272</v>
      </c>
      <c r="AP110" s="51"/>
      <c r="AQ110" s="2578"/>
      <c r="AR110" s="51" t="s">
        <v>2273</v>
      </c>
      <c r="AS110" s="51"/>
      <c r="AT110" s="2578">
        <v>1</v>
      </c>
      <c r="AU110" s="51" t="s">
        <v>2274</v>
      </c>
      <c r="AV110" s="51"/>
      <c r="AW110" s="2578"/>
      <c r="AX110" s="51"/>
      <c r="AY110" s="51"/>
      <c r="AZ110" s="2578"/>
      <c r="BA110" s="51"/>
      <c r="BB110" s="51"/>
      <c r="BC110" s="2578"/>
      <c r="BD110" s="51"/>
      <c r="BE110" s="51"/>
      <c r="BF110" s="2578"/>
      <c r="BG110" s="51"/>
      <c r="BH110" s="51"/>
      <c r="BI110" s="2578"/>
      <c r="BJ110" s="51"/>
      <c r="BK110" s="51"/>
      <c r="BL110" s="2579"/>
    </row>
    <row r="111" spans="1:109" ht="12.75" customHeight="1" thickBot="1" x14ac:dyDescent="0.25">
      <c r="A111" s="2029">
        <v>111</v>
      </c>
      <c r="B111" s="4995"/>
      <c r="C111" s="3177"/>
      <c r="D111" s="3177"/>
      <c r="F111" s="3169"/>
      <c r="G111" s="3169"/>
      <c r="H111" s="413"/>
      <c r="I111" s="2918" t="str">
        <f t="shared" si="3"/>
        <v/>
      </c>
      <c r="J111" s="2582" t="s">
        <v>2275</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7" t="s">
        <v>2276</v>
      </c>
      <c r="AD111" s="2577"/>
      <c r="AE111" s="2578">
        <v>2</v>
      </c>
      <c r="AF111" s="51" t="s">
        <v>2277</v>
      </c>
      <c r="AG111" s="51"/>
      <c r="AH111" s="2578"/>
      <c r="AI111" s="51" t="s">
        <v>2278</v>
      </c>
      <c r="AJ111" s="51"/>
      <c r="AK111" s="2578"/>
      <c r="AL111" s="51" t="s">
        <v>2279</v>
      </c>
      <c r="AM111" s="51"/>
      <c r="AN111" s="2578"/>
      <c r="AO111" s="51" t="s">
        <v>2280</v>
      </c>
      <c r="AP111" s="51"/>
      <c r="AQ111" s="2578"/>
      <c r="AR111" s="51" t="s">
        <v>2274</v>
      </c>
      <c r="AS111" s="51"/>
      <c r="AT111" s="2578"/>
      <c r="AU111" s="51"/>
      <c r="AV111" s="51"/>
      <c r="AW111" s="2578"/>
      <c r="AX111" s="51"/>
      <c r="AY111" s="51"/>
      <c r="AZ111" s="2578"/>
      <c r="BA111" s="51"/>
      <c r="BB111" s="51"/>
      <c r="BC111" s="2578"/>
      <c r="BD111" s="51"/>
      <c r="BE111" s="51"/>
      <c r="BF111" s="2578"/>
      <c r="BG111" s="51"/>
      <c r="BH111" s="51"/>
      <c r="BI111" s="2578"/>
      <c r="BJ111" s="51"/>
      <c r="BK111" s="51"/>
      <c r="BL111" s="2579"/>
    </row>
    <row r="112" spans="1:109" ht="12.75" customHeight="1" x14ac:dyDescent="0.2">
      <c r="A112" s="2029">
        <v>112</v>
      </c>
      <c r="B112" s="4995"/>
      <c r="C112" s="434" t="s">
        <v>2377</v>
      </c>
      <c r="D112" s="69"/>
      <c r="F112" s="5064" t="s">
        <v>2370</v>
      </c>
      <c r="G112" s="5064"/>
      <c r="H112" s="413"/>
      <c r="I112" s="2918" t="str">
        <f t="shared" si="3"/>
        <v/>
      </c>
      <c r="J112" s="2582" t="s">
        <v>2281</v>
      </c>
      <c r="K112" s="2583"/>
      <c r="L112" s="2583"/>
      <c r="M112" s="2583"/>
      <c r="N112" s="2583"/>
      <c r="O112" s="2584"/>
      <c r="P112" s="2585"/>
      <c r="Q112" s="423">
        <v>0</v>
      </c>
      <c r="R112" s="422">
        <v>0</v>
      </c>
      <c r="S112" s="355">
        <v>0</v>
      </c>
      <c r="T112" s="423">
        <v>0</v>
      </c>
      <c r="U112" s="423">
        <v>0</v>
      </c>
      <c r="V112" s="423">
        <v>0</v>
      </c>
      <c r="W112" s="423">
        <v>0</v>
      </c>
      <c r="X112" s="424">
        <v>0</v>
      </c>
      <c r="Y112" s="423">
        <v>0</v>
      </c>
      <c r="Z112" s="423"/>
      <c r="AA112" s="423"/>
      <c r="AB112" s="422"/>
      <c r="AC112" s="2577" t="s">
        <v>2282</v>
      </c>
      <c r="AD112" s="2577"/>
      <c r="AE112" s="2578"/>
      <c r="AF112" s="51" t="s">
        <v>2283</v>
      </c>
      <c r="AG112" s="51"/>
      <c r="AH112" s="2578"/>
      <c r="AI112" s="51" t="s">
        <v>2284</v>
      </c>
      <c r="AJ112" s="51"/>
      <c r="AK112" s="2578"/>
      <c r="AL112" s="51" t="s">
        <v>2274</v>
      </c>
      <c r="AM112" s="51"/>
      <c r="AN112" s="2578"/>
      <c r="AO112" s="51"/>
      <c r="AP112" s="51"/>
      <c r="AQ112" s="2578"/>
      <c r="AR112" s="51"/>
      <c r="AS112" s="51"/>
      <c r="AT112" s="2578"/>
      <c r="AU112" s="51"/>
      <c r="AV112" s="51"/>
      <c r="AW112" s="2578"/>
      <c r="AX112" s="51"/>
      <c r="AY112" s="51"/>
      <c r="AZ112" s="2578"/>
      <c r="BA112" s="51"/>
      <c r="BB112" s="51"/>
      <c r="BC112" s="2578"/>
      <c r="BD112" s="51"/>
      <c r="BE112" s="51"/>
      <c r="BF112" s="2578"/>
      <c r="BG112" s="51"/>
      <c r="BH112" s="51"/>
      <c r="BI112" s="2578"/>
      <c r="BJ112" s="51"/>
      <c r="BK112" s="51"/>
      <c r="BL112" s="2579"/>
    </row>
    <row r="113" spans="1:64" ht="12.75" customHeight="1" x14ac:dyDescent="0.2">
      <c r="A113" s="2029">
        <v>113</v>
      </c>
      <c r="B113" s="4995"/>
      <c r="C113" s="434" t="s">
        <v>2379</v>
      </c>
      <c r="D113" s="69"/>
      <c r="F113" s="5064" t="s">
        <v>2372</v>
      </c>
      <c r="G113" s="5064"/>
      <c r="H113" s="413"/>
      <c r="I113" s="2918" t="str">
        <f t="shared" si="3"/>
        <v/>
      </c>
      <c r="J113" s="2582" t="s">
        <v>2285</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7" t="s">
        <v>2286</v>
      </c>
      <c r="AD113" s="2577"/>
      <c r="AE113" s="2578"/>
      <c r="AF113" s="51" t="s">
        <v>9172</v>
      </c>
      <c r="AG113" s="51"/>
      <c r="AH113" s="2578"/>
      <c r="AI113" s="51" t="s">
        <v>2288</v>
      </c>
      <c r="AJ113" s="51"/>
      <c r="AK113" s="2578">
        <v>1</v>
      </c>
      <c r="AL113" s="51" t="s">
        <v>2289</v>
      </c>
      <c r="AM113" s="51"/>
      <c r="AN113" s="2578"/>
      <c r="AO113" s="51" t="s">
        <v>2290</v>
      </c>
      <c r="AP113" s="51"/>
      <c r="AQ113" s="2578"/>
      <c r="AR113" s="51" t="s">
        <v>2291</v>
      </c>
      <c r="AS113" s="51"/>
      <c r="AT113" s="2578"/>
      <c r="AU113" s="51"/>
      <c r="AV113" s="51"/>
      <c r="AW113" s="2578"/>
      <c r="AX113" s="51"/>
      <c r="AY113" s="51"/>
      <c r="AZ113" s="2578"/>
      <c r="BA113" s="51"/>
      <c r="BB113" s="51"/>
      <c r="BC113" s="2578"/>
      <c r="BD113" s="51"/>
      <c r="BE113" s="51"/>
      <c r="BF113" s="2578"/>
      <c r="BG113" s="51"/>
      <c r="BH113" s="51"/>
      <c r="BI113" s="2578"/>
      <c r="BJ113" s="51"/>
      <c r="BK113" s="51"/>
      <c r="BL113" s="2579"/>
    </row>
    <row r="114" spans="1:64" ht="12.75" customHeight="1" x14ac:dyDescent="0.2">
      <c r="A114" s="2029">
        <v>114</v>
      </c>
      <c r="B114" s="4995"/>
      <c r="C114" s="434" t="s">
        <v>2380</v>
      </c>
      <c r="D114" s="69"/>
      <c r="F114" s="5064" t="s">
        <v>2373</v>
      </c>
      <c r="G114" s="5064"/>
      <c r="H114" s="413"/>
      <c r="I114" s="2918" t="str">
        <f t="shared" si="3"/>
        <v/>
      </c>
      <c r="J114" s="2582" t="s">
        <v>2292</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7" t="s">
        <v>9170</v>
      </c>
      <c r="AD114" s="2577"/>
      <c r="AE114" s="2578">
        <v>1</v>
      </c>
      <c r="AF114" s="51" t="s">
        <v>9169</v>
      </c>
      <c r="AG114" s="51"/>
      <c r="AH114" s="2578"/>
      <c r="AI114" s="51" t="s">
        <v>2293</v>
      </c>
      <c r="AJ114" s="51"/>
      <c r="AK114" s="2578"/>
      <c r="AL114" s="51" t="s">
        <v>2263</v>
      </c>
      <c r="AM114" s="51"/>
      <c r="AN114" s="2578">
        <v>1</v>
      </c>
      <c r="AO114" s="51" t="s">
        <v>2294</v>
      </c>
      <c r="AP114" s="51"/>
      <c r="AQ114" s="2578"/>
      <c r="AR114" s="51" t="s">
        <v>2265</v>
      </c>
      <c r="AS114" s="51"/>
      <c r="AT114" s="2578"/>
      <c r="AU114" s="51" t="s">
        <v>2295</v>
      </c>
      <c r="AV114" s="51"/>
      <c r="AW114" s="2578"/>
      <c r="AX114" s="51" t="s">
        <v>2296</v>
      </c>
      <c r="AY114" s="51"/>
      <c r="AZ114" s="2578"/>
      <c r="BA114" s="51" t="s">
        <v>2297</v>
      </c>
      <c r="BB114" s="51"/>
      <c r="BC114" s="2578"/>
      <c r="BD114" s="51" t="s">
        <v>2298</v>
      </c>
      <c r="BE114" s="51"/>
      <c r="BF114" s="2578"/>
      <c r="BG114" s="51" t="s">
        <v>2299</v>
      </c>
      <c r="BH114" s="51"/>
      <c r="BI114" s="2578"/>
      <c r="BJ114" s="51"/>
      <c r="BK114" s="51"/>
      <c r="BL114" s="2579"/>
    </row>
    <row r="115" spans="1:64" ht="12.75" customHeight="1" x14ac:dyDescent="0.2">
      <c r="A115" s="2029">
        <v>115</v>
      </c>
      <c r="B115" s="4995"/>
      <c r="C115" s="434" t="s">
        <v>2381</v>
      </c>
      <c r="D115" s="69"/>
      <c r="F115" s="5064" t="s">
        <v>2375</v>
      </c>
      <c r="G115" s="5064"/>
      <c r="H115" s="413"/>
      <c r="I115" s="2918" t="str">
        <f t="shared" si="3"/>
        <v/>
      </c>
      <c r="J115" s="2582" t="s">
        <v>9310</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7" t="s">
        <v>2300</v>
      </c>
      <c r="AD115" s="2577"/>
      <c r="AE115" s="2578"/>
      <c r="AF115" s="2577" t="s">
        <v>2301</v>
      </c>
      <c r="AG115" s="2577"/>
      <c r="AH115" s="2578"/>
      <c r="AI115" s="2577" t="s">
        <v>2302</v>
      </c>
      <c r="AJ115" s="2577"/>
      <c r="AK115" s="2578">
        <v>1</v>
      </c>
      <c r="AL115" s="2577" t="s">
        <v>2303</v>
      </c>
      <c r="AM115" s="2577"/>
      <c r="AN115" s="2578">
        <v>1</v>
      </c>
      <c r="AO115" s="2577" t="s">
        <v>2304</v>
      </c>
      <c r="AP115" s="2577"/>
      <c r="AQ115" s="2578"/>
      <c r="AR115" s="51"/>
      <c r="AS115" s="51"/>
      <c r="AT115" s="2578"/>
      <c r="AU115" s="51"/>
      <c r="AV115" s="51"/>
      <c r="AW115" s="2578"/>
      <c r="AX115" s="51"/>
      <c r="AY115" s="51"/>
      <c r="AZ115" s="2578"/>
      <c r="BA115" s="51"/>
      <c r="BB115" s="51"/>
      <c r="BC115" s="2578"/>
      <c r="BD115" s="51"/>
      <c r="BE115" s="51"/>
      <c r="BF115" s="2578"/>
      <c r="BG115" s="51"/>
      <c r="BH115" s="51"/>
      <c r="BI115" s="2578"/>
      <c r="BJ115" s="51"/>
      <c r="BK115" s="51"/>
      <c r="BL115" s="2579"/>
    </row>
    <row r="116" spans="1:64" ht="12.75" customHeight="1" x14ac:dyDescent="0.2">
      <c r="A116" s="2029">
        <v>116</v>
      </c>
      <c r="B116" s="4995"/>
      <c r="C116" s="434" t="s">
        <v>2382</v>
      </c>
      <c r="D116" s="69"/>
      <c r="F116" s="5064" t="s">
        <v>2376</v>
      </c>
      <c r="G116" s="5064"/>
      <c r="H116" s="413"/>
      <c r="I116" s="2918" t="str">
        <f t="shared" si="3"/>
        <v/>
      </c>
      <c r="J116" s="2582" t="s">
        <v>2305</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7" t="s">
        <v>2306</v>
      </c>
      <c r="AD116" s="2577"/>
      <c r="AE116" s="2578"/>
      <c r="AF116" s="2577" t="s">
        <v>2307</v>
      </c>
      <c r="AG116" s="2577"/>
      <c r="AH116" s="2578"/>
      <c r="AI116" s="2577" t="s">
        <v>2263</v>
      </c>
      <c r="AJ116" s="2577"/>
      <c r="AK116" s="2578"/>
      <c r="AL116" s="2577" t="s">
        <v>2308</v>
      </c>
      <c r="AM116" s="2577"/>
      <c r="AN116" s="2578"/>
      <c r="AO116" s="2577" t="s">
        <v>2309</v>
      </c>
      <c r="AP116" s="2577"/>
      <c r="AQ116" s="2578"/>
      <c r="AR116" s="2577" t="s">
        <v>2310</v>
      </c>
      <c r="AS116" s="2577"/>
      <c r="AT116" s="2578">
        <v>1</v>
      </c>
      <c r="AU116" s="2577" t="s">
        <v>2304</v>
      </c>
      <c r="AV116" s="2577"/>
      <c r="AW116" s="2578"/>
      <c r="AX116" s="51"/>
      <c r="AY116" s="51"/>
      <c r="AZ116" s="2578"/>
      <c r="BA116" s="51"/>
      <c r="BB116" s="51"/>
      <c r="BC116" s="2578"/>
      <c r="BD116" s="51"/>
      <c r="BE116" s="51"/>
      <c r="BF116" s="2578"/>
      <c r="BG116" s="51"/>
      <c r="BH116" s="51"/>
      <c r="BI116" s="2578"/>
      <c r="BJ116" s="51"/>
      <c r="BK116" s="51"/>
      <c r="BL116" s="2579"/>
    </row>
    <row r="117" spans="1:64" ht="12.75" customHeight="1" thickBot="1" x14ac:dyDescent="0.25">
      <c r="A117" s="2029">
        <v>117</v>
      </c>
      <c r="B117" s="4995"/>
      <c r="C117" s="434" t="s">
        <v>2383</v>
      </c>
      <c r="D117" s="69"/>
      <c r="F117" s="5167" t="s">
        <v>2378</v>
      </c>
      <c r="G117" s="5167"/>
      <c r="H117" s="413"/>
      <c r="I117" s="2918" t="str">
        <f t="shared" si="3"/>
        <v/>
      </c>
      <c r="J117" s="2582" t="s">
        <v>2311</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155" t="s">
        <v>2312</v>
      </c>
      <c r="AD117" s="5155"/>
      <c r="AE117" s="2578">
        <v>1</v>
      </c>
      <c r="AF117" s="5160" t="s">
        <v>2313</v>
      </c>
      <c r="AG117" s="5160"/>
      <c r="AH117" s="2578"/>
      <c r="AI117" s="5160">
        <f>IF(TipoDeCriatura="Natural",MAX(Principal!AB13-IF(Raza=0,0,VLOOKUP(Raza,Tablas!$J$109:$AB$129,19,FALSE)),0),"-")</f>
        <v>10</v>
      </c>
      <c r="AJ117" s="5160"/>
      <c r="AK117" s="2578">
        <v>1</v>
      </c>
      <c r="AL117" s="5160" t="s">
        <v>2314</v>
      </c>
      <c r="AM117" s="5160"/>
      <c r="AN117" s="2578">
        <v>1</v>
      </c>
      <c r="AO117" s="5159" t="s">
        <v>2274</v>
      </c>
      <c r="AP117" s="5159"/>
      <c r="AQ117" s="2578"/>
      <c r="AR117" s="5160"/>
      <c r="AS117" s="5160"/>
      <c r="AT117" s="2578"/>
      <c r="AU117" s="5160"/>
      <c r="AV117" s="5160"/>
      <c r="AW117" s="2578"/>
      <c r="AX117" s="5162"/>
      <c r="AY117" s="5162"/>
      <c r="AZ117" s="2578"/>
      <c r="BA117" s="5162"/>
      <c r="BB117" s="5162"/>
      <c r="BC117" s="2578"/>
      <c r="BD117" s="5162"/>
      <c r="BE117" s="5162"/>
      <c r="BF117" s="2578"/>
      <c r="BG117" s="5162"/>
      <c r="BH117" s="5162"/>
      <c r="BI117" s="2578"/>
      <c r="BJ117" s="5162"/>
      <c r="BK117" s="5162"/>
      <c r="BL117" s="2579"/>
    </row>
    <row r="118" spans="1:64" ht="12.75" customHeight="1" thickBot="1" x14ac:dyDescent="0.25">
      <c r="A118" s="2029">
        <v>118</v>
      </c>
      <c r="B118" s="4995"/>
      <c r="C118" s="434" t="s">
        <v>2384</v>
      </c>
      <c r="D118" s="69"/>
      <c r="H118" s="413"/>
      <c r="I118" s="2918" t="str">
        <f t="shared" si="3"/>
        <v/>
      </c>
      <c r="J118" s="2582" t="s">
        <v>2261</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155"/>
      <c r="AD118" s="5155"/>
      <c r="AE118" s="2578"/>
      <c r="AF118" s="5160"/>
      <c r="AG118" s="5160"/>
      <c r="AH118" s="2578"/>
      <c r="AI118" s="5160"/>
      <c r="AJ118" s="5160"/>
      <c r="AK118" s="2578"/>
      <c r="AL118" s="5160"/>
      <c r="AM118" s="5160"/>
      <c r="AN118" s="2578"/>
      <c r="AO118" s="5159"/>
      <c r="AP118" s="5159"/>
      <c r="AQ118" s="2578"/>
      <c r="AR118" s="5160"/>
      <c r="AS118" s="5160"/>
      <c r="AT118" s="2578"/>
      <c r="AU118" s="5160"/>
      <c r="AV118" s="5160"/>
      <c r="AW118" s="2578"/>
      <c r="AX118" s="5162"/>
      <c r="AY118" s="5162"/>
      <c r="AZ118" s="2578"/>
      <c r="BA118" s="5162"/>
      <c r="BB118" s="5162"/>
      <c r="BC118" s="2578"/>
      <c r="BD118" s="5162"/>
      <c r="BE118" s="5162"/>
      <c r="BF118" s="2578"/>
      <c r="BG118" s="5162"/>
      <c r="BH118" s="5162"/>
      <c r="BI118" s="2578"/>
      <c r="BJ118" s="5162"/>
      <c r="BK118" s="5162"/>
      <c r="BL118" s="2579"/>
    </row>
    <row r="119" spans="1:64" ht="12.75" customHeight="1" thickBot="1" x14ac:dyDescent="0.25">
      <c r="A119" s="2029">
        <v>119</v>
      </c>
      <c r="B119" s="4995"/>
      <c r="C119" s="434" t="s">
        <v>2385</v>
      </c>
      <c r="D119" s="69"/>
      <c r="F119" s="3177" t="s">
        <v>2411</v>
      </c>
      <c r="G119" s="3177"/>
      <c r="H119" s="413"/>
      <c r="I119" s="2918" t="str">
        <f t="shared" si="3"/>
        <v/>
      </c>
      <c r="J119" s="2582" t="s">
        <v>2315</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155" t="s">
        <v>2316</v>
      </c>
      <c r="AD119" s="5155"/>
      <c r="AE119" s="2578">
        <v>1</v>
      </c>
      <c r="AF119" s="5159" t="s">
        <v>2317</v>
      </c>
      <c r="AG119" s="5159"/>
      <c r="AH119" s="2578">
        <v>1</v>
      </c>
      <c r="AI119" s="5159" t="s">
        <v>2318</v>
      </c>
      <c r="AJ119" s="5159"/>
      <c r="AK119" s="2578"/>
      <c r="AL119" s="5159" t="s">
        <v>2011</v>
      </c>
      <c r="AM119" s="5159"/>
      <c r="AN119" s="2578">
        <v>1</v>
      </c>
      <c r="AO119" s="5159" t="s">
        <v>2319</v>
      </c>
      <c r="AP119" s="5159"/>
      <c r="AQ119" s="2578"/>
      <c r="AR119" s="5159" t="s">
        <v>2263</v>
      </c>
      <c r="AS119" s="5159"/>
      <c r="AT119" s="2578">
        <v>1</v>
      </c>
      <c r="AU119" s="5159" t="s">
        <v>2265</v>
      </c>
      <c r="AV119" s="5159"/>
      <c r="AW119" s="2578"/>
      <c r="AX119" s="5159" t="s">
        <v>2320</v>
      </c>
      <c r="AY119" s="5159"/>
      <c r="AZ119" s="2578"/>
      <c r="BA119" s="5159" t="s">
        <v>2321</v>
      </c>
      <c r="BB119" s="5159"/>
      <c r="BC119" s="2578"/>
      <c r="BD119" s="5159" t="s">
        <v>2322</v>
      </c>
      <c r="BE119" s="5159"/>
      <c r="BF119" s="2578"/>
      <c r="BG119" s="5159" t="s">
        <v>2323</v>
      </c>
      <c r="BH119" s="5159"/>
      <c r="BI119" s="2578">
        <v>1</v>
      </c>
      <c r="BJ119" s="5159"/>
      <c r="BK119" s="5159"/>
      <c r="BL119" s="2579"/>
    </row>
    <row r="120" spans="1:64" ht="12.75" customHeight="1" thickBot="1" x14ac:dyDescent="0.25">
      <c r="A120" s="2029">
        <v>120</v>
      </c>
      <c r="B120" s="4995"/>
      <c r="C120" s="434" t="s">
        <v>2386</v>
      </c>
      <c r="D120" s="69"/>
      <c r="F120" s="3177"/>
      <c r="G120" s="3177"/>
      <c r="H120" s="413"/>
      <c r="I120" s="2918" t="str">
        <f t="shared" si="3"/>
        <v/>
      </c>
      <c r="J120" s="2582" t="s">
        <v>2324</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155" t="s">
        <v>2268</v>
      </c>
      <c r="AD120" s="5155"/>
      <c r="AE120" s="2578">
        <v>1</v>
      </c>
      <c r="AF120" s="5159" t="s">
        <v>2325</v>
      </c>
      <c r="AG120" s="5159"/>
      <c r="AH120" s="2578">
        <v>1</v>
      </c>
      <c r="AI120" s="5159" t="s">
        <v>2269</v>
      </c>
      <c r="AJ120" s="5159"/>
      <c r="AK120" s="2578">
        <v>1</v>
      </c>
      <c r="AL120" s="5159" t="s">
        <v>2326</v>
      </c>
      <c r="AM120" s="5159"/>
      <c r="AN120" s="2578">
        <v>1</v>
      </c>
      <c r="AO120" s="5159" t="s">
        <v>2327</v>
      </c>
      <c r="AP120" s="5159"/>
      <c r="AQ120" s="2578"/>
      <c r="AR120" s="5159" t="s">
        <v>2312</v>
      </c>
      <c r="AS120" s="5159"/>
      <c r="AT120" s="2578">
        <v>1</v>
      </c>
      <c r="AU120" s="5159" t="s">
        <v>9186</v>
      </c>
      <c r="AV120" s="5159"/>
      <c r="AW120" s="2578">
        <v>1</v>
      </c>
      <c r="AX120" s="5159" t="s">
        <v>2328</v>
      </c>
      <c r="AY120" s="5159"/>
      <c r="AZ120" s="2578">
        <v>1</v>
      </c>
      <c r="BA120" s="5159" t="s">
        <v>2329</v>
      </c>
      <c r="BB120" s="5159"/>
      <c r="BC120" s="2578">
        <v>1</v>
      </c>
      <c r="BD120" s="5159"/>
      <c r="BE120" s="5159"/>
      <c r="BF120" s="2578"/>
      <c r="BG120" s="5159"/>
      <c r="BH120" s="5159"/>
      <c r="BI120" s="2578"/>
      <c r="BJ120" s="5159"/>
      <c r="BK120" s="5159"/>
      <c r="BL120" s="2579"/>
    </row>
    <row r="121" spans="1:64" ht="12.75" customHeight="1" x14ac:dyDescent="0.2">
      <c r="A121" s="2029">
        <v>121</v>
      </c>
      <c r="B121" s="4995"/>
      <c r="C121" s="434" t="s">
        <v>2387</v>
      </c>
      <c r="D121" s="69"/>
      <c r="F121" s="434" t="s">
        <v>2412</v>
      </c>
      <c r="G121" s="345"/>
      <c r="H121" s="413"/>
      <c r="I121" s="2918" t="str">
        <f t="shared" si="3"/>
        <v/>
      </c>
      <c r="J121" s="2582" t="s">
        <v>2330</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155" t="s">
        <v>2277</v>
      </c>
      <c r="AD121" s="5155"/>
      <c r="AE121" s="2578"/>
      <c r="AF121" s="5159" t="s">
        <v>2276</v>
      </c>
      <c r="AG121" s="5159"/>
      <c r="AH121" s="2578">
        <v>2</v>
      </c>
      <c r="AI121" s="5159" t="s">
        <v>2331</v>
      </c>
      <c r="AJ121" s="5159"/>
      <c r="AK121" s="2578"/>
      <c r="AL121" s="5159" t="s">
        <v>2279</v>
      </c>
      <c r="AM121" s="5159"/>
      <c r="AN121" s="2578"/>
      <c r="AO121" s="5159" t="s">
        <v>2278</v>
      </c>
      <c r="AP121" s="5159"/>
      <c r="AQ121" s="2578"/>
      <c r="AR121" s="5159" t="s">
        <v>2332</v>
      </c>
      <c r="AS121" s="5159"/>
      <c r="AT121" s="2578"/>
      <c r="AU121" s="5159" t="s">
        <v>2329</v>
      </c>
      <c r="AV121" s="5159"/>
      <c r="AW121" s="2578">
        <v>1</v>
      </c>
      <c r="AX121" s="5159"/>
      <c r="AY121" s="5159"/>
      <c r="AZ121" s="2578"/>
      <c r="BA121" s="5159"/>
      <c r="BB121" s="5159"/>
      <c r="BC121" s="2578"/>
      <c r="BD121" s="5159"/>
      <c r="BE121" s="5159"/>
      <c r="BF121" s="2578"/>
      <c r="BG121" s="5159"/>
      <c r="BH121" s="5159"/>
      <c r="BI121" s="2578"/>
      <c r="BJ121" s="5159"/>
      <c r="BK121" s="5159"/>
      <c r="BL121" s="2579"/>
    </row>
    <row r="122" spans="1:64" ht="12.75" customHeight="1" x14ac:dyDescent="0.2">
      <c r="A122" s="2029">
        <v>122</v>
      </c>
      <c r="B122" s="4995"/>
      <c r="C122" s="434" t="s">
        <v>2388</v>
      </c>
      <c r="D122" s="69"/>
      <c r="F122" s="434" t="s">
        <v>2413</v>
      </c>
      <c r="G122" s="345"/>
      <c r="H122" s="413"/>
      <c r="I122" s="2918" t="str">
        <f t="shared" si="3"/>
        <v/>
      </c>
      <c r="J122" s="2582" t="s">
        <v>2333</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155" t="s">
        <v>2282</v>
      </c>
      <c r="AD122" s="5155"/>
      <c r="AE122" s="2578"/>
      <c r="AF122" s="5159" t="s">
        <v>2334</v>
      </c>
      <c r="AG122" s="5159"/>
      <c r="AH122" s="2578"/>
      <c r="AI122" s="5159" t="s">
        <v>2284</v>
      </c>
      <c r="AJ122" s="5159"/>
      <c r="AK122" s="2578"/>
      <c r="AL122" s="5159" t="str">
        <f>IF(General!$N$23="Conseguido","Modificador de nivel: +3","Modificador de nivel: +1")</f>
        <v>Modificador de nivel: +1</v>
      </c>
      <c r="AM122" s="5159"/>
      <c r="AN122" s="2578">
        <v>1</v>
      </c>
      <c r="AO122" s="5159"/>
      <c r="AP122" s="5159"/>
      <c r="AQ122" s="2578"/>
      <c r="AR122" s="5159"/>
      <c r="AS122" s="5159"/>
      <c r="AT122" s="2578"/>
      <c r="AU122" s="5159"/>
      <c r="AV122" s="5159"/>
      <c r="AW122" s="2578"/>
      <c r="AX122" s="5159"/>
      <c r="AY122" s="5159"/>
      <c r="AZ122" s="2578"/>
      <c r="BA122" s="5159"/>
      <c r="BB122" s="5159"/>
      <c r="BC122" s="2578"/>
      <c r="BD122" s="5159"/>
      <c r="BE122" s="5159"/>
      <c r="BF122" s="2578"/>
      <c r="BG122" s="5159"/>
      <c r="BH122" s="5159"/>
      <c r="BI122" s="2578"/>
      <c r="BJ122" s="5159"/>
      <c r="BK122" s="5159"/>
      <c r="BL122" s="2579"/>
    </row>
    <row r="123" spans="1:64" ht="12.75" customHeight="1" x14ac:dyDescent="0.2">
      <c r="A123" s="2029">
        <v>123</v>
      </c>
      <c r="B123" s="4995"/>
      <c r="C123" s="434" t="s">
        <v>2389</v>
      </c>
      <c r="D123" s="69"/>
      <c r="F123" s="434" t="s">
        <v>2414</v>
      </c>
      <c r="G123" s="345"/>
      <c r="H123" s="413"/>
      <c r="I123" s="2918" t="str">
        <f t="shared" si="3"/>
        <v/>
      </c>
      <c r="J123" s="2582" t="s">
        <v>2335</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155" t="s">
        <v>2336</v>
      </c>
      <c r="AD123" s="5155"/>
      <c r="AE123" s="2578">
        <v>1</v>
      </c>
      <c r="AF123" s="5159" t="s">
        <v>2286</v>
      </c>
      <c r="AG123" s="5159"/>
      <c r="AH123" s="2578"/>
      <c r="AI123" s="5159" t="s">
        <v>2337</v>
      </c>
      <c r="AJ123" s="5159"/>
      <c r="AK123" s="2578">
        <v>1</v>
      </c>
      <c r="AL123" s="5159" t="s">
        <v>2011</v>
      </c>
      <c r="AM123" s="5159"/>
      <c r="AN123" s="2578">
        <v>1</v>
      </c>
      <c r="AO123" s="5159" t="s">
        <v>2288</v>
      </c>
      <c r="AP123" s="5159"/>
      <c r="AQ123" s="2578">
        <v>1</v>
      </c>
      <c r="AR123" s="5159" t="s">
        <v>2289</v>
      </c>
      <c r="AS123" s="5159"/>
      <c r="AT123" s="2578"/>
      <c r="AU123" s="5159" t="s">
        <v>2338</v>
      </c>
      <c r="AV123" s="5159"/>
      <c r="AW123" s="2578"/>
      <c r="AX123" s="5159" t="s">
        <v>2318</v>
      </c>
      <c r="AY123" s="5159"/>
      <c r="AZ123" s="2578"/>
      <c r="BA123" s="5159" t="s">
        <v>2339</v>
      </c>
      <c r="BB123" s="5159"/>
      <c r="BC123" s="2578"/>
      <c r="BD123" s="5159" t="s">
        <v>2287</v>
      </c>
      <c r="BE123" s="5159"/>
      <c r="BF123" s="2578"/>
      <c r="BG123" s="5159" t="s">
        <v>2290</v>
      </c>
      <c r="BH123" s="5159"/>
      <c r="BI123" s="2578"/>
      <c r="BJ123" s="5159" t="s">
        <v>2329</v>
      </c>
      <c r="BK123" s="5159"/>
      <c r="BL123" s="2579">
        <v>1</v>
      </c>
    </row>
    <row r="124" spans="1:64" ht="12.75" customHeight="1" x14ac:dyDescent="0.2">
      <c r="A124" s="2029">
        <v>124</v>
      </c>
      <c r="B124" s="4995"/>
      <c r="C124" s="434" t="s">
        <v>2390</v>
      </c>
      <c r="D124" s="69"/>
      <c r="F124" s="434" t="s">
        <v>2415</v>
      </c>
      <c r="G124" s="345"/>
      <c r="H124" s="413"/>
      <c r="I124" s="2918" t="str">
        <f t="shared" si="3"/>
        <v/>
      </c>
      <c r="J124" s="2582" t="s">
        <v>2340</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155" t="s">
        <v>2341</v>
      </c>
      <c r="AD124" s="5155"/>
      <c r="AE124" s="2578">
        <v>1</v>
      </c>
      <c r="AF124" s="5159" t="s">
        <v>2342</v>
      </c>
      <c r="AG124" s="5159"/>
      <c r="AH124" s="2578"/>
      <c r="AI124" s="5159" t="s">
        <v>2011</v>
      </c>
      <c r="AJ124" s="5159"/>
      <c r="AK124" s="2578">
        <v>1</v>
      </c>
      <c r="AL124" s="5159" t="s">
        <v>2265</v>
      </c>
      <c r="AM124" s="5159"/>
      <c r="AN124" s="2578"/>
      <c r="AO124" s="5159" t="s">
        <v>2343</v>
      </c>
      <c r="AP124" s="5159"/>
      <c r="AQ124" s="2578"/>
      <c r="AR124" s="5159" t="s">
        <v>2344</v>
      </c>
      <c r="AS124" s="5159"/>
      <c r="AT124" s="2578">
        <v>1</v>
      </c>
      <c r="AU124" s="5159" t="s">
        <v>2345</v>
      </c>
      <c r="AV124" s="5159"/>
      <c r="AW124" s="2578"/>
      <c r="AX124" s="5159" t="s">
        <v>2263</v>
      </c>
      <c r="AY124" s="5159"/>
      <c r="AZ124" s="2578">
        <v>1</v>
      </c>
      <c r="BA124" s="5159" t="s">
        <v>2346</v>
      </c>
      <c r="BB124" s="5159"/>
      <c r="BC124" s="2578"/>
      <c r="BD124" s="5159" t="s">
        <v>2347</v>
      </c>
      <c r="BE124" s="5159"/>
      <c r="BF124" s="2578"/>
      <c r="BG124" s="5159" t="s">
        <v>2298</v>
      </c>
      <c r="BH124" s="5159"/>
      <c r="BI124" s="2578"/>
      <c r="BJ124" s="5159" t="s">
        <v>2348</v>
      </c>
      <c r="BK124" s="5159"/>
      <c r="BL124" s="2579">
        <v>1</v>
      </c>
    </row>
    <row r="125" spans="1:64" ht="12.75" customHeight="1" x14ac:dyDescent="0.2">
      <c r="A125" s="2029">
        <v>125</v>
      </c>
      <c r="B125" s="4995"/>
      <c r="C125" s="434" t="s">
        <v>2391</v>
      </c>
      <c r="D125" s="69"/>
      <c r="F125" s="434" t="s">
        <v>2416</v>
      </c>
      <c r="G125" s="345"/>
      <c r="H125" s="413"/>
      <c r="I125" s="2918" t="str">
        <f t="shared" si="3"/>
        <v/>
      </c>
      <c r="J125" s="2582" t="s">
        <v>2349</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155" t="s">
        <v>2350</v>
      </c>
      <c r="AD125" s="5155"/>
      <c r="AE125" s="2578">
        <v>1</v>
      </c>
      <c r="AF125" s="5155" t="str">
        <f>IF(AH125=0,"",Raza)</f>
        <v/>
      </c>
      <c r="AG125" s="5155"/>
      <c r="AH125" s="2578">
        <f>IF(Raza=0,0,VLOOKUP(Raza,Tablas!$J$109:$P$129,7,FALSE))</f>
        <v>0</v>
      </c>
      <c r="AI125" s="5155" t="s">
        <v>2351</v>
      </c>
      <c r="AJ125" s="5155"/>
      <c r="AK125" s="2578"/>
      <c r="AL125" s="5155" t="s">
        <v>2300</v>
      </c>
      <c r="AM125" s="5155"/>
      <c r="AN125" s="2578"/>
      <c r="AO125" s="5155" t="s">
        <v>2301</v>
      </c>
      <c r="AP125" s="5155"/>
      <c r="AQ125" s="2578"/>
      <c r="AR125" s="5155" t="s">
        <v>2302</v>
      </c>
      <c r="AS125" s="5155"/>
      <c r="AT125" s="2578">
        <v>1</v>
      </c>
      <c r="AU125" s="5155" t="s">
        <v>2303</v>
      </c>
      <c r="AV125" s="5155"/>
      <c r="AW125" s="2578">
        <v>1</v>
      </c>
      <c r="AX125" s="5155" t="s">
        <v>2352</v>
      </c>
      <c r="AY125" s="5155"/>
      <c r="AZ125" s="2578"/>
      <c r="BA125" s="51"/>
      <c r="BB125" s="51"/>
      <c r="BC125" s="2578"/>
      <c r="BD125" s="51"/>
      <c r="BE125" s="51"/>
      <c r="BF125" s="2578"/>
      <c r="BG125" s="51"/>
      <c r="BH125" s="51"/>
      <c r="BI125" s="2578"/>
      <c r="BJ125" s="51"/>
      <c r="BK125" s="51"/>
      <c r="BL125" s="2579"/>
    </row>
    <row r="126" spans="1:64" ht="12.75" customHeight="1" x14ac:dyDescent="0.2">
      <c r="A126" s="2029">
        <v>126</v>
      </c>
      <c r="B126" s="4995"/>
      <c r="C126" s="434" t="s">
        <v>2392</v>
      </c>
      <c r="D126" s="69"/>
      <c r="F126" s="434" t="s">
        <v>2417</v>
      </c>
      <c r="G126" s="345"/>
      <c r="H126" s="413"/>
      <c r="I126" s="2918" t="str">
        <f t="shared" si="3"/>
        <v/>
      </c>
      <c r="J126" s="2582" t="s">
        <v>2353</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155" t="s">
        <v>2354</v>
      </c>
      <c r="AD126" s="5155"/>
      <c r="AE126" s="2578"/>
      <c r="AF126" s="5155" t="s">
        <v>2306</v>
      </c>
      <c r="AG126" s="5155"/>
      <c r="AH126" s="2578"/>
      <c r="AI126" s="5155" t="s">
        <v>2355</v>
      </c>
      <c r="AJ126" s="5155"/>
      <c r="AK126" s="2578"/>
      <c r="AL126" s="5155" t="s">
        <v>2307</v>
      </c>
      <c r="AM126" s="5155"/>
      <c r="AN126" s="2578"/>
      <c r="AO126" s="5155" t="s">
        <v>2263</v>
      </c>
      <c r="AP126" s="5155"/>
      <c r="AQ126" s="2578"/>
      <c r="AR126" s="5155" t="s">
        <v>2356</v>
      </c>
      <c r="AS126" s="5155"/>
      <c r="AT126" s="2578"/>
      <c r="AU126" s="5155" t="s">
        <v>2357</v>
      </c>
      <c r="AV126" s="5155"/>
      <c r="AW126" s="2578"/>
      <c r="AX126" s="51"/>
      <c r="AY126" s="51"/>
      <c r="AZ126" s="2578"/>
      <c r="BA126" s="51"/>
      <c r="BB126" s="51"/>
      <c r="BC126" s="2578"/>
      <c r="BD126" s="51"/>
      <c r="BE126" s="51"/>
      <c r="BF126" s="2578"/>
      <c r="BG126" s="51"/>
      <c r="BH126" s="51"/>
      <c r="BI126" s="2578"/>
      <c r="BJ126" s="51"/>
      <c r="BK126" s="51"/>
      <c r="BL126" s="2579"/>
    </row>
    <row r="127" spans="1:64" ht="12.75" customHeight="1" thickBot="1" x14ac:dyDescent="0.25">
      <c r="A127" s="2029">
        <v>127</v>
      </c>
      <c r="B127" s="4995"/>
      <c r="C127" s="433" t="s">
        <v>2393</v>
      </c>
      <c r="D127" s="200"/>
      <c r="F127" s="434" t="s">
        <v>2418</v>
      </c>
      <c r="G127" s="345"/>
      <c r="H127" s="413"/>
      <c r="I127" s="2918" t="str">
        <f t="shared" si="3"/>
        <v/>
      </c>
      <c r="J127" s="2582" t="s">
        <v>2358</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155" t="s">
        <v>2312</v>
      </c>
      <c r="AD127" s="5155"/>
      <c r="AE127" s="2578">
        <v>1</v>
      </c>
      <c r="AF127" s="5155" t="s">
        <v>2359</v>
      </c>
      <c r="AG127" s="5155"/>
      <c r="AH127" s="2578"/>
      <c r="AI127" s="5155" t="s">
        <v>2360</v>
      </c>
      <c r="AJ127" s="5155"/>
      <c r="AK127" s="2578">
        <v>1</v>
      </c>
      <c r="AL127" s="5155" t="s">
        <v>2361</v>
      </c>
      <c r="AM127" s="5155"/>
      <c r="AN127" s="2578"/>
      <c r="AO127" s="5155" t="s">
        <v>2362</v>
      </c>
      <c r="AP127" s="5155"/>
      <c r="AQ127" s="2578"/>
      <c r="AR127" s="51"/>
      <c r="AS127" s="51"/>
      <c r="AT127" s="2578"/>
      <c r="AU127" s="51"/>
      <c r="AV127" s="51"/>
      <c r="AW127" s="2578"/>
      <c r="AX127" s="51"/>
      <c r="AY127" s="51"/>
      <c r="AZ127" s="2578"/>
      <c r="BA127" s="51"/>
      <c r="BB127" s="51"/>
      <c r="BC127" s="2578"/>
      <c r="BD127" s="51"/>
      <c r="BE127" s="51"/>
      <c r="BF127" s="2578"/>
      <c r="BG127" s="51"/>
      <c r="BH127" s="51"/>
      <c r="BI127" s="2578"/>
      <c r="BJ127" s="51"/>
      <c r="BK127" s="51"/>
      <c r="BL127" s="2579"/>
    </row>
    <row r="128" spans="1:64" ht="12.75" customHeight="1" x14ac:dyDescent="0.2">
      <c r="A128" s="2029">
        <v>128</v>
      </c>
      <c r="B128" s="4995"/>
      <c r="F128" s="434" t="s">
        <v>2419</v>
      </c>
      <c r="G128" s="345"/>
      <c r="H128" s="413"/>
      <c r="I128" s="2918" t="str">
        <f t="shared" si="3"/>
        <v/>
      </c>
      <c r="J128" s="2582" t="s">
        <v>2363</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155" t="s">
        <v>2364</v>
      </c>
      <c r="AD128" s="5155"/>
      <c r="AE128" s="2578">
        <v>1</v>
      </c>
      <c r="AF128" s="5155" t="s">
        <v>2312</v>
      </c>
      <c r="AG128" s="5155"/>
      <c r="AH128" s="2578">
        <v>1</v>
      </c>
      <c r="AI128" s="5160" t="s">
        <v>2365</v>
      </c>
      <c r="AJ128" s="5160"/>
      <c r="AK128" s="2578">
        <v>1</v>
      </c>
      <c r="AL128" s="5160" t="s">
        <v>2366</v>
      </c>
      <c r="AM128" s="5160"/>
      <c r="AN128" s="2578">
        <v>1</v>
      </c>
      <c r="AO128" s="5160" t="s">
        <v>2162</v>
      </c>
      <c r="AP128" s="5160"/>
      <c r="AQ128" s="2578"/>
      <c r="AR128" s="5162" t="s">
        <v>2314</v>
      </c>
      <c r="AS128" s="5162"/>
      <c r="AT128" s="2578">
        <v>1</v>
      </c>
      <c r="AU128" s="5159" t="s">
        <v>2367</v>
      </c>
      <c r="AV128" s="5159"/>
      <c r="AW128" s="2578"/>
      <c r="AX128" s="5159" t="s">
        <v>2329</v>
      </c>
      <c r="AY128" s="5159"/>
      <c r="AZ128" s="2578">
        <v>1</v>
      </c>
      <c r="BA128" s="51"/>
      <c r="BB128" s="51"/>
      <c r="BC128" s="2578"/>
      <c r="BD128" s="51"/>
      <c r="BE128" s="51"/>
      <c r="BF128" s="2578"/>
      <c r="BG128" s="51"/>
      <c r="BH128" s="51"/>
      <c r="BI128" s="2578"/>
      <c r="BJ128" s="51"/>
      <c r="BK128" s="51"/>
      <c r="BL128" s="2579"/>
    </row>
    <row r="129" spans="1:109" ht="12.75" customHeight="1" thickBot="1" x14ac:dyDescent="0.25">
      <c r="A129" s="2029">
        <v>129</v>
      </c>
      <c r="B129" s="4995"/>
      <c r="F129" s="433" t="s">
        <v>2420</v>
      </c>
      <c r="G129" s="1861"/>
      <c r="H129" s="413"/>
      <c r="I129" s="2919" t="str">
        <f t="shared" si="3"/>
        <v/>
      </c>
      <c r="J129" s="2582" t="s">
        <v>1921</v>
      </c>
      <c r="K129" s="2586"/>
      <c r="L129" s="2586"/>
      <c r="M129" s="2586"/>
      <c r="N129" s="2586"/>
      <c r="O129" s="2587"/>
      <c r="P129" s="428"/>
      <c r="Q129" s="429"/>
      <c r="R129" s="429"/>
      <c r="S129" s="429"/>
      <c r="T129" s="429"/>
      <c r="U129" s="429"/>
      <c r="V129" s="429"/>
      <c r="W129" s="429"/>
      <c r="X129" s="430"/>
      <c r="Y129" s="429"/>
      <c r="Z129" s="429"/>
      <c r="AA129" s="429"/>
      <c r="AB129" s="429"/>
      <c r="AC129" s="5189"/>
      <c r="AD129" s="5189"/>
      <c r="AE129" s="2580"/>
      <c r="AF129" s="5161"/>
      <c r="AG129" s="5161"/>
      <c r="AH129" s="2580"/>
      <c r="AI129" s="5161"/>
      <c r="AJ129" s="5161"/>
      <c r="AK129" s="2580"/>
      <c r="AL129" s="5161"/>
      <c r="AM129" s="5161"/>
      <c r="AN129" s="2580"/>
      <c r="AO129" s="5161"/>
      <c r="AP129" s="5161"/>
      <c r="AQ129" s="2580"/>
      <c r="AR129" s="5161"/>
      <c r="AS129" s="5161"/>
      <c r="AT129" s="2580"/>
      <c r="AU129" s="5161"/>
      <c r="AV129" s="5161"/>
      <c r="AW129" s="2580"/>
      <c r="AX129" s="5161"/>
      <c r="AY129" s="5161"/>
      <c r="AZ129" s="2580"/>
      <c r="BA129" s="5161"/>
      <c r="BB129" s="5161"/>
      <c r="BC129" s="2580"/>
      <c r="BD129" s="5161"/>
      <c r="BE129" s="5161"/>
      <c r="BF129" s="2580"/>
      <c r="BG129" s="5161"/>
      <c r="BH129" s="5161"/>
      <c r="BI129" s="2580"/>
      <c r="BJ129" s="5161"/>
      <c r="BK129" s="5161"/>
      <c r="BL129" s="2581"/>
    </row>
    <row r="130" spans="1:109" ht="12.75" customHeight="1" thickBot="1" x14ac:dyDescent="0.25">
      <c r="A130" s="2029">
        <v>130</v>
      </c>
      <c r="B130" s="4995"/>
      <c r="H130" s="413"/>
      <c r="J130" s="5090" t="s">
        <v>9440</v>
      </c>
      <c r="K130" s="2557" t="str">
        <f>K108</f>
        <v>RF</v>
      </c>
      <c r="L130" s="2557" t="str">
        <f>L108</f>
        <v>RE</v>
      </c>
      <c r="M130" s="2557" t="str">
        <f>M108</f>
        <v>RV</v>
      </c>
      <c r="N130" s="2557" t="str">
        <f>N108</f>
        <v>RM</v>
      </c>
      <c r="O130" s="2557" t="str">
        <f>O108</f>
        <v>RP</v>
      </c>
      <c r="P130" s="2557" t="s">
        <v>1769</v>
      </c>
      <c r="Q130" s="2557" t="str">
        <f t="shared" ref="Q130:AB130" si="4">Q108</f>
        <v>AGI</v>
      </c>
      <c r="R130" s="2557" t="str">
        <f t="shared" si="4"/>
        <v>CON</v>
      </c>
      <c r="S130" s="2557" t="str">
        <f t="shared" si="4"/>
        <v>DES</v>
      </c>
      <c r="T130" s="2557" t="str">
        <f t="shared" si="4"/>
        <v>FUE</v>
      </c>
      <c r="U130" s="2557" t="str">
        <f t="shared" si="4"/>
        <v>INT</v>
      </c>
      <c r="V130" s="2557" t="str">
        <f t="shared" si="4"/>
        <v>PER</v>
      </c>
      <c r="W130" s="2557" t="str">
        <f t="shared" si="4"/>
        <v>POD</v>
      </c>
      <c r="X130" s="2557" t="str">
        <f t="shared" si="4"/>
        <v>VOL</v>
      </c>
      <c r="Y130" s="2557" t="str">
        <f t="shared" si="4"/>
        <v>Tamaño</v>
      </c>
      <c r="Z130" s="2557" t="str">
        <f t="shared" si="4"/>
        <v>Regeneración</v>
      </c>
      <c r="AA130" s="2557" t="str">
        <f t="shared" si="4"/>
        <v>Cansancio</v>
      </c>
      <c r="AB130" s="2690" t="str">
        <f t="shared" si="4"/>
        <v>Natura</v>
      </c>
    </row>
    <row r="131" spans="1:109" ht="12.75" customHeight="1" x14ac:dyDescent="0.2">
      <c r="A131" s="2029">
        <v>131</v>
      </c>
      <c r="B131" s="4995"/>
      <c r="H131" s="413"/>
      <c r="J131" s="5091"/>
      <c r="K131" s="256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6" t="s">
        <v>1769</v>
      </c>
      <c r="Q131" s="2566">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6">
        <f t="shared" si="5"/>
        <v>0</v>
      </c>
      <c r="S131" s="2566">
        <f t="shared" si="5"/>
        <v>0</v>
      </c>
      <c r="T131" s="2566">
        <f t="shared" si="5"/>
        <v>0</v>
      </c>
      <c r="U131" s="2566">
        <f t="shared" si="5"/>
        <v>0</v>
      </c>
      <c r="V131" s="2566">
        <f t="shared" si="5"/>
        <v>0</v>
      </c>
      <c r="W131" s="2566">
        <f t="shared" si="5"/>
        <v>0</v>
      </c>
      <c r="X131" s="2566">
        <f t="shared" si="5"/>
        <v>0</v>
      </c>
      <c r="Y131" s="25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6">
        <f t="shared" si="5"/>
        <v>0</v>
      </c>
      <c r="AA131" s="2566">
        <f t="shared" si="5"/>
        <v>0</v>
      </c>
      <c r="AB131" s="2588">
        <f t="shared" si="5"/>
        <v>0</v>
      </c>
    </row>
    <row r="132" spans="1:109" ht="12.75" customHeight="1" x14ac:dyDescent="0.2">
      <c r="A132" s="2029">
        <v>132</v>
      </c>
      <c r="B132" s="4995"/>
      <c r="F132" s="1761"/>
      <c r="H132" s="413"/>
      <c r="L132" s="2112"/>
      <c r="N132" s="413"/>
    </row>
    <row r="133" spans="1:109" ht="12.75" customHeight="1" x14ac:dyDescent="0.2">
      <c r="A133" s="2029">
        <v>133</v>
      </c>
      <c r="B133" s="4995"/>
      <c r="F133" s="5185" t="s">
        <v>8308</v>
      </c>
      <c r="G133" s="5185"/>
      <c r="H133" s="5185"/>
      <c r="I133" s="5185"/>
      <c r="J133" s="5185"/>
      <c r="K133" s="5185"/>
      <c r="L133" s="5185"/>
      <c r="M133" s="5185"/>
      <c r="N133" s="5185"/>
      <c r="O133" s="5185"/>
      <c r="P133" s="5185"/>
      <c r="Q133" s="5185"/>
      <c r="R133" s="5185"/>
      <c r="S133" s="5185"/>
      <c r="T133" s="5185"/>
      <c r="U133" s="5185"/>
      <c r="V133" s="5185"/>
      <c r="W133" s="5185"/>
      <c r="X133" s="5185"/>
      <c r="Y133" s="5185"/>
      <c r="Z133" s="5185"/>
      <c r="AA133" s="5185"/>
      <c r="AB133" s="5185"/>
      <c r="AC133" s="5185"/>
      <c r="AD133" s="5185"/>
      <c r="AE133" s="5185"/>
      <c r="AF133" s="5185"/>
      <c r="AG133" s="5185"/>
      <c r="AH133" s="5185"/>
      <c r="AI133" s="5185"/>
      <c r="AJ133" s="5185"/>
      <c r="AK133" s="5185"/>
      <c r="AL133" s="5185"/>
      <c r="AM133" s="5185"/>
      <c r="AN133" s="5185"/>
      <c r="AO133" s="5185"/>
      <c r="AP133" s="5185"/>
      <c r="AQ133" s="5185"/>
      <c r="AR133" s="5185"/>
      <c r="AS133" s="5185"/>
      <c r="AT133" s="5185"/>
      <c r="AU133" s="5185"/>
      <c r="AV133" s="5185"/>
      <c r="AW133" s="5185"/>
      <c r="AX133" s="5185"/>
      <c r="AY133" s="5185"/>
      <c r="AZ133" s="5185"/>
      <c r="BA133" s="5185"/>
      <c r="BB133" s="5185"/>
      <c r="BC133" s="5185"/>
      <c r="BD133" s="5185"/>
      <c r="BE133" s="5185"/>
      <c r="BF133" s="5185"/>
      <c r="BG133" s="5185"/>
      <c r="BH133" s="5185"/>
      <c r="BI133" s="5185"/>
      <c r="BJ133" s="5185"/>
      <c r="BK133" s="5185"/>
      <c r="BL133" s="5185"/>
      <c r="BM133" s="5185"/>
      <c r="BN133" s="5185"/>
      <c r="BO133" s="5185"/>
      <c r="BP133" s="5185"/>
      <c r="BQ133" s="5185"/>
      <c r="BR133" s="5185"/>
      <c r="BS133" s="5185"/>
      <c r="BT133" s="5185"/>
      <c r="BU133" s="5185"/>
      <c r="BV133" s="5185"/>
      <c r="BW133" s="5185"/>
      <c r="BX133" s="5185"/>
      <c r="BY133" s="5185"/>
      <c r="BZ133" s="5185"/>
      <c r="CA133" s="5185"/>
      <c r="CB133" s="5185"/>
      <c r="CC133" s="5185"/>
      <c r="CD133" s="5185"/>
      <c r="CE133" s="5185"/>
      <c r="CF133" s="5185"/>
      <c r="CG133" s="5185"/>
      <c r="CH133" s="5185"/>
      <c r="CI133" s="5185"/>
      <c r="CJ133" s="5185"/>
      <c r="CK133" s="5185"/>
      <c r="CL133" s="5185"/>
      <c r="CM133" s="5185"/>
      <c r="CN133" s="5185"/>
      <c r="CO133" s="5185"/>
      <c r="CP133" s="5185"/>
      <c r="CQ133" s="5185"/>
      <c r="CR133" s="5185"/>
      <c r="CS133" s="5185"/>
      <c r="CT133" s="5185"/>
      <c r="CU133" s="5185"/>
      <c r="CV133" s="5185"/>
      <c r="CW133" s="5185"/>
      <c r="CX133" s="5185"/>
      <c r="CY133" s="5185"/>
      <c r="CZ133" s="5185"/>
      <c r="DA133" s="5185"/>
      <c r="DB133" s="5185"/>
      <c r="DC133" s="5185"/>
      <c r="DD133" s="5185"/>
      <c r="DE133" s="5186"/>
    </row>
    <row r="134" spans="1:109" ht="12.75" customHeight="1" x14ac:dyDescent="0.2">
      <c r="A134" s="2029">
        <v>134</v>
      </c>
      <c r="B134" s="4995"/>
      <c r="F134" s="5185"/>
      <c r="G134" s="5185"/>
      <c r="H134" s="5185"/>
      <c r="I134" s="5185"/>
      <c r="J134" s="5185"/>
      <c r="K134" s="5185"/>
      <c r="L134" s="5185"/>
      <c r="M134" s="5185"/>
      <c r="N134" s="5185"/>
      <c r="O134" s="5185"/>
      <c r="P134" s="5185"/>
      <c r="Q134" s="5185"/>
      <c r="R134" s="5185"/>
      <c r="S134" s="5185"/>
      <c r="T134" s="5185"/>
      <c r="U134" s="5185"/>
      <c r="V134" s="5185"/>
      <c r="W134" s="5185"/>
      <c r="X134" s="5185"/>
      <c r="Y134" s="5185"/>
      <c r="Z134" s="5185"/>
      <c r="AA134" s="5185"/>
      <c r="AB134" s="5185"/>
      <c r="AC134" s="5185"/>
      <c r="AD134" s="5185"/>
      <c r="AE134" s="5185"/>
      <c r="AF134" s="5185"/>
      <c r="AG134" s="5185"/>
      <c r="AH134" s="5185"/>
      <c r="AI134" s="5185"/>
      <c r="AJ134" s="5185"/>
      <c r="AK134" s="5185"/>
      <c r="AL134" s="5185"/>
      <c r="AM134" s="5185"/>
      <c r="AN134" s="5185"/>
      <c r="AO134" s="5185"/>
      <c r="AP134" s="5185"/>
      <c r="AQ134" s="5185"/>
      <c r="AR134" s="5185"/>
      <c r="AS134" s="5185"/>
      <c r="AT134" s="5185"/>
      <c r="AU134" s="5185"/>
      <c r="AV134" s="5185"/>
      <c r="AW134" s="5185"/>
      <c r="AX134" s="5185"/>
      <c r="AY134" s="5185"/>
      <c r="AZ134" s="5185"/>
      <c r="BA134" s="5185"/>
      <c r="BB134" s="5185"/>
      <c r="BC134" s="5185"/>
      <c r="BD134" s="5185"/>
      <c r="BE134" s="5185"/>
      <c r="BF134" s="5185"/>
      <c r="BG134" s="5185"/>
      <c r="BH134" s="5185"/>
      <c r="BI134" s="5185"/>
      <c r="BJ134" s="5185"/>
      <c r="BK134" s="5185"/>
      <c r="BL134" s="5185"/>
      <c r="BM134" s="5185"/>
      <c r="BN134" s="5185"/>
      <c r="BO134" s="5185"/>
      <c r="BP134" s="5185"/>
      <c r="BQ134" s="5185"/>
      <c r="BR134" s="5185"/>
      <c r="BS134" s="5185"/>
      <c r="BT134" s="5185"/>
      <c r="BU134" s="5185"/>
      <c r="BV134" s="5185"/>
      <c r="BW134" s="5185"/>
      <c r="BX134" s="5185"/>
      <c r="BY134" s="5185"/>
      <c r="BZ134" s="5185"/>
      <c r="CA134" s="5185"/>
      <c r="CB134" s="5185"/>
      <c r="CC134" s="5185"/>
      <c r="CD134" s="5185"/>
      <c r="CE134" s="5185"/>
      <c r="CF134" s="5185"/>
      <c r="CG134" s="5185"/>
      <c r="CH134" s="5185"/>
      <c r="CI134" s="5185"/>
      <c r="CJ134" s="5185"/>
      <c r="CK134" s="5185"/>
      <c r="CL134" s="5185"/>
      <c r="CM134" s="5185"/>
      <c r="CN134" s="5185"/>
      <c r="CO134" s="5185"/>
      <c r="CP134" s="5185"/>
      <c r="CQ134" s="5185"/>
      <c r="CR134" s="5185"/>
      <c r="CS134" s="5185"/>
      <c r="CT134" s="5185"/>
      <c r="CU134" s="5185"/>
      <c r="CV134" s="5185"/>
      <c r="CW134" s="5185"/>
      <c r="CX134" s="5185"/>
      <c r="CY134" s="5185"/>
      <c r="CZ134" s="5185"/>
      <c r="DA134" s="5185"/>
      <c r="DB134" s="5185"/>
      <c r="DC134" s="5185"/>
      <c r="DD134" s="5185"/>
      <c r="DE134" s="5186"/>
    </row>
    <row r="135" spans="1:109" ht="12.75" customHeight="1" thickBot="1" x14ac:dyDescent="0.25">
      <c r="A135" s="2029">
        <v>135</v>
      </c>
      <c r="B135" s="4995"/>
      <c r="F135" s="5187" t="s">
        <v>8316</v>
      </c>
      <c r="G135" s="5188"/>
      <c r="H135" s="2657">
        <v>1</v>
      </c>
      <c r="I135" s="2657">
        <v>2</v>
      </c>
      <c r="J135" s="2657">
        <v>3</v>
      </c>
      <c r="K135" s="2657">
        <v>4</v>
      </c>
      <c r="L135" s="2657">
        <v>5</v>
      </c>
      <c r="M135" s="2657">
        <v>6</v>
      </c>
      <c r="N135" s="2657">
        <v>7</v>
      </c>
      <c r="O135" s="2657">
        <v>8</v>
      </c>
      <c r="P135" s="2657">
        <v>9</v>
      </c>
      <c r="Q135" s="2657">
        <v>10</v>
      </c>
      <c r="R135" s="2657">
        <v>11</v>
      </c>
      <c r="S135" s="2657">
        <v>12</v>
      </c>
      <c r="T135" s="2657">
        <v>13</v>
      </c>
      <c r="U135" s="2657">
        <v>14</v>
      </c>
      <c r="V135" s="2657">
        <v>15</v>
      </c>
      <c r="W135" s="2657">
        <v>16</v>
      </c>
      <c r="X135" s="2657">
        <v>17</v>
      </c>
      <c r="Y135" s="2657">
        <v>18</v>
      </c>
      <c r="Z135" s="2657">
        <v>19</v>
      </c>
      <c r="AA135" s="2657">
        <v>20</v>
      </c>
      <c r="AB135" s="2844">
        <v>21</v>
      </c>
      <c r="AC135" s="2657">
        <v>22</v>
      </c>
      <c r="AD135" s="2657">
        <v>23</v>
      </c>
      <c r="AE135" s="2657">
        <v>24</v>
      </c>
      <c r="AF135" s="2657">
        <v>25</v>
      </c>
      <c r="AG135" s="2657">
        <v>26</v>
      </c>
      <c r="AH135" s="2657">
        <v>27</v>
      </c>
      <c r="AI135" s="2657">
        <v>28</v>
      </c>
      <c r="AJ135" s="2657">
        <v>29</v>
      </c>
      <c r="AK135" s="2657">
        <v>30</v>
      </c>
      <c r="AL135" s="2657">
        <v>31</v>
      </c>
      <c r="AM135" s="2657">
        <v>32</v>
      </c>
      <c r="AN135" s="2657">
        <v>33</v>
      </c>
      <c r="AO135" s="2657">
        <v>34</v>
      </c>
      <c r="AP135" s="2657">
        <v>35</v>
      </c>
      <c r="AQ135" s="2657">
        <v>36</v>
      </c>
      <c r="AR135" s="2657">
        <v>37</v>
      </c>
      <c r="AS135" s="2657">
        <v>38</v>
      </c>
      <c r="AT135" s="2657">
        <v>39</v>
      </c>
      <c r="AU135" s="2657">
        <v>40</v>
      </c>
      <c r="AV135" s="2657">
        <v>41</v>
      </c>
      <c r="AW135" s="2657">
        <v>42</v>
      </c>
      <c r="AX135" s="2657">
        <v>43</v>
      </c>
      <c r="AY135" s="2657">
        <v>44</v>
      </c>
      <c r="AZ135" s="2657">
        <v>45</v>
      </c>
      <c r="BA135" s="2657">
        <v>46</v>
      </c>
      <c r="BB135" s="2657">
        <v>47</v>
      </c>
      <c r="BC135" s="2657">
        <v>48</v>
      </c>
      <c r="BD135" s="2657">
        <v>49</v>
      </c>
      <c r="BE135" s="2657">
        <v>50</v>
      </c>
      <c r="BF135" s="2657">
        <v>51</v>
      </c>
      <c r="BG135" s="2657">
        <v>52</v>
      </c>
      <c r="BH135" s="2657">
        <v>53</v>
      </c>
      <c r="BI135" s="2657">
        <v>54</v>
      </c>
      <c r="BJ135" s="2657">
        <v>55</v>
      </c>
      <c r="BK135" s="2657">
        <v>56</v>
      </c>
      <c r="BL135" s="2657">
        <v>57</v>
      </c>
      <c r="BM135" s="2657">
        <v>58</v>
      </c>
      <c r="BN135" s="2657">
        <v>59</v>
      </c>
      <c r="BO135" s="2657">
        <v>60</v>
      </c>
      <c r="BP135" s="2657">
        <v>61</v>
      </c>
      <c r="BQ135" s="2657">
        <v>62</v>
      </c>
      <c r="BR135" s="2657">
        <v>63</v>
      </c>
      <c r="BS135" s="2657">
        <v>64</v>
      </c>
      <c r="BT135" s="2657">
        <v>65</v>
      </c>
      <c r="BU135" s="2657">
        <v>66</v>
      </c>
      <c r="BV135" s="2657">
        <v>67</v>
      </c>
      <c r="BW135" s="2657">
        <v>68</v>
      </c>
      <c r="BX135" s="2657">
        <v>69</v>
      </c>
      <c r="BY135" s="2657">
        <v>70</v>
      </c>
      <c r="BZ135" s="2657">
        <v>71</v>
      </c>
      <c r="CA135" s="2657">
        <v>72</v>
      </c>
      <c r="CB135" s="2657">
        <v>73</v>
      </c>
      <c r="CC135" s="2657">
        <v>74</v>
      </c>
      <c r="CD135" s="2657">
        <v>75</v>
      </c>
      <c r="CE135" s="2657">
        <v>76</v>
      </c>
      <c r="CF135" s="2657">
        <v>77</v>
      </c>
      <c r="CG135" s="2657">
        <v>78</v>
      </c>
      <c r="CH135" s="2657">
        <v>79</v>
      </c>
      <c r="CI135" s="2657">
        <v>80</v>
      </c>
      <c r="CJ135" s="2657">
        <v>81</v>
      </c>
      <c r="CK135" s="2657">
        <v>82</v>
      </c>
      <c r="CL135" s="2657">
        <v>83</v>
      </c>
      <c r="CM135" s="2657">
        <v>84</v>
      </c>
      <c r="CN135" s="2657">
        <v>85</v>
      </c>
      <c r="CO135" s="2657">
        <v>86</v>
      </c>
      <c r="CP135" s="2657">
        <v>87</v>
      </c>
      <c r="CQ135" s="2657">
        <v>88</v>
      </c>
      <c r="CR135" s="2657">
        <v>89</v>
      </c>
      <c r="CS135" s="2657">
        <v>90</v>
      </c>
      <c r="CT135" s="2657">
        <v>91</v>
      </c>
      <c r="CU135" s="2657">
        <v>92</v>
      </c>
      <c r="CV135" s="2657">
        <v>93</v>
      </c>
      <c r="CW135" s="2657">
        <v>94</v>
      </c>
      <c r="CX135" s="2657">
        <v>95</v>
      </c>
      <c r="CY135" s="2657">
        <v>96</v>
      </c>
      <c r="CZ135" s="2657">
        <v>97</v>
      </c>
      <c r="DA135" s="2657">
        <v>98</v>
      </c>
      <c r="DB135" s="2657">
        <v>99</v>
      </c>
      <c r="DC135" s="2657">
        <v>100</v>
      </c>
      <c r="DD135" s="2657">
        <v>101</v>
      </c>
      <c r="DE135" s="2657">
        <v>102</v>
      </c>
    </row>
    <row r="136" spans="1:109" ht="12.75" customHeight="1" x14ac:dyDescent="0.2">
      <c r="A136" s="2029">
        <v>136</v>
      </c>
      <c r="B136" s="4995"/>
      <c r="C136" s="5024" t="s">
        <v>8301</v>
      </c>
      <c r="D136" s="5026"/>
      <c r="F136" s="2773" t="str">
        <f>IF(ISNA(HLOOKUP($I$136&amp;$A1,$H$139:$DE$140,2,FALSE))," ",HLOOKUP($I$136&amp;$A1,$H$139:$DE$140,2,FALSE))</f>
        <v>Media / Baja</v>
      </c>
      <c r="G136" s="2774"/>
      <c r="H136" s="2658" t="s">
        <v>8315</v>
      </c>
      <c r="I136" s="5172" t="str">
        <f>IF(Region="","",Region)</f>
        <v>Abel</v>
      </c>
      <c r="J136" s="5173"/>
      <c r="K136" s="2630" t="s">
        <v>9420</v>
      </c>
      <c r="L136" s="1798" t="str">
        <f>IF(OR(I136="",I137=""),"",IF(AND(I136="Elicia",OR(I137=F138,I137=F139)),Personalización!$E$25,MID(HLOOKUP($I$136&amp;$I$137,Tabla_RaicesCulturales,53,FALSE),4,10)))</f>
        <v>Música</v>
      </c>
      <c r="M136" s="2631" t="str">
        <f>LEFT(HLOOKUP($I$136&amp;$I$137,Tabla_RaicesCulturales,53,FALSE),2)</f>
        <v>20</v>
      </c>
      <c r="N136" s="1798" t="str">
        <f>IF(OR(I136="",I137=""),"",MID(HLOOKUP($I$136&amp;$I$137,Tabla_RaicesCulturales,55,FALSE),4,25))</f>
        <v/>
      </c>
      <c r="O136" s="2118" t="str">
        <f>LEFT(HLOOKUP($I$136&amp;$I$137,Tabla_RaicesCulturales,55,FALSE),2)</f>
        <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4995"/>
      <c r="C137" s="5027"/>
      <c r="D137" s="5028"/>
      <c r="F137" s="2773" t="str">
        <f>IF(ISNA(HLOOKUP($I$136&amp;$A2,$H$139:$DE$140,2,FALSE))," ",HLOOKUP($I$136&amp;$A2,$H$139:$DE$140,2,FALSE))</f>
        <v>Burgués</v>
      </c>
      <c r="G137" s="2774"/>
      <c r="H137" s="2777" t="s">
        <v>1675</v>
      </c>
      <c r="I137" s="5174" t="str">
        <f>IF(ClaseSocial="","",ClaseSocial)</f>
        <v>Nobleza</v>
      </c>
      <c r="J137" s="5175"/>
      <c r="K137" s="2778"/>
      <c r="L137" s="2779" t="str">
        <f>IF(L136="","",MID(HLOOKUP($I$136&amp;$I$137,Tabla_RaicesCulturales,54,FALSE),4,10))</f>
        <v>Arte</v>
      </c>
      <c r="M137" s="2780" t="str">
        <f>LEFT(HLOOKUP($I$136&amp;$I$137,Tabla_RaicesCulturales,54,FALSE),2)</f>
        <v>20</v>
      </c>
      <c r="N137" s="2779" t="str">
        <f>IF(N136="","",MID(HLOOKUP($I$136&amp;$I$137,Tabla_RaicesCulturales,56,FALSE),4,25))</f>
        <v/>
      </c>
      <c r="O137" s="2781" t="str">
        <f>LEFT(HLOOKUP($I$136&amp;$I$137,Tabla_RaicesCulturales,56,FALSE),2)</f>
        <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4995"/>
      <c r="C138" s="1766" t="s">
        <v>8309</v>
      </c>
      <c r="D138" s="1763"/>
      <c r="F138" s="2773" t="str">
        <f>IF(ISNA(HLOOKUP($I$136&amp;$A3,$H$139:$DE$140,2,FALSE))," ",HLOOKUP($I$136&amp;$A3,$H$139:$DE$140,2,FALSE))</f>
        <v>Nobleza</v>
      </c>
      <c r="G138" s="2774"/>
      <c r="H138" s="5166" t="s">
        <v>8253</v>
      </c>
      <c r="I138" s="5166"/>
      <c r="J138" s="5166"/>
      <c r="K138" s="5166" t="s">
        <v>8254</v>
      </c>
      <c r="L138" s="5166"/>
      <c r="M138" s="5166" t="s">
        <v>8255</v>
      </c>
      <c r="N138" s="5166"/>
      <c r="O138" s="5166"/>
      <c r="P138" s="5166" t="s">
        <v>8256</v>
      </c>
      <c r="Q138" s="5166"/>
      <c r="R138" s="5166" t="s">
        <v>8257</v>
      </c>
      <c r="S138" s="5166"/>
      <c r="T138" s="2629" t="s">
        <v>8258</v>
      </c>
      <c r="U138" s="5166" t="s">
        <v>8259</v>
      </c>
      <c r="V138" s="5166"/>
      <c r="W138" s="5065" t="s">
        <v>8260</v>
      </c>
      <c r="X138" s="5066"/>
      <c r="Y138" s="5065" t="s">
        <v>8261</v>
      </c>
      <c r="Z138" s="5164"/>
      <c r="AA138" s="5066"/>
      <c r="AB138" s="5065" t="s">
        <v>8262</v>
      </c>
      <c r="AC138" s="5066"/>
      <c r="AD138" s="5065" t="s">
        <v>8263</v>
      </c>
      <c r="AE138" s="5066"/>
      <c r="AF138" s="5065" t="s">
        <v>8264</v>
      </c>
      <c r="AG138" s="5164"/>
      <c r="AH138" s="5066"/>
      <c r="AI138" s="5065" t="s">
        <v>8265</v>
      </c>
      <c r="AJ138" s="5164"/>
      <c r="AK138" s="5066"/>
      <c r="AL138" s="5065" t="s">
        <v>8266</v>
      </c>
      <c r="AM138" s="5164"/>
      <c r="AN138" s="5164"/>
      <c r="AO138" s="5066"/>
      <c r="AP138" s="5065" t="s">
        <v>8267</v>
      </c>
      <c r="AQ138" s="5164"/>
      <c r="AR138" s="5066"/>
      <c r="AS138" s="5065" t="s">
        <v>8268</v>
      </c>
      <c r="AT138" s="5066"/>
      <c r="AU138" s="5065" t="s">
        <v>8269</v>
      </c>
      <c r="AV138" s="5164"/>
      <c r="AW138" s="5066"/>
      <c r="AX138" s="5065" t="s">
        <v>8270</v>
      </c>
      <c r="AY138" s="5066"/>
      <c r="AZ138" s="5065" t="s">
        <v>8271</v>
      </c>
      <c r="BA138" s="5066"/>
      <c r="BB138" s="5065" t="s">
        <v>8272</v>
      </c>
      <c r="BC138" s="5066"/>
      <c r="BD138" s="5065" t="s">
        <v>8273</v>
      </c>
      <c r="BE138" s="5066"/>
      <c r="BF138" s="5065" t="s">
        <v>8274</v>
      </c>
      <c r="BG138" s="5066"/>
      <c r="BH138" s="2629" t="s">
        <v>8275</v>
      </c>
      <c r="BI138" s="5065" t="s">
        <v>8235</v>
      </c>
      <c r="BJ138" s="5066"/>
      <c r="BK138" s="2227" t="s">
        <v>8236</v>
      </c>
      <c r="BL138" s="2228"/>
      <c r="BM138" s="2629" t="s">
        <v>8237</v>
      </c>
      <c r="BN138" s="5065" t="s">
        <v>8238</v>
      </c>
      <c r="BO138" s="5066"/>
      <c r="BP138" s="5065" t="s">
        <v>8276</v>
      </c>
      <c r="BQ138" s="5164"/>
      <c r="BR138" s="5066"/>
      <c r="BS138" s="5065" t="s">
        <v>8277</v>
      </c>
      <c r="BT138" s="5066"/>
      <c r="BU138" s="5065" t="s">
        <v>8239</v>
      </c>
      <c r="BV138" s="5164"/>
      <c r="BW138" s="5164"/>
      <c r="BX138" s="5066"/>
      <c r="BY138" s="5065" t="s">
        <v>8240</v>
      </c>
      <c r="BZ138" s="5164"/>
      <c r="CA138" s="5066"/>
      <c r="CB138" s="5065" t="s">
        <v>8241</v>
      </c>
      <c r="CC138" s="5164"/>
      <c r="CD138" s="5066"/>
      <c r="CE138" s="5065" t="s">
        <v>8242</v>
      </c>
      <c r="CF138" s="5066"/>
      <c r="CG138" s="5065" t="s">
        <v>8243</v>
      </c>
      <c r="CH138" s="5164"/>
      <c r="CI138" s="5066"/>
      <c r="CJ138" s="5065" t="s">
        <v>8244</v>
      </c>
      <c r="CK138" s="5164"/>
      <c r="CL138" s="5164"/>
      <c r="CM138" s="5066"/>
      <c r="CN138" s="5065" t="s">
        <v>8245</v>
      </c>
      <c r="CO138" s="5066"/>
      <c r="CP138" s="5065" t="s">
        <v>8246</v>
      </c>
      <c r="CQ138" s="5066"/>
      <c r="CR138" s="5065" t="s">
        <v>8247</v>
      </c>
      <c r="CS138" s="5164"/>
      <c r="CT138" s="5066"/>
      <c r="CU138" s="5065" t="s">
        <v>8248</v>
      </c>
      <c r="CV138" s="5066"/>
      <c r="CW138" s="5065" t="s">
        <v>8249</v>
      </c>
      <c r="CX138" s="5164"/>
      <c r="CY138" s="5066"/>
      <c r="CZ138" s="1790" t="s">
        <v>8250</v>
      </c>
      <c r="DA138" s="5065" t="s">
        <v>8251</v>
      </c>
      <c r="DB138" s="5164"/>
      <c r="DC138" s="5066"/>
      <c r="DD138" s="5065" t="s">
        <v>8252</v>
      </c>
      <c r="DE138" s="5165"/>
    </row>
    <row r="139" spans="1:109" ht="12.75" customHeight="1" x14ac:dyDescent="0.2">
      <c r="A139" s="2029">
        <v>139</v>
      </c>
      <c r="B139" s="4995"/>
      <c r="C139" s="1766" t="s">
        <v>8310</v>
      </c>
      <c r="D139" s="1763"/>
      <c r="F139" s="2775" t="str">
        <f>IF(ISNA(HLOOKUP($I$136&amp;$A4,$H$139:$DE$140,2,FALSE)),"",HLOOKUP($I$136&amp;$A4,$H$139:$DE$140,2,FALSE))</f>
        <v/>
      </c>
      <c r="G139" s="2776"/>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4995"/>
      <c r="C140" s="1762" t="s">
        <v>8253</v>
      </c>
      <c r="D140" s="1763"/>
      <c r="F140" s="2657"/>
      <c r="G140" s="1792" t="s">
        <v>1682</v>
      </c>
      <c r="H140" s="1793" t="s">
        <v>8317</v>
      </c>
      <c r="I140" s="1847" t="s">
        <v>8278</v>
      </c>
      <c r="J140" s="1795" t="s">
        <v>86</v>
      </c>
      <c r="K140" s="1794" t="s">
        <v>8317</v>
      </c>
      <c r="L140" s="1794" t="s">
        <v>86</v>
      </c>
      <c r="M140" s="1793" t="s">
        <v>8317</v>
      </c>
      <c r="N140" s="1794" t="s">
        <v>3097</v>
      </c>
      <c r="O140" s="2119" t="s">
        <v>86</v>
      </c>
      <c r="P140" s="1794" t="s">
        <v>8317</v>
      </c>
      <c r="Q140" s="1794" t="s">
        <v>86</v>
      </c>
      <c r="R140" s="1793" t="s">
        <v>8317</v>
      </c>
      <c r="S140" s="1795" t="s">
        <v>86</v>
      </c>
      <c r="T140" s="1794" t="s">
        <v>8318</v>
      </c>
      <c r="U140" s="1793" t="s">
        <v>8317</v>
      </c>
      <c r="V140" s="1795" t="s">
        <v>8278</v>
      </c>
      <c r="W140" s="1794" t="s">
        <v>8317</v>
      </c>
      <c r="X140" s="1794" t="s">
        <v>86</v>
      </c>
      <c r="Y140" s="1793" t="s">
        <v>8317</v>
      </c>
      <c r="Z140" s="1794" t="s">
        <v>8278</v>
      </c>
      <c r="AA140" s="1795" t="s">
        <v>86</v>
      </c>
      <c r="AB140" s="1794" t="s">
        <v>9421</v>
      </c>
      <c r="AC140" s="1794" t="s">
        <v>8319</v>
      </c>
      <c r="AD140" s="1793" t="s">
        <v>8317</v>
      </c>
      <c r="AE140" s="1795" t="s">
        <v>86</v>
      </c>
      <c r="AF140" s="1794" t="s">
        <v>8320</v>
      </c>
      <c r="AG140" s="1794" t="s">
        <v>8279</v>
      </c>
      <c r="AH140" s="1794" t="s">
        <v>8321</v>
      </c>
      <c r="AI140" s="1793" t="s">
        <v>8279</v>
      </c>
      <c r="AJ140" s="1794" t="s">
        <v>8280</v>
      </c>
      <c r="AK140" s="1795" t="s">
        <v>8281</v>
      </c>
      <c r="AL140" s="1794" t="s">
        <v>8282</v>
      </c>
      <c r="AM140" s="1794" t="s">
        <v>8279</v>
      </c>
      <c r="AN140" s="1794" t="s">
        <v>8283</v>
      </c>
      <c r="AO140" s="1794" t="s">
        <v>9422</v>
      </c>
      <c r="AP140" s="1793" t="s">
        <v>8317</v>
      </c>
      <c r="AQ140" s="1794" t="s">
        <v>8284</v>
      </c>
      <c r="AR140" s="1795" t="s">
        <v>86</v>
      </c>
      <c r="AS140" s="1794" t="s">
        <v>8322</v>
      </c>
      <c r="AT140" s="1794" t="s">
        <v>8285</v>
      </c>
      <c r="AU140" s="1793" t="s">
        <v>8323</v>
      </c>
      <c r="AV140" s="1794" t="s">
        <v>8278</v>
      </c>
      <c r="AW140" s="1795" t="s">
        <v>86</v>
      </c>
      <c r="AX140" s="1794" t="s">
        <v>8317</v>
      </c>
      <c r="AY140" s="1794" t="s">
        <v>8319</v>
      </c>
      <c r="AZ140" s="1793" t="s">
        <v>8317</v>
      </c>
      <c r="BA140" s="1795" t="s">
        <v>8324</v>
      </c>
      <c r="BB140" s="1794" t="s">
        <v>8317</v>
      </c>
      <c r="BC140" s="1794" t="s">
        <v>86</v>
      </c>
      <c r="BD140" s="1793" t="s">
        <v>8317</v>
      </c>
      <c r="BE140" s="1795" t="s">
        <v>8319</v>
      </c>
      <c r="BF140" s="1794" t="s">
        <v>8317</v>
      </c>
      <c r="BG140" s="1794" t="s">
        <v>8325</v>
      </c>
      <c r="BH140" s="1796" t="s">
        <v>8286</v>
      </c>
      <c r="BI140" s="1793" t="s">
        <v>8287</v>
      </c>
      <c r="BJ140" s="1795" t="s">
        <v>8326</v>
      </c>
      <c r="BK140" s="1794" t="s">
        <v>8317</v>
      </c>
      <c r="BL140" s="1794" t="s">
        <v>8327</v>
      </c>
      <c r="BM140" s="1796" t="s">
        <v>8288</v>
      </c>
      <c r="BN140" s="1794" t="s">
        <v>8289</v>
      </c>
      <c r="BO140" s="1794" t="s">
        <v>8290</v>
      </c>
      <c r="BP140" s="1793" t="s">
        <v>8291</v>
      </c>
      <c r="BQ140" s="1794" t="s">
        <v>8328</v>
      </c>
      <c r="BR140" s="1795" t="s">
        <v>8292</v>
      </c>
      <c r="BS140" s="1794" t="s">
        <v>8317</v>
      </c>
      <c r="BT140" s="1794" t="s">
        <v>8329</v>
      </c>
      <c r="BU140" s="1793" t="s">
        <v>8330</v>
      </c>
      <c r="BV140" s="1794" t="s">
        <v>8293</v>
      </c>
      <c r="BW140" s="1794" t="s">
        <v>8278</v>
      </c>
      <c r="BX140" s="1795" t="s">
        <v>86</v>
      </c>
      <c r="BY140" s="1794" t="s">
        <v>3093</v>
      </c>
      <c r="BZ140" s="1794" t="s">
        <v>8294</v>
      </c>
      <c r="CA140" s="1794" t="s">
        <v>8295</v>
      </c>
      <c r="CB140" s="1793" t="s">
        <v>8317</v>
      </c>
      <c r="CC140" s="1794" t="s">
        <v>8278</v>
      </c>
      <c r="CD140" s="1795" t="s">
        <v>86</v>
      </c>
      <c r="CE140" s="1794" t="s">
        <v>8317</v>
      </c>
      <c r="CF140" s="1794" t="s">
        <v>8285</v>
      </c>
      <c r="CG140" s="1793" t="s">
        <v>8296</v>
      </c>
      <c r="CH140" s="1794" t="s">
        <v>3095</v>
      </c>
      <c r="CI140" s="1795" t="s">
        <v>86</v>
      </c>
      <c r="CJ140" s="1794" t="s">
        <v>8291</v>
      </c>
      <c r="CK140" s="1794" t="s">
        <v>8297</v>
      </c>
      <c r="CL140" s="1794" t="s">
        <v>8278</v>
      </c>
      <c r="CM140" s="1794" t="s">
        <v>8298</v>
      </c>
      <c r="CN140" s="1793" t="s">
        <v>8317</v>
      </c>
      <c r="CO140" s="1795" t="s">
        <v>8278</v>
      </c>
      <c r="CP140" s="1794" t="s">
        <v>8317</v>
      </c>
      <c r="CQ140" s="1794" t="s">
        <v>8299</v>
      </c>
      <c r="CR140" s="1793" t="s">
        <v>8317</v>
      </c>
      <c r="CS140" s="1794" t="s">
        <v>8278</v>
      </c>
      <c r="CT140" s="1795" t="s">
        <v>86</v>
      </c>
      <c r="CU140" s="1794" t="s">
        <v>3097</v>
      </c>
      <c r="CV140" s="1794" t="s">
        <v>8295</v>
      </c>
      <c r="CW140" s="1793" t="s">
        <v>8317</v>
      </c>
      <c r="CX140" s="1794" t="s">
        <v>8278</v>
      </c>
      <c r="CY140" s="1795" t="s">
        <v>86</v>
      </c>
      <c r="CZ140" s="1794" t="s">
        <v>8331</v>
      </c>
      <c r="DA140" s="1793" t="s">
        <v>8317</v>
      </c>
      <c r="DB140" s="1794" t="s">
        <v>8278</v>
      </c>
      <c r="DC140" s="1795" t="s">
        <v>86</v>
      </c>
      <c r="DD140" s="1794" t="s">
        <v>8317</v>
      </c>
      <c r="DE140" s="1797" t="s">
        <v>8278</v>
      </c>
    </row>
    <row r="141" spans="1:109" ht="12.75" customHeight="1" x14ac:dyDescent="0.2">
      <c r="A141" s="2029">
        <v>141</v>
      </c>
      <c r="B141" s="4995"/>
      <c r="C141" s="1762" t="s">
        <v>8254</v>
      </c>
      <c r="D141" s="1586"/>
      <c r="F141" s="2657">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4995"/>
      <c r="C142" s="1762" t="s">
        <v>8255</v>
      </c>
      <c r="D142" s="1763"/>
      <c r="F142" s="2657">
        <v>2</v>
      </c>
      <c r="G142" s="675" t="s">
        <v>1717</v>
      </c>
      <c r="H142" s="2632"/>
      <c r="I142" s="2634"/>
      <c r="J142" s="2659"/>
      <c r="K142" s="2634"/>
      <c r="L142" s="2634"/>
      <c r="M142" s="2632"/>
      <c r="N142" s="2634"/>
      <c r="O142" s="2659"/>
      <c r="P142" s="2634"/>
      <c r="Q142" s="2634"/>
      <c r="R142" s="2632"/>
      <c r="S142" s="2659"/>
      <c r="T142" s="2634">
        <v>10</v>
      </c>
      <c r="U142" s="2632"/>
      <c r="V142" s="2659"/>
      <c r="W142" s="2634"/>
      <c r="X142" s="2634"/>
      <c r="Y142" s="2632"/>
      <c r="Z142" s="2634"/>
      <c r="AA142" s="2659"/>
      <c r="AB142" s="2696"/>
      <c r="AC142" s="2634"/>
      <c r="AD142" s="2632"/>
      <c r="AE142" s="2659"/>
      <c r="AF142" s="2634"/>
      <c r="AG142" s="2634"/>
      <c r="AH142" s="2634"/>
      <c r="AI142" s="2632"/>
      <c r="AJ142" s="2634"/>
      <c r="AK142" s="2659"/>
      <c r="AL142" s="2634"/>
      <c r="AM142" s="2634"/>
      <c r="AN142" s="2634"/>
      <c r="AO142" s="2634"/>
      <c r="AP142" s="2632"/>
      <c r="AQ142" s="2634"/>
      <c r="AR142" s="2659"/>
      <c r="AS142" s="2634"/>
      <c r="AT142" s="2634"/>
      <c r="AU142" s="2632">
        <v>20</v>
      </c>
      <c r="AV142" s="2634"/>
      <c r="AW142" s="2659"/>
      <c r="AX142" s="2634"/>
      <c r="AY142" s="2634"/>
      <c r="AZ142" s="2632"/>
      <c r="BA142" s="2659"/>
      <c r="BB142" s="2634"/>
      <c r="BC142" s="2634"/>
      <c r="BD142" s="2632"/>
      <c r="BE142" s="2659"/>
      <c r="BF142" s="2634"/>
      <c r="BG142" s="2634"/>
      <c r="BH142" s="2660"/>
      <c r="BI142" s="2632"/>
      <c r="BJ142" s="2659"/>
      <c r="BK142" s="2634"/>
      <c r="BL142" s="2634"/>
      <c r="BM142" s="2660"/>
      <c r="BN142" s="2634"/>
      <c r="BO142" s="2634"/>
      <c r="BP142" s="2632"/>
      <c r="BQ142" s="2634"/>
      <c r="BR142" s="2659"/>
      <c r="BS142" s="2634">
        <v>20</v>
      </c>
      <c r="BT142" s="2634"/>
      <c r="BU142" s="2632"/>
      <c r="BV142" s="2634"/>
      <c r="BW142" s="2634"/>
      <c r="BX142" s="2659"/>
      <c r="BY142" s="2634"/>
      <c r="BZ142" s="2634"/>
      <c r="CA142" s="2634"/>
      <c r="CB142" s="2632"/>
      <c r="CC142" s="2634"/>
      <c r="CD142" s="2659"/>
      <c r="CE142" s="2634"/>
      <c r="CF142" s="2634"/>
      <c r="CG142" s="2632"/>
      <c r="CH142" s="2634"/>
      <c r="CI142" s="2659"/>
      <c r="CJ142" s="2634"/>
      <c r="CK142" s="2634"/>
      <c r="CL142" s="2634"/>
      <c r="CM142" s="2634"/>
      <c r="CN142" s="2632"/>
      <c r="CO142" s="2659"/>
      <c r="CP142" s="2634"/>
      <c r="CQ142" s="2634"/>
      <c r="CR142" s="2632"/>
      <c r="CS142" s="2634"/>
      <c r="CT142" s="2659"/>
      <c r="CU142" s="2634"/>
      <c r="CV142" s="2634"/>
      <c r="CW142" s="2632"/>
      <c r="CX142" s="2634"/>
      <c r="CY142" s="2659"/>
      <c r="CZ142" s="2634"/>
      <c r="DA142" s="2632"/>
      <c r="DB142" s="2634"/>
      <c r="DC142" s="2659"/>
      <c r="DD142" s="2634"/>
      <c r="DE142" s="2633"/>
    </row>
    <row r="143" spans="1:109" ht="12.75" customHeight="1" x14ac:dyDescent="0.2">
      <c r="A143" s="2029">
        <v>143</v>
      </c>
      <c r="B143" s="4995"/>
      <c r="C143" s="1762" t="s">
        <v>8256</v>
      </c>
      <c r="D143" s="1763"/>
      <c r="F143" s="2657">
        <v>3</v>
      </c>
      <c r="G143" s="675" t="s">
        <v>1719</v>
      </c>
      <c r="H143" s="2632">
        <v>30</v>
      </c>
      <c r="I143" s="2634"/>
      <c r="J143" s="2659"/>
      <c r="K143" s="2634"/>
      <c r="L143" s="2634"/>
      <c r="M143" s="2632">
        <v>20</v>
      </c>
      <c r="N143" s="2634">
        <v>20</v>
      </c>
      <c r="O143" s="2659">
        <v>20</v>
      </c>
      <c r="P143" s="2634">
        <v>20</v>
      </c>
      <c r="Q143" s="2634">
        <v>20</v>
      </c>
      <c r="R143" s="2632">
        <v>20</v>
      </c>
      <c r="S143" s="2659">
        <v>20</v>
      </c>
      <c r="T143" s="2634">
        <v>30</v>
      </c>
      <c r="U143" s="2632"/>
      <c r="V143" s="2659"/>
      <c r="W143" s="2634">
        <v>20</v>
      </c>
      <c r="X143" s="2634">
        <v>20</v>
      </c>
      <c r="Y143" s="2632">
        <v>20</v>
      </c>
      <c r="Z143" s="2634"/>
      <c r="AA143" s="2659"/>
      <c r="AB143" s="2696">
        <v>20</v>
      </c>
      <c r="AC143" s="2634"/>
      <c r="AD143" s="2632">
        <v>20</v>
      </c>
      <c r="AE143" s="2659">
        <v>20</v>
      </c>
      <c r="AF143" s="2634">
        <v>30</v>
      </c>
      <c r="AG143" s="2634">
        <v>20</v>
      </c>
      <c r="AH143" s="2634">
        <v>20</v>
      </c>
      <c r="AI143" s="2632">
        <v>20</v>
      </c>
      <c r="AJ143" s="2634">
        <v>20</v>
      </c>
      <c r="AK143" s="2659">
        <v>20</v>
      </c>
      <c r="AL143" s="2634">
        <v>20</v>
      </c>
      <c r="AM143" s="2634">
        <v>20</v>
      </c>
      <c r="AN143" s="2634">
        <v>20</v>
      </c>
      <c r="AO143" s="2634">
        <v>20</v>
      </c>
      <c r="AP143" s="2632"/>
      <c r="AQ143" s="2634"/>
      <c r="AR143" s="2659"/>
      <c r="AS143" s="2634"/>
      <c r="AT143" s="2634"/>
      <c r="AU143" s="2632">
        <v>20</v>
      </c>
      <c r="AV143" s="2634"/>
      <c r="AW143" s="2659"/>
      <c r="AX143" s="2634">
        <v>20</v>
      </c>
      <c r="AY143" s="2634"/>
      <c r="AZ143" s="2632"/>
      <c r="BA143" s="2659"/>
      <c r="BB143" s="2634">
        <v>20</v>
      </c>
      <c r="BC143" s="2634">
        <v>20</v>
      </c>
      <c r="BD143" s="2632">
        <v>20</v>
      </c>
      <c r="BE143" s="2659"/>
      <c r="BF143" s="2634">
        <v>20</v>
      </c>
      <c r="BG143" s="2634"/>
      <c r="BH143" s="2660">
        <v>30</v>
      </c>
      <c r="BI143" s="2632">
        <v>20</v>
      </c>
      <c r="BJ143" s="2659"/>
      <c r="BK143" s="2634">
        <v>20</v>
      </c>
      <c r="BL143" s="2634">
        <v>20</v>
      </c>
      <c r="BM143" s="2660">
        <v>40</v>
      </c>
      <c r="BN143" s="2634"/>
      <c r="BO143" s="2634">
        <v>20</v>
      </c>
      <c r="BP143" s="2632">
        <v>30</v>
      </c>
      <c r="BQ143" s="2634">
        <v>20</v>
      </c>
      <c r="BR143" s="2659">
        <v>20</v>
      </c>
      <c r="BS143" s="2634">
        <v>20</v>
      </c>
      <c r="BT143" s="2634"/>
      <c r="BU143" s="2632">
        <v>30</v>
      </c>
      <c r="BV143" s="2634">
        <v>20</v>
      </c>
      <c r="BW143" s="2634"/>
      <c r="BX143" s="2659"/>
      <c r="BY143" s="2634">
        <v>20</v>
      </c>
      <c r="BZ143" s="2634">
        <v>20</v>
      </c>
      <c r="CA143" s="2634">
        <v>20</v>
      </c>
      <c r="CB143" s="2632">
        <v>20</v>
      </c>
      <c r="CC143" s="2634"/>
      <c r="CD143" s="2659"/>
      <c r="CE143" s="2634">
        <v>20</v>
      </c>
      <c r="CF143" s="2634">
        <v>20</v>
      </c>
      <c r="CG143" s="2632">
        <v>30</v>
      </c>
      <c r="CH143" s="2634">
        <v>30</v>
      </c>
      <c r="CI143" s="2659"/>
      <c r="CJ143" s="2634">
        <v>30</v>
      </c>
      <c r="CK143" s="2634">
        <v>30</v>
      </c>
      <c r="CL143" s="2634"/>
      <c r="CM143" s="2634"/>
      <c r="CN143" s="2632">
        <v>20</v>
      </c>
      <c r="CO143" s="2659"/>
      <c r="CP143" s="2634">
        <v>20</v>
      </c>
      <c r="CQ143" s="2634">
        <v>20</v>
      </c>
      <c r="CR143" s="2632">
        <v>20</v>
      </c>
      <c r="CS143" s="2634"/>
      <c r="CT143" s="2659"/>
      <c r="CU143" s="2634">
        <v>20</v>
      </c>
      <c r="CV143" s="2634">
        <v>20</v>
      </c>
      <c r="CW143" s="2632">
        <v>20</v>
      </c>
      <c r="CX143" s="2634">
        <v>20</v>
      </c>
      <c r="CY143" s="2659">
        <v>20</v>
      </c>
      <c r="CZ143" s="2634">
        <v>20</v>
      </c>
      <c r="DA143" s="2632">
        <v>20</v>
      </c>
      <c r="DB143" s="2634"/>
      <c r="DC143" s="2659"/>
      <c r="DD143" s="2634">
        <v>30</v>
      </c>
      <c r="DE143" s="2633">
        <v>20</v>
      </c>
    </row>
    <row r="144" spans="1:109" ht="12.75" customHeight="1" x14ac:dyDescent="0.2">
      <c r="A144" s="2029">
        <v>144</v>
      </c>
      <c r="B144" s="4995"/>
      <c r="C144" s="1762" t="s">
        <v>8257</v>
      </c>
      <c r="D144" s="1763"/>
      <c r="F144" s="2657">
        <v>4</v>
      </c>
      <c r="G144" s="675" t="s">
        <v>1722</v>
      </c>
      <c r="H144" s="2632">
        <v>20</v>
      </c>
      <c r="I144" s="2634">
        <v>20</v>
      </c>
      <c r="J144" s="2659">
        <v>20</v>
      </c>
      <c r="K144" s="2634"/>
      <c r="L144" s="2634"/>
      <c r="M144" s="2632">
        <v>40</v>
      </c>
      <c r="N144" s="2634">
        <v>40</v>
      </c>
      <c r="O144" s="2659">
        <v>40</v>
      </c>
      <c r="P144" s="2634">
        <v>20</v>
      </c>
      <c r="Q144" s="2634">
        <v>20</v>
      </c>
      <c r="R144" s="2632"/>
      <c r="S144" s="2659"/>
      <c r="T144" s="2634"/>
      <c r="U144" s="2632">
        <v>10</v>
      </c>
      <c r="V144" s="2659">
        <v>20</v>
      </c>
      <c r="W144" s="2634">
        <v>20</v>
      </c>
      <c r="X144" s="2634">
        <v>20</v>
      </c>
      <c r="Y144" s="2632">
        <v>20</v>
      </c>
      <c r="Z144" s="2634">
        <v>20</v>
      </c>
      <c r="AA144" s="2659">
        <v>20</v>
      </c>
      <c r="AB144" s="2696"/>
      <c r="AC144" s="2634">
        <v>20</v>
      </c>
      <c r="AD144" s="2632">
        <v>30</v>
      </c>
      <c r="AE144" s="2659">
        <v>30</v>
      </c>
      <c r="AF144" s="2634">
        <v>20</v>
      </c>
      <c r="AG144" s="2634">
        <v>20</v>
      </c>
      <c r="AH144" s="2634">
        <v>20</v>
      </c>
      <c r="AI144" s="2632"/>
      <c r="AJ144" s="2634"/>
      <c r="AK144" s="2659"/>
      <c r="AL144" s="2634">
        <v>20</v>
      </c>
      <c r="AM144" s="2634">
        <v>20</v>
      </c>
      <c r="AN144" s="2634"/>
      <c r="AO144" s="2634">
        <v>20</v>
      </c>
      <c r="AP144" s="2632">
        <v>20</v>
      </c>
      <c r="AQ144" s="2634">
        <v>20</v>
      </c>
      <c r="AR144" s="2659">
        <v>20</v>
      </c>
      <c r="AS144" s="2634"/>
      <c r="AT144" s="2634"/>
      <c r="AU144" s="2632">
        <v>20</v>
      </c>
      <c r="AV144" s="2634">
        <v>20</v>
      </c>
      <c r="AW144" s="2659">
        <v>20</v>
      </c>
      <c r="AX144" s="2634">
        <v>20</v>
      </c>
      <c r="AY144" s="2634">
        <v>20</v>
      </c>
      <c r="AZ144" s="2632"/>
      <c r="BA144" s="2659"/>
      <c r="BB144" s="2634">
        <v>20</v>
      </c>
      <c r="BC144" s="2634">
        <v>20</v>
      </c>
      <c r="BD144" s="2632">
        <v>20</v>
      </c>
      <c r="BE144" s="2659">
        <v>20</v>
      </c>
      <c r="BF144" s="2634"/>
      <c r="BG144" s="2634">
        <v>20</v>
      </c>
      <c r="BH144" s="2660">
        <v>20</v>
      </c>
      <c r="BI144" s="2632"/>
      <c r="BJ144" s="2659"/>
      <c r="BK144" s="2634">
        <v>20</v>
      </c>
      <c r="BL144" s="2634">
        <v>20</v>
      </c>
      <c r="BM144" s="2660"/>
      <c r="BN144" s="2634"/>
      <c r="BO144" s="2634"/>
      <c r="BP144" s="2632"/>
      <c r="BQ144" s="2634"/>
      <c r="BR144" s="2659">
        <v>20</v>
      </c>
      <c r="BS144" s="2634"/>
      <c r="BT144" s="2634">
        <v>20</v>
      </c>
      <c r="BU144" s="2632">
        <v>30</v>
      </c>
      <c r="BV144" s="2634"/>
      <c r="BW144" s="2634">
        <v>20</v>
      </c>
      <c r="BX144" s="2659">
        <v>20</v>
      </c>
      <c r="BY144" s="2634">
        <v>20</v>
      </c>
      <c r="BZ144" s="2634">
        <v>20</v>
      </c>
      <c r="CA144" s="2634">
        <v>20</v>
      </c>
      <c r="CB144" s="2632">
        <v>20</v>
      </c>
      <c r="CC144" s="2634">
        <v>20</v>
      </c>
      <c r="CD144" s="2659">
        <v>20</v>
      </c>
      <c r="CE144" s="2634"/>
      <c r="CF144" s="2634">
        <v>20</v>
      </c>
      <c r="CG144" s="2632"/>
      <c r="CH144" s="2634">
        <v>30</v>
      </c>
      <c r="CI144" s="2659">
        <v>20</v>
      </c>
      <c r="CJ144" s="2634"/>
      <c r="CK144" s="2634"/>
      <c r="CL144" s="2634">
        <v>20</v>
      </c>
      <c r="CM144" s="2634">
        <v>20</v>
      </c>
      <c r="CN144" s="2632"/>
      <c r="CO144" s="2659">
        <v>20</v>
      </c>
      <c r="CP144" s="2634"/>
      <c r="CQ144" s="2634"/>
      <c r="CR144" s="2632"/>
      <c r="CS144" s="2634"/>
      <c r="CT144" s="2659">
        <v>20</v>
      </c>
      <c r="CU144" s="2634"/>
      <c r="CV144" s="2634"/>
      <c r="CW144" s="2632"/>
      <c r="CX144" s="2634"/>
      <c r="CY144" s="2659"/>
      <c r="CZ144" s="2634"/>
      <c r="DA144" s="2632"/>
      <c r="DB144" s="2634">
        <v>20</v>
      </c>
      <c r="DC144" s="2659">
        <v>20</v>
      </c>
      <c r="DD144" s="2634"/>
      <c r="DE144" s="2633"/>
    </row>
    <row r="145" spans="1:109" ht="12.75" customHeight="1" x14ac:dyDescent="0.2">
      <c r="A145" s="2029">
        <v>145</v>
      </c>
      <c r="B145" s="4995"/>
      <c r="C145" s="1762" t="s">
        <v>8258</v>
      </c>
      <c r="D145" s="1763"/>
      <c r="F145" s="2657">
        <v>5</v>
      </c>
      <c r="G145" s="675" t="s">
        <v>1726</v>
      </c>
      <c r="H145" s="2632">
        <v>20</v>
      </c>
      <c r="I145" s="2634">
        <v>20</v>
      </c>
      <c r="J145" s="2659"/>
      <c r="K145" s="2634"/>
      <c r="L145" s="2634"/>
      <c r="M145" s="2632">
        <v>20</v>
      </c>
      <c r="N145" s="2634"/>
      <c r="O145" s="2659">
        <v>20</v>
      </c>
      <c r="P145" s="2634"/>
      <c r="Q145" s="2634"/>
      <c r="R145" s="2632"/>
      <c r="S145" s="2659"/>
      <c r="T145" s="2634"/>
      <c r="U145" s="2632">
        <v>20</v>
      </c>
      <c r="V145" s="2659">
        <v>20</v>
      </c>
      <c r="W145" s="2634">
        <v>30</v>
      </c>
      <c r="X145" s="2634"/>
      <c r="Y145" s="2632"/>
      <c r="Z145" s="2634"/>
      <c r="AA145" s="2659"/>
      <c r="AB145" s="2696">
        <v>20</v>
      </c>
      <c r="AC145" s="2634">
        <v>20</v>
      </c>
      <c r="AD145" s="2632">
        <v>10</v>
      </c>
      <c r="AE145" s="2659"/>
      <c r="AF145" s="2634">
        <v>20</v>
      </c>
      <c r="AG145" s="2634">
        <v>20</v>
      </c>
      <c r="AH145" s="2634">
        <v>20</v>
      </c>
      <c r="AI145" s="2632"/>
      <c r="AJ145" s="2634">
        <v>20</v>
      </c>
      <c r="AK145" s="2659"/>
      <c r="AL145" s="2634"/>
      <c r="AM145" s="2634"/>
      <c r="AN145" s="2634">
        <v>20</v>
      </c>
      <c r="AO145" s="2634"/>
      <c r="AP145" s="2632"/>
      <c r="AQ145" s="2634"/>
      <c r="AR145" s="2659"/>
      <c r="AS145" s="2634">
        <v>20</v>
      </c>
      <c r="AT145" s="2634">
        <v>20</v>
      </c>
      <c r="AU145" s="2632">
        <v>20</v>
      </c>
      <c r="AV145" s="2634"/>
      <c r="AW145" s="2659"/>
      <c r="AX145" s="2634"/>
      <c r="AY145" s="2634"/>
      <c r="AZ145" s="2632">
        <v>20</v>
      </c>
      <c r="BA145" s="2659"/>
      <c r="BB145" s="2634"/>
      <c r="BC145" s="2634"/>
      <c r="BD145" s="2632"/>
      <c r="BE145" s="2659"/>
      <c r="BF145" s="2634"/>
      <c r="BG145" s="2634"/>
      <c r="BH145" s="2660"/>
      <c r="BI145" s="2632"/>
      <c r="BJ145" s="2659">
        <v>20</v>
      </c>
      <c r="BK145" s="2634"/>
      <c r="BL145" s="2634"/>
      <c r="BM145" s="2660">
        <v>10</v>
      </c>
      <c r="BN145" s="2634">
        <v>20</v>
      </c>
      <c r="BO145" s="2634">
        <v>20</v>
      </c>
      <c r="BP145" s="2632">
        <v>20</v>
      </c>
      <c r="BQ145" s="2634">
        <v>20</v>
      </c>
      <c r="BR145" s="2659">
        <v>20</v>
      </c>
      <c r="BS145" s="2634">
        <v>20</v>
      </c>
      <c r="BT145" s="2634"/>
      <c r="BU145" s="2632">
        <v>20</v>
      </c>
      <c r="BV145" s="2634">
        <v>20</v>
      </c>
      <c r="BW145" s="2634">
        <v>20</v>
      </c>
      <c r="BX145" s="2659"/>
      <c r="BY145" s="2634"/>
      <c r="BZ145" s="2634"/>
      <c r="CA145" s="2634"/>
      <c r="CB145" s="2632">
        <v>30</v>
      </c>
      <c r="CC145" s="2634">
        <v>30</v>
      </c>
      <c r="CD145" s="2659">
        <v>30</v>
      </c>
      <c r="CE145" s="2634"/>
      <c r="CF145" s="2634"/>
      <c r="CG145" s="2632"/>
      <c r="CH145" s="2634"/>
      <c r="CI145" s="2659"/>
      <c r="CJ145" s="2634"/>
      <c r="CK145" s="2634"/>
      <c r="CL145" s="2634"/>
      <c r="CM145" s="2634"/>
      <c r="CN145" s="2632">
        <v>20</v>
      </c>
      <c r="CO145" s="2659">
        <v>20</v>
      </c>
      <c r="CP145" s="2634"/>
      <c r="CQ145" s="2634"/>
      <c r="CR145" s="2632"/>
      <c r="CS145" s="2634"/>
      <c r="CT145" s="2659"/>
      <c r="CU145" s="2634"/>
      <c r="CV145" s="2634"/>
      <c r="CW145" s="2632"/>
      <c r="CX145" s="2634"/>
      <c r="CY145" s="2659"/>
      <c r="CZ145" s="2634"/>
      <c r="DA145" s="2632">
        <v>20</v>
      </c>
      <c r="DB145" s="2634">
        <v>20</v>
      </c>
      <c r="DC145" s="2659"/>
      <c r="DD145" s="2634"/>
      <c r="DE145" s="2633"/>
    </row>
    <row r="146" spans="1:109" ht="12.75" customHeight="1" x14ac:dyDescent="0.2">
      <c r="A146" s="2029">
        <v>146</v>
      </c>
      <c r="B146" s="4995"/>
      <c r="C146" s="1762" t="s">
        <v>8259</v>
      </c>
      <c r="D146" s="1763"/>
      <c r="F146" s="2657">
        <v>6</v>
      </c>
      <c r="G146" s="675" t="s">
        <v>1729</v>
      </c>
      <c r="H146" s="2632"/>
      <c r="I146" s="2634"/>
      <c r="J146" s="2659"/>
      <c r="K146" s="2634"/>
      <c r="L146" s="2634"/>
      <c r="M146" s="2632">
        <v>20</v>
      </c>
      <c r="N146" s="2634">
        <v>20</v>
      </c>
      <c r="O146" s="2659">
        <v>20</v>
      </c>
      <c r="P146" s="2634"/>
      <c r="Q146" s="2634"/>
      <c r="R146" s="2632">
        <v>20</v>
      </c>
      <c r="S146" s="2659">
        <v>20</v>
      </c>
      <c r="T146" s="2634">
        <v>20</v>
      </c>
      <c r="U146" s="2632"/>
      <c r="V146" s="2659"/>
      <c r="W146" s="2634"/>
      <c r="X146" s="2634"/>
      <c r="Y146" s="2632">
        <v>20</v>
      </c>
      <c r="Z146" s="2634"/>
      <c r="AA146" s="2659"/>
      <c r="AB146" s="2696"/>
      <c r="AC146" s="2634"/>
      <c r="AD146" s="2632"/>
      <c r="AE146" s="2659"/>
      <c r="AF146" s="2634"/>
      <c r="AG146" s="2634"/>
      <c r="AH146" s="2634"/>
      <c r="AI146" s="2632">
        <v>20</v>
      </c>
      <c r="AJ146" s="2634">
        <v>20</v>
      </c>
      <c r="AK146" s="2659"/>
      <c r="AL146" s="2634"/>
      <c r="AM146" s="2634"/>
      <c r="AN146" s="2634"/>
      <c r="AO146" s="2634"/>
      <c r="AP146" s="2632">
        <v>20</v>
      </c>
      <c r="AQ146" s="2634">
        <v>20</v>
      </c>
      <c r="AR146" s="2659"/>
      <c r="AS146" s="2634"/>
      <c r="AT146" s="2634"/>
      <c r="AU146" s="2632"/>
      <c r="AV146" s="2634"/>
      <c r="AW146" s="2659"/>
      <c r="AX146" s="2634"/>
      <c r="AY146" s="2634"/>
      <c r="AZ146" s="2632"/>
      <c r="BA146" s="2659"/>
      <c r="BB146" s="2634">
        <v>20</v>
      </c>
      <c r="BC146" s="2634"/>
      <c r="BD146" s="2632">
        <v>20</v>
      </c>
      <c r="BE146" s="2659"/>
      <c r="BF146" s="2634"/>
      <c r="BG146" s="2634"/>
      <c r="BH146" s="2660"/>
      <c r="BI146" s="2632">
        <v>20</v>
      </c>
      <c r="BJ146" s="2659">
        <v>10</v>
      </c>
      <c r="BK146" s="2634"/>
      <c r="BL146" s="2634"/>
      <c r="BM146" s="2660"/>
      <c r="BN146" s="2634"/>
      <c r="BO146" s="2634">
        <v>20</v>
      </c>
      <c r="BP146" s="2632">
        <v>20</v>
      </c>
      <c r="BQ146" s="2634"/>
      <c r="BR146" s="2659"/>
      <c r="BS146" s="2634">
        <v>20</v>
      </c>
      <c r="BT146" s="2634"/>
      <c r="BU146" s="2632"/>
      <c r="BV146" s="2634">
        <v>20</v>
      </c>
      <c r="BW146" s="2634"/>
      <c r="BX146" s="2659"/>
      <c r="BY146" s="2634"/>
      <c r="BZ146" s="2634">
        <v>20</v>
      </c>
      <c r="CA146" s="2634"/>
      <c r="CB146" s="2632"/>
      <c r="CC146" s="2634"/>
      <c r="CD146" s="2659"/>
      <c r="CE146" s="2634">
        <v>20</v>
      </c>
      <c r="CF146" s="2634"/>
      <c r="CG146" s="2632">
        <v>20</v>
      </c>
      <c r="CH146" s="2634"/>
      <c r="CI146" s="2659"/>
      <c r="CJ146" s="2634"/>
      <c r="CK146" s="2634"/>
      <c r="CL146" s="2634"/>
      <c r="CM146" s="2634"/>
      <c r="CN146" s="2632"/>
      <c r="CO146" s="2659"/>
      <c r="CP146" s="2634">
        <v>20</v>
      </c>
      <c r="CQ146" s="2634"/>
      <c r="CR146" s="2632"/>
      <c r="CS146" s="2634"/>
      <c r="CT146" s="2659"/>
      <c r="CU146" s="2634">
        <v>20</v>
      </c>
      <c r="CV146" s="2634"/>
      <c r="CW146" s="2632">
        <v>20</v>
      </c>
      <c r="CX146" s="2634"/>
      <c r="CY146" s="2659"/>
      <c r="CZ146" s="2634">
        <v>20</v>
      </c>
      <c r="DA146" s="2632">
        <v>20</v>
      </c>
      <c r="DB146" s="2634"/>
      <c r="DC146" s="2659"/>
      <c r="DD146" s="2634">
        <v>20</v>
      </c>
      <c r="DE146" s="2633"/>
    </row>
    <row r="147" spans="1:109" ht="12.75" customHeight="1" x14ac:dyDescent="0.2">
      <c r="A147" s="2029">
        <v>147</v>
      </c>
      <c r="B147" s="4995"/>
      <c r="C147" s="1762" t="s">
        <v>8260</v>
      </c>
      <c r="D147" s="1763"/>
      <c r="F147" s="2657">
        <v>7</v>
      </c>
      <c r="G147" s="675" t="s">
        <v>1732</v>
      </c>
      <c r="H147" s="2632"/>
      <c r="I147" s="2634"/>
      <c r="J147" s="2659"/>
      <c r="K147" s="2634"/>
      <c r="L147" s="2634"/>
      <c r="M147" s="2632"/>
      <c r="N147" s="2634"/>
      <c r="O147" s="2659"/>
      <c r="P147" s="2634"/>
      <c r="Q147" s="2634"/>
      <c r="R147" s="2632"/>
      <c r="S147" s="2659"/>
      <c r="T147" s="2634"/>
      <c r="U147" s="2632"/>
      <c r="V147" s="2659"/>
      <c r="W147" s="2634"/>
      <c r="X147" s="2634"/>
      <c r="Y147" s="2632"/>
      <c r="Z147" s="2634"/>
      <c r="AA147" s="2659"/>
      <c r="AB147" s="2696">
        <v>20</v>
      </c>
      <c r="AC147" s="2634"/>
      <c r="AD147" s="2632"/>
      <c r="AE147" s="2659"/>
      <c r="AF147" s="2634"/>
      <c r="AG147" s="2634"/>
      <c r="AH147" s="2634"/>
      <c r="AI147" s="2632"/>
      <c r="AJ147" s="2634"/>
      <c r="AK147" s="2659"/>
      <c r="AL147" s="2634"/>
      <c r="AM147" s="2634"/>
      <c r="AN147" s="2634"/>
      <c r="AO147" s="2634"/>
      <c r="AP147" s="2632"/>
      <c r="AQ147" s="2634"/>
      <c r="AR147" s="2659"/>
      <c r="AS147" s="2634"/>
      <c r="AT147" s="2634"/>
      <c r="AU147" s="2632"/>
      <c r="AV147" s="2634"/>
      <c r="AW147" s="2659"/>
      <c r="AX147" s="2634"/>
      <c r="AY147" s="2634"/>
      <c r="AZ147" s="2632"/>
      <c r="BA147" s="2659"/>
      <c r="BB147" s="2634"/>
      <c r="BC147" s="2634"/>
      <c r="BD147" s="2632"/>
      <c r="BE147" s="2659"/>
      <c r="BF147" s="2634"/>
      <c r="BG147" s="2634"/>
      <c r="BH147" s="2660"/>
      <c r="BI147" s="2632"/>
      <c r="BJ147" s="2659"/>
      <c r="BK147" s="2634"/>
      <c r="BL147" s="2634"/>
      <c r="BM147" s="2660"/>
      <c r="BN147" s="2634"/>
      <c r="BO147" s="2634"/>
      <c r="BP147" s="2632"/>
      <c r="BQ147" s="2634"/>
      <c r="BR147" s="2659"/>
      <c r="BS147" s="2634"/>
      <c r="BT147" s="2634"/>
      <c r="BU147" s="2632"/>
      <c r="BV147" s="2634">
        <v>20</v>
      </c>
      <c r="BW147" s="2634"/>
      <c r="BX147" s="2659"/>
      <c r="BY147" s="2634"/>
      <c r="BZ147" s="2634">
        <v>20</v>
      </c>
      <c r="CA147" s="2634"/>
      <c r="CB147" s="2632"/>
      <c r="CC147" s="2634"/>
      <c r="CD147" s="2659"/>
      <c r="CE147" s="2634"/>
      <c r="CF147" s="2634"/>
      <c r="CG147" s="2632">
        <v>20</v>
      </c>
      <c r="CH147" s="2634"/>
      <c r="CI147" s="2659"/>
      <c r="CJ147" s="2634"/>
      <c r="CK147" s="2634"/>
      <c r="CL147" s="2634"/>
      <c r="CM147" s="2634"/>
      <c r="CN147" s="2632"/>
      <c r="CO147" s="2659"/>
      <c r="CP147" s="2634"/>
      <c r="CQ147" s="2634"/>
      <c r="CR147" s="2632"/>
      <c r="CS147" s="2634"/>
      <c r="CT147" s="2659"/>
      <c r="CU147" s="2634"/>
      <c r="CV147" s="2634"/>
      <c r="CW147" s="2632"/>
      <c r="CX147" s="2634"/>
      <c r="CY147" s="2659"/>
      <c r="CZ147" s="2634"/>
      <c r="DA147" s="2632">
        <v>20</v>
      </c>
      <c r="DB147" s="2634"/>
      <c r="DC147" s="2659"/>
      <c r="DD147" s="2634">
        <v>20</v>
      </c>
      <c r="DE147" s="2633"/>
    </row>
    <row r="148" spans="1:109" ht="12.75" customHeight="1" x14ac:dyDescent="0.2">
      <c r="A148" s="2029">
        <v>148</v>
      </c>
      <c r="B148" s="4995"/>
      <c r="C148" s="1762" t="s">
        <v>8302</v>
      </c>
      <c r="D148" s="1763"/>
      <c r="F148" s="2657">
        <v>8</v>
      </c>
      <c r="G148" s="675" t="s">
        <v>8229</v>
      </c>
      <c r="H148" s="2632"/>
      <c r="I148" s="2634"/>
      <c r="J148" s="2659"/>
      <c r="K148" s="2634"/>
      <c r="L148" s="2634"/>
      <c r="M148" s="2632"/>
      <c r="N148" s="2634"/>
      <c r="O148" s="2659"/>
      <c r="P148" s="2634"/>
      <c r="Q148" s="2634"/>
      <c r="R148" s="2632"/>
      <c r="S148" s="2659"/>
      <c r="T148" s="2634"/>
      <c r="U148" s="2632"/>
      <c r="V148" s="2659"/>
      <c r="W148" s="2634"/>
      <c r="X148" s="2634"/>
      <c r="Y148" s="2632"/>
      <c r="Z148" s="2634"/>
      <c r="AA148" s="2659"/>
      <c r="AB148" s="2696"/>
      <c r="AC148" s="2634"/>
      <c r="AD148" s="2632"/>
      <c r="AE148" s="2659"/>
      <c r="AF148" s="2634"/>
      <c r="AG148" s="2634"/>
      <c r="AH148" s="2634"/>
      <c r="AI148" s="2632"/>
      <c r="AJ148" s="2634"/>
      <c r="AK148" s="2659"/>
      <c r="AL148" s="2634"/>
      <c r="AM148" s="2634"/>
      <c r="AN148" s="2634"/>
      <c r="AO148" s="2634"/>
      <c r="AP148" s="2632"/>
      <c r="AQ148" s="2634"/>
      <c r="AR148" s="2659"/>
      <c r="AS148" s="2634"/>
      <c r="AT148" s="2634"/>
      <c r="AU148" s="2632"/>
      <c r="AV148" s="2634"/>
      <c r="AW148" s="2659"/>
      <c r="AX148" s="2634"/>
      <c r="AY148" s="2634"/>
      <c r="AZ148" s="2632"/>
      <c r="BA148" s="2659"/>
      <c r="BB148" s="2634"/>
      <c r="BC148" s="2634"/>
      <c r="BD148" s="2632"/>
      <c r="BE148" s="2659"/>
      <c r="BF148" s="2634"/>
      <c r="BG148" s="2634"/>
      <c r="BH148" s="2660"/>
      <c r="BI148" s="2632"/>
      <c r="BJ148" s="2659"/>
      <c r="BK148" s="2634"/>
      <c r="BL148" s="2634"/>
      <c r="BM148" s="2660"/>
      <c r="BN148" s="2634"/>
      <c r="BO148" s="2634"/>
      <c r="BP148" s="2632"/>
      <c r="BQ148" s="2634"/>
      <c r="BR148" s="2659"/>
      <c r="BS148" s="2634"/>
      <c r="BT148" s="2634"/>
      <c r="BU148" s="2632"/>
      <c r="BV148" s="2634"/>
      <c r="BW148" s="2634"/>
      <c r="BX148" s="2659"/>
      <c r="BY148" s="2634"/>
      <c r="BZ148" s="2634"/>
      <c r="CA148" s="2634"/>
      <c r="CB148" s="2632"/>
      <c r="CC148" s="2634"/>
      <c r="CD148" s="2659"/>
      <c r="CE148" s="2634"/>
      <c r="CF148" s="2634"/>
      <c r="CG148" s="2632"/>
      <c r="CH148" s="2634"/>
      <c r="CI148" s="2659"/>
      <c r="CJ148" s="2634"/>
      <c r="CK148" s="2634"/>
      <c r="CL148" s="2634"/>
      <c r="CM148" s="2634"/>
      <c r="CN148" s="2632"/>
      <c r="CO148" s="2659"/>
      <c r="CP148" s="2634"/>
      <c r="CQ148" s="2634"/>
      <c r="CR148" s="2632"/>
      <c r="CS148" s="2634"/>
      <c r="CT148" s="2659"/>
      <c r="CU148" s="2634"/>
      <c r="CV148" s="2634"/>
      <c r="CW148" s="2632"/>
      <c r="CX148" s="2634"/>
      <c r="CY148" s="2659"/>
      <c r="CZ148" s="2634"/>
      <c r="DA148" s="2632"/>
      <c r="DB148" s="2634"/>
      <c r="DC148" s="2659"/>
      <c r="DD148" s="2634"/>
      <c r="DE148" s="2633"/>
    </row>
    <row r="149" spans="1:109" ht="12.75" customHeight="1" x14ac:dyDescent="0.2">
      <c r="A149" s="2029">
        <v>149</v>
      </c>
      <c r="B149" s="4995"/>
      <c r="C149" s="1762" t="s">
        <v>8261</v>
      </c>
      <c r="D149" s="1763"/>
      <c r="F149" s="2657">
        <v>9</v>
      </c>
      <c r="G149" s="675" t="s">
        <v>1736</v>
      </c>
      <c r="H149" s="2632"/>
      <c r="I149" s="2634">
        <v>20</v>
      </c>
      <c r="J149" s="2659">
        <v>20</v>
      </c>
      <c r="K149" s="2634"/>
      <c r="L149" s="2634">
        <v>20</v>
      </c>
      <c r="M149" s="2632"/>
      <c r="N149" s="2634"/>
      <c r="O149" s="2659"/>
      <c r="P149" s="2634"/>
      <c r="Q149" s="2634"/>
      <c r="R149" s="2632"/>
      <c r="S149" s="2659"/>
      <c r="T149" s="2634"/>
      <c r="U149" s="2632"/>
      <c r="V149" s="2659">
        <v>10</v>
      </c>
      <c r="W149" s="2634"/>
      <c r="X149" s="2634"/>
      <c r="Y149" s="2632"/>
      <c r="Z149" s="2634">
        <v>20</v>
      </c>
      <c r="AA149" s="2659">
        <v>20</v>
      </c>
      <c r="AB149" s="2696"/>
      <c r="AC149" s="2634"/>
      <c r="AD149" s="2632"/>
      <c r="AE149" s="2659"/>
      <c r="AF149" s="2634"/>
      <c r="AG149" s="2634"/>
      <c r="AH149" s="2634"/>
      <c r="AI149" s="2632"/>
      <c r="AJ149" s="2634"/>
      <c r="AK149" s="2659"/>
      <c r="AL149" s="2634"/>
      <c r="AM149" s="2634"/>
      <c r="AN149" s="2634"/>
      <c r="AO149" s="2634"/>
      <c r="AP149" s="2632"/>
      <c r="AQ149" s="2634"/>
      <c r="AR149" s="2659"/>
      <c r="AS149" s="2634"/>
      <c r="AT149" s="2634"/>
      <c r="AU149" s="2632"/>
      <c r="AV149" s="2634">
        <v>20</v>
      </c>
      <c r="AW149" s="2659">
        <v>40</v>
      </c>
      <c r="AX149" s="2634"/>
      <c r="AY149" s="2634">
        <v>20</v>
      </c>
      <c r="AZ149" s="2632"/>
      <c r="BA149" s="2659"/>
      <c r="BB149" s="2634"/>
      <c r="BC149" s="2634"/>
      <c r="BD149" s="2632"/>
      <c r="BE149" s="2659">
        <v>20</v>
      </c>
      <c r="BF149" s="2634"/>
      <c r="BG149" s="2634">
        <v>30</v>
      </c>
      <c r="BH149" s="2660"/>
      <c r="BI149" s="2632"/>
      <c r="BJ149" s="2659"/>
      <c r="BK149" s="2634"/>
      <c r="BL149" s="2634"/>
      <c r="BM149" s="2660"/>
      <c r="BN149" s="2634"/>
      <c r="BO149" s="2634"/>
      <c r="BP149" s="2632"/>
      <c r="BQ149" s="2634">
        <v>40</v>
      </c>
      <c r="BR149" s="2659">
        <v>20</v>
      </c>
      <c r="BS149" s="2634">
        <v>20</v>
      </c>
      <c r="BT149" s="2634">
        <v>30</v>
      </c>
      <c r="BU149" s="2632"/>
      <c r="BV149" s="2634"/>
      <c r="BW149" s="2634">
        <v>20</v>
      </c>
      <c r="BX149" s="2659">
        <v>20</v>
      </c>
      <c r="BY149" s="2634"/>
      <c r="BZ149" s="2634"/>
      <c r="CA149" s="2634">
        <v>20</v>
      </c>
      <c r="CB149" s="2632"/>
      <c r="CC149" s="2634"/>
      <c r="CD149" s="2659">
        <v>10</v>
      </c>
      <c r="CE149" s="2634"/>
      <c r="CF149" s="2634"/>
      <c r="CG149" s="2632"/>
      <c r="CH149" s="2634">
        <v>20</v>
      </c>
      <c r="CI149" s="2659">
        <v>30</v>
      </c>
      <c r="CJ149" s="2634"/>
      <c r="CK149" s="2634"/>
      <c r="CL149" s="2634">
        <v>20</v>
      </c>
      <c r="CM149" s="2634"/>
      <c r="CN149" s="2632"/>
      <c r="CO149" s="2659">
        <v>20</v>
      </c>
      <c r="CP149" s="2634"/>
      <c r="CQ149" s="2634"/>
      <c r="CR149" s="2632">
        <v>20</v>
      </c>
      <c r="CS149" s="2634">
        <v>20</v>
      </c>
      <c r="CT149" s="2659">
        <v>30</v>
      </c>
      <c r="CU149" s="2634"/>
      <c r="CV149" s="2634"/>
      <c r="CW149" s="2632"/>
      <c r="CX149" s="2634"/>
      <c r="CY149" s="2659"/>
      <c r="CZ149" s="2634"/>
      <c r="DA149" s="2632"/>
      <c r="DB149" s="2634">
        <v>20</v>
      </c>
      <c r="DC149" s="2659">
        <v>20</v>
      </c>
      <c r="DD149" s="2634"/>
      <c r="DE149" s="2633"/>
    </row>
    <row r="150" spans="1:109" ht="12.75" customHeight="1" x14ac:dyDescent="0.2">
      <c r="A150" s="2029">
        <v>150</v>
      </c>
      <c r="B150" s="4995"/>
      <c r="C150" s="1762" t="s">
        <v>8262</v>
      </c>
      <c r="D150" s="1763"/>
      <c r="F150" s="2657">
        <v>10</v>
      </c>
      <c r="G150" s="675" t="s">
        <v>1738</v>
      </c>
      <c r="H150" s="2632"/>
      <c r="I150" s="2634"/>
      <c r="J150" s="2659"/>
      <c r="K150" s="2634"/>
      <c r="L150" s="2634"/>
      <c r="M150" s="2632"/>
      <c r="N150" s="2634"/>
      <c r="O150" s="2659"/>
      <c r="P150" s="2634">
        <v>20</v>
      </c>
      <c r="Q150" s="2634">
        <v>20</v>
      </c>
      <c r="R150" s="2632"/>
      <c r="S150" s="2659"/>
      <c r="T150" s="2634"/>
      <c r="U150" s="2632"/>
      <c r="V150" s="2659"/>
      <c r="W150" s="2634"/>
      <c r="X150" s="2634"/>
      <c r="Y150" s="2632"/>
      <c r="Z150" s="2634"/>
      <c r="AA150" s="2659">
        <v>20</v>
      </c>
      <c r="AB150" s="2696">
        <v>20</v>
      </c>
      <c r="AC150" s="2634"/>
      <c r="AD150" s="2632"/>
      <c r="AE150" s="2659"/>
      <c r="AF150" s="2634"/>
      <c r="AG150" s="2634">
        <v>20</v>
      </c>
      <c r="AH150" s="2634"/>
      <c r="AI150" s="2632">
        <v>20</v>
      </c>
      <c r="AJ150" s="2634">
        <v>20</v>
      </c>
      <c r="AK150" s="2659">
        <v>20</v>
      </c>
      <c r="AL150" s="2634"/>
      <c r="AM150" s="2634">
        <v>20</v>
      </c>
      <c r="AN150" s="2634"/>
      <c r="AO150" s="2634">
        <v>20</v>
      </c>
      <c r="AP150" s="2632"/>
      <c r="AQ150" s="2634"/>
      <c r="AR150" s="2659">
        <v>20</v>
      </c>
      <c r="AS150" s="2634">
        <v>30</v>
      </c>
      <c r="AT150" s="2634">
        <v>20</v>
      </c>
      <c r="AU150" s="2632"/>
      <c r="AV150" s="2634"/>
      <c r="AW150" s="2659"/>
      <c r="AX150" s="2634"/>
      <c r="AY150" s="2634"/>
      <c r="AZ150" s="2632"/>
      <c r="BA150" s="2659"/>
      <c r="BB150" s="2634"/>
      <c r="BC150" s="2634"/>
      <c r="BD150" s="2632"/>
      <c r="BE150" s="2659"/>
      <c r="BF150" s="2634"/>
      <c r="BG150" s="2634">
        <v>10</v>
      </c>
      <c r="BH150" s="2660"/>
      <c r="BI150" s="2632"/>
      <c r="BJ150" s="2659"/>
      <c r="BK150" s="2634"/>
      <c r="BL150" s="2634"/>
      <c r="BM150" s="2660"/>
      <c r="BN150" s="2634"/>
      <c r="BO150" s="2634">
        <v>30</v>
      </c>
      <c r="BP150" s="2632"/>
      <c r="BQ150" s="2634"/>
      <c r="BR150" s="2659">
        <v>20</v>
      </c>
      <c r="BS150" s="2634"/>
      <c r="BT150" s="2634"/>
      <c r="BU150" s="2632"/>
      <c r="BV150" s="2634"/>
      <c r="BW150" s="2634"/>
      <c r="BX150" s="2659"/>
      <c r="BY150" s="2634">
        <v>20</v>
      </c>
      <c r="BZ150" s="2634"/>
      <c r="CA150" s="2634">
        <v>20</v>
      </c>
      <c r="CB150" s="2632"/>
      <c r="CC150" s="2634"/>
      <c r="CD150" s="2659"/>
      <c r="CE150" s="2634"/>
      <c r="CF150" s="2634"/>
      <c r="CG150" s="2632"/>
      <c r="CH150" s="2634">
        <v>20</v>
      </c>
      <c r="CI150" s="2659">
        <v>20</v>
      </c>
      <c r="CJ150" s="2634"/>
      <c r="CK150" s="2634"/>
      <c r="CL150" s="2634"/>
      <c r="CM150" s="2634"/>
      <c r="CN150" s="2632"/>
      <c r="CO150" s="2659"/>
      <c r="CP150" s="2634"/>
      <c r="CQ150" s="2634"/>
      <c r="CR150" s="2632"/>
      <c r="CS150" s="2634"/>
      <c r="CT150" s="2659"/>
      <c r="CU150" s="2634"/>
      <c r="CV150" s="2634"/>
      <c r="CW150" s="2632"/>
      <c r="CX150" s="2634"/>
      <c r="CY150" s="2659"/>
      <c r="CZ150" s="2634"/>
      <c r="DA150" s="2632"/>
      <c r="DB150" s="2634"/>
      <c r="DC150" s="2659"/>
      <c r="DD150" s="2634"/>
      <c r="DE150" s="2633"/>
    </row>
    <row r="151" spans="1:109" ht="12.75" customHeight="1" x14ac:dyDescent="0.2">
      <c r="A151" s="2029">
        <v>151</v>
      </c>
      <c r="B151" s="4995"/>
      <c r="C151" s="1762" t="s">
        <v>8263</v>
      </c>
      <c r="D151" s="1763"/>
      <c r="F151" s="2657">
        <v>11</v>
      </c>
      <c r="G151" s="675" t="s">
        <v>1741</v>
      </c>
      <c r="H151" s="2632"/>
      <c r="I151" s="2634"/>
      <c r="J151" s="2659">
        <v>40</v>
      </c>
      <c r="K151" s="2634">
        <v>20</v>
      </c>
      <c r="L151" s="2634">
        <v>20</v>
      </c>
      <c r="M151" s="2632"/>
      <c r="N151" s="2634"/>
      <c r="O151" s="2659">
        <v>20</v>
      </c>
      <c r="P151" s="2634"/>
      <c r="Q151" s="2634">
        <v>40</v>
      </c>
      <c r="R151" s="2632"/>
      <c r="S151" s="2659">
        <v>30</v>
      </c>
      <c r="T151" s="2634"/>
      <c r="U151" s="2632"/>
      <c r="V151" s="2659"/>
      <c r="W151" s="2634"/>
      <c r="X151" s="2634">
        <v>20</v>
      </c>
      <c r="Y151" s="2632"/>
      <c r="Z151" s="2634"/>
      <c r="AA151" s="2659">
        <v>20</v>
      </c>
      <c r="AB151" s="2696"/>
      <c r="AC151" s="2634"/>
      <c r="AD151" s="2632"/>
      <c r="AE151" s="2659">
        <v>40</v>
      </c>
      <c r="AF151" s="2634"/>
      <c r="AG151" s="2634"/>
      <c r="AH151" s="2634">
        <v>20</v>
      </c>
      <c r="AI151" s="2632"/>
      <c r="AJ151" s="2634"/>
      <c r="AK151" s="2659">
        <v>40</v>
      </c>
      <c r="AL151" s="2634"/>
      <c r="AM151" s="2634"/>
      <c r="AN151" s="2634"/>
      <c r="AO151" s="2634">
        <v>20</v>
      </c>
      <c r="AP151" s="2632"/>
      <c r="AQ151" s="2634"/>
      <c r="AR151" s="2659">
        <v>30</v>
      </c>
      <c r="AS151" s="2634"/>
      <c r="AT151" s="2634">
        <v>20</v>
      </c>
      <c r="AU151" s="2632"/>
      <c r="AV151" s="2634"/>
      <c r="AW151" s="2659">
        <v>20</v>
      </c>
      <c r="AX151" s="2634"/>
      <c r="AY151" s="2634">
        <v>20</v>
      </c>
      <c r="AZ151" s="2632"/>
      <c r="BA151" s="2659">
        <v>20</v>
      </c>
      <c r="BB151" s="2634"/>
      <c r="BC151" s="2634">
        <v>40</v>
      </c>
      <c r="BD151" s="2632"/>
      <c r="BE151" s="2659">
        <v>20</v>
      </c>
      <c r="BF151" s="2634"/>
      <c r="BG151" s="2634">
        <v>20</v>
      </c>
      <c r="BH151" s="2660"/>
      <c r="BI151" s="2632"/>
      <c r="BJ151" s="2659"/>
      <c r="BK151" s="2634"/>
      <c r="BL151" s="2634"/>
      <c r="BM151" s="2660"/>
      <c r="BN151" s="2634"/>
      <c r="BO151" s="2634"/>
      <c r="BP151" s="2632"/>
      <c r="BQ151" s="2634"/>
      <c r="BR151" s="2659"/>
      <c r="BS151" s="2634"/>
      <c r="BT151" s="2634"/>
      <c r="BU151" s="2632"/>
      <c r="BV151" s="2634"/>
      <c r="BW151" s="2634"/>
      <c r="BX151" s="2659">
        <v>30</v>
      </c>
      <c r="BY151" s="2634"/>
      <c r="BZ151" s="2634"/>
      <c r="CA151" s="2634">
        <v>20</v>
      </c>
      <c r="CB151" s="2632"/>
      <c r="CC151" s="2634"/>
      <c r="CD151" s="2659">
        <v>20</v>
      </c>
      <c r="CE151" s="2634"/>
      <c r="CF151" s="2634"/>
      <c r="CG151" s="2632"/>
      <c r="CH151" s="2634">
        <v>20</v>
      </c>
      <c r="CI151" s="2659">
        <v>30</v>
      </c>
      <c r="CJ151" s="2634"/>
      <c r="CK151" s="2634"/>
      <c r="CL151" s="2634"/>
      <c r="CM151" s="2634">
        <v>20</v>
      </c>
      <c r="CN151" s="2632"/>
      <c r="CO151" s="2659"/>
      <c r="CP151" s="2634"/>
      <c r="CQ151" s="2634">
        <v>20</v>
      </c>
      <c r="CR151" s="2632"/>
      <c r="CS151" s="2634"/>
      <c r="CT151" s="2659">
        <v>30</v>
      </c>
      <c r="CU151" s="2634"/>
      <c r="CV151" s="2634">
        <v>20</v>
      </c>
      <c r="CW151" s="2632"/>
      <c r="CX151" s="2634">
        <v>20</v>
      </c>
      <c r="CY151" s="2659">
        <v>30</v>
      </c>
      <c r="CZ151" s="2634"/>
      <c r="DA151" s="2632"/>
      <c r="DB151" s="2634"/>
      <c r="DC151" s="2659">
        <v>30</v>
      </c>
      <c r="DD151" s="2634"/>
      <c r="DE151" s="2633"/>
    </row>
    <row r="152" spans="1:109" ht="12.75" customHeight="1" x14ac:dyDescent="0.2">
      <c r="A152" s="2029">
        <v>152</v>
      </c>
      <c r="B152" s="4995"/>
      <c r="C152" s="1762" t="s">
        <v>8303</v>
      </c>
      <c r="D152" s="1763"/>
      <c r="F152" s="2657">
        <v>12</v>
      </c>
      <c r="G152" s="675" t="s">
        <v>1743</v>
      </c>
      <c r="H152" s="2632">
        <v>20</v>
      </c>
      <c r="I152" s="2634">
        <v>30</v>
      </c>
      <c r="J152" s="2659">
        <v>20</v>
      </c>
      <c r="K152" s="2634">
        <v>20</v>
      </c>
      <c r="L152" s="2634">
        <v>20</v>
      </c>
      <c r="M152" s="2632"/>
      <c r="N152" s="2634"/>
      <c r="O152" s="2659"/>
      <c r="P152" s="2634"/>
      <c r="Q152" s="2634"/>
      <c r="R152" s="2632"/>
      <c r="S152" s="2659">
        <v>20</v>
      </c>
      <c r="T152" s="2634"/>
      <c r="U152" s="2632">
        <v>40</v>
      </c>
      <c r="V152" s="2659">
        <v>40</v>
      </c>
      <c r="W152" s="2634"/>
      <c r="X152" s="2634">
        <v>20</v>
      </c>
      <c r="Y152" s="2632">
        <v>20</v>
      </c>
      <c r="Z152" s="2634">
        <v>20</v>
      </c>
      <c r="AA152" s="2659">
        <v>20</v>
      </c>
      <c r="AB152" s="2696"/>
      <c r="AC152" s="2634">
        <v>20</v>
      </c>
      <c r="AD152" s="2632"/>
      <c r="AE152" s="2659"/>
      <c r="AF152" s="2634"/>
      <c r="AG152" s="2634"/>
      <c r="AH152" s="2634"/>
      <c r="AI152" s="2632"/>
      <c r="AJ152" s="2634"/>
      <c r="AK152" s="2659"/>
      <c r="AL152" s="2634"/>
      <c r="AM152" s="2634"/>
      <c r="AN152" s="2634"/>
      <c r="AO152" s="2634">
        <v>20</v>
      </c>
      <c r="AP152" s="2632"/>
      <c r="AQ152" s="2634">
        <v>20</v>
      </c>
      <c r="AR152" s="2659"/>
      <c r="AS152" s="2634">
        <v>10</v>
      </c>
      <c r="AT152" s="2634">
        <v>40</v>
      </c>
      <c r="AU152" s="2632">
        <v>20</v>
      </c>
      <c r="AV152" s="2634">
        <v>40</v>
      </c>
      <c r="AW152" s="2659">
        <v>20</v>
      </c>
      <c r="AX152" s="2634">
        <v>30</v>
      </c>
      <c r="AY152" s="2634">
        <v>30</v>
      </c>
      <c r="AZ152" s="2632">
        <v>20</v>
      </c>
      <c r="BA152" s="2659">
        <v>40</v>
      </c>
      <c r="BB152" s="2634"/>
      <c r="BC152" s="2634"/>
      <c r="BD152" s="2632"/>
      <c r="BE152" s="2659">
        <v>30</v>
      </c>
      <c r="BF152" s="2634"/>
      <c r="BG152" s="2634"/>
      <c r="BH152" s="2660"/>
      <c r="BI152" s="2632"/>
      <c r="BJ152" s="2659">
        <v>20</v>
      </c>
      <c r="BK152" s="2634"/>
      <c r="BL152" s="2634">
        <v>20</v>
      </c>
      <c r="BM152" s="2660"/>
      <c r="BN152" s="2634">
        <v>20</v>
      </c>
      <c r="BO152" s="2634"/>
      <c r="BP152" s="2632"/>
      <c r="BQ152" s="2634">
        <v>20</v>
      </c>
      <c r="BR152" s="2659"/>
      <c r="BS152" s="2634"/>
      <c r="BT152" s="2634">
        <v>40</v>
      </c>
      <c r="BU152" s="2632">
        <v>20</v>
      </c>
      <c r="BV152" s="2634"/>
      <c r="BW152" s="2634">
        <v>30</v>
      </c>
      <c r="BX152" s="2659">
        <v>20</v>
      </c>
      <c r="BY152" s="2634"/>
      <c r="BZ152" s="2634"/>
      <c r="CA152" s="2634">
        <v>20</v>
      </c>
      <c r="CB152" s="2632">
        <v>20</v>
      </c>
      <c r="CC152" s="2634">
        <v>20</v>
      </c>
      <c r="CD152" s="2659">
        <v>10</v>
      </c>
      <c r="CE152" s="2634"/>
      <c r="CF152" s="2634">
        <v>20</v>
      </c>
      <c r="CG152" s="2632"/>
      <c r="CH152" s="2634"/>
      <c r="CI152" s="2659">
        <v>20</v>
      </c>
      <c r="CJ152" s="2634">
        <v>20</v>
      </c>
      <c r="CK152" s="2634">
        <v>20</v>
      </c>
      <c r="CL152" s="2634">
        <v>20</v>
      </c>
      <c r="CM152" s="2634">
        <v>20</v>
      </c>
      <c r="CN152" s="2632"/>
      <c r="CO152" s="2659">
        <v>30</v>
      </c>
      <c r="CP152" s="2634"/>
      <c r="CQ152" s="2634"/>
      <c r="CR152" s="2632">
        <v>20</v>
      </c>
      <c r="CS152" s="2634">
        <v>30</v>
      </c>
      <c r="CT152" s="2659">
        <v>20</v>
      </c>
      <c r="CU152" s="2634"/>
      <c r="CV152" s="2634">
        <v>20</v>
      </c>
      <c r="CW152" s="2632"/>
      <c r="CX152" s="2634">
        <v>20</v>
      </c>
      <c r="CY152" s="2659">
        <v>20</v>
      </c>
      <c r="CZ152" s="2634"/>
      <c r="DA152" s="2632">
        <v>20</v>
      </c>
      <c r="DB152" s="2634">
        <v>30</v>
      </c>
      <c r="DC152" s="2659">
        <v>20</v>
      </c>
      <c r="DD152" s="2634"/>
      <c r="DE152" s="2633">
        <v>30</v>
      </c>
    </row>
    <row r="153" spans="1:109" ht="12.75" customHeight="1" x14ac:dyDescent="0.2">
      <c r="A153" s="2029">
        <v>153</v>
      </c>
      <c r="B153" s="4995"/>
      <c r="C153" s="1762" t="s">
        <v>8264</v>
      </c>
      <c r="D153" s="1763"/>
      <c r="F153" s="2657">
        <v>13</v>
      </c>
      <c r="G153" s="675" t="s">
        <v>1088</v>
      </c>
      <c r="H153" s="2632"/>
      <c r="I153" s="2634"/>
      <c r="J153" s="2659"/>
      <c r="K153" s="2634"/>
      <c r="L153" s="2634"/>
      <c r="M153" s="2632"/>
      <c r="N153" s="2634"/>
      <c r="O153" s="2659"/>
      <c r="P153" s="2634"/>
      <c r="Q153" s="2634"/>
      <c r="R153" s="2632"/>
      <c r="S153" s="2659"/>
      <c r="T153" s="2634"/>
      <c r="U153" s="2632"/>
      <c r="V153" s="2659"/>
      <c r="W153" s="2634"/>
      <c r="X153" s="2634"/>
      <c r="Y153" s="2632"/>
      <c r="Z153" s="2634"/>
      <c r="AA153" s="2659"/>
      <c r="AB153" s="2696"/>
      <c r="AC153" s="2634"/>
      <c r="AD153" s="2632"/>
      <c r="AE153" s="2659"/>
      <c r="AF153" s="2634"/>
      <c r="AG153" s="2634"/>
      <c r="AH153" s="2634"/>
      <c r="AI153" s="2632"/>
      <c r="AJ153" s="2634"/>
      <c r="AK153" s="2659"/>
      <c r="AL153" s="2634"/>
      <c r="AM153" s="2634"/>
      <c r="AN153" s="2634"/>
      <c r="AO153" s="2634"/>
      <c r="AP153" s="2632"/>
      <c r="AQ153" s="2634"/>
      <c r="AR153" s="2659"/>
      <c r="AS153" s="2634"/>
      <c r="AT153" s="2634"/>
      <c r="AU153" s="2632"/>
      <c r="AV153" s="2634"/>
      <c r="AW153" s="2659"/>
      <c r="AX153" s="2634"/>
      <c r="AY153" s="2634"/>
      <c r="AZ153" s="2632"/>
      <c r="BA153" s="2659"/>
      <c r="BB153" s="2634"/>
      <c r="BC153" s="2634"/>
      <c r="BD153" s="2632"/>
      <c r="BE153" s="2659"/>
      <c r="BF153" s="2634"/>
      <c r="BG153" s="2634"/>
      <c r="BH153" s="2660"/>
      <c r="BI153" s="2632"/>
      <c r="BJ153" s="2659"/>
      <c r="BK153" s="2634"/>
      <c r="BL153" s="2634"/>
      <c r="BM153" s="2660"/>
      <c r="BN153" s="2634"/>
      <c r="BO153" s="2634"/>
      <c r="BP153" s="2632"/>
      <c r="BQ153" s="2634"/>
      <c r="BR153" s="2659"/>
      <c r="BS153" s="2634"/>
      <c r="BT153" s="2634"/>
      <c r="BU153" s="2632"/>
      <c r="BV153" s="2634"/>
      <c r="BW153" s="2634"/>
      <c r="BX153" s="2659"/>
      <c r="BY153" s="2634"/>
      <c r="BZ153" s="2634"/>
      <c r="CA153" s="2634"/>
      <c r="CB153" s="2632"/>
      <c r="CC153" s="2634"/>
      <c r="CD153" s="2659"/>
      <c r="CE153" s="2634"/>
      <c r="CF153" s="2634"/>
      <c r="CG153" s="2632"/>
      <c r="CH153" s="2634"/>
      <c r="CI153" s="2659"/>
      <c r="CJ153" s="2634"/>
      <c r="CK153" s="2634"/>
      <c r="CL153" s="2634"/>
      <c r="CM153" s="2634"/>
      <c r="CN153" s="2632"/>
      <c r="CO153" s="2659"/>
      <c r="CP153" s="2634"/>
      <c r="CQ153" s="2634"/>
      <c r="CR153" s="2632"/>
      <c r="CS153" s="2634"/>
      <c r="CT153" s="2659"/>
      <c r="CU153" s="2634"/>
      <c r="CV153" s="2634"/>
      <c r="CW153" s="2632"/>
      <c r="CX153" s="2634"/>
      <c r="CY153" s="2659"/>
      <c r="CZ153" s="2634"/>
      <c r="DA153" s="2632"/>
      <c r="DB153" s="2634"/>
      <c r="DC153" s="2659"/>
      <c r="DD153" s="2634"/>
      <c r="DE153" s="2633"/>
    </row>
    <row r="154" spans="1:109" ht="12.75" customHeight="1" x14ac:dyDescent="0.2">
      <c r="A154" s="2029">
        <v>154</v>
      </c>
      <c r="B154" s="4995"/>
      <c r="C154" s="1762" t="s">
        <v>8265</v>
      </c>
      <c r="D154" s="1763"/>
      <c r="F154" s="2657">
        <v>14</v>
      </c>
      <c r="G154" s="675" t="s">
        <v>1089</v>
      </c>
      <c r="H154" s="2632"/>
      <c r="I154" s="2634"/>
      <c r="J154" s="2659"/>
      <c r="K154" s="2634"/>
      <c r="L154" s="2634"/>
      <c r="M154" s="2632"/>
      <c r="N154" s="2634"/>
      <c r="O154" s="2659"/>
      <c r="P154" s="2634"/>
      <c r="Q154" s="2634"/>
      <c r="R154" s="2632"/>
      <c r="S154" s="2659"/>
      <c r="T154" s="2634"/>
      <c r="U154" s="2632"/>
      <c r="V154" s="2659"/>
      <c r="W154" s="2634"/>
      <c r="X154" s="2634"/>
      <c r="Y154" s="2632"/>
      <c r="Z154" s="2634"/>
      <c r="AA154" s="2659"/>
      <c r="AB154" s="2696"/>
      <c r="AC154" s="2634"/>
      <c r="AD154" s="2632"/>
      <c r="AE154" s="2659"/>
      <c r="AF154" s="2634"/>
      <c r="AG154" s="2634"/>
      <c r="AH154" s="2634"/>
      <c r="AI154" s="2632"/>
      <c r="AJ154" s="2634"/>
      <c r="AK154" s="2659"/>
      <c r="AL154" s="2634"/>
      <c r="AM154" s="2634"/>
      <c r="AN154" s="2634"/>
      <c r="AO154" s="2634"/>
      <c r="AP154" s="2632"/>
      <c r="AQ154" s="2634"/>
      <c r="AR154" s="2659"/>
      <c r="AS154" s="2634"/>
      <c r="AT154" s="2634"/>
      <c r="AU154" s="2632"/>
      <c r="AV154" s="2634"/>
      <c r="AW154" s="2659"/>
      <c r="AX154" s="2634"/>
      <c r="AY154" s="2634"/>
      <c r="AZ154" s="2632"/>
      <c r="BA154" s="2659"/>
      <c r="BB154" s="2634"/>
      <c r="BC154" s="2634"/>
      <c r="BD154" s="2632"/>
      <c r="BE154" s="2659"/>
      <c r="BF154" s="2634"/>
      <c r="BG154" s="2634"/>
      <c r="BH154" s="2660"/>
      <c r="BI154" s="2632"/>
      <c r="BJ154" s="2659"/>
      <c r="BK154" s="2634"/>
      <c r="BL154" s="2634"/>
      <c r="BM154" s="2660"/>
      <c r="BN154" s="2634"/>
      <c r="BO154" s="2634"/>
      <c r="BP154" s="2632"/>
      <c r="BQ154" s="2634"/>
      <c r="BR154" s="2659"/>
      <c r="BS154" s="2634"/>
      <c r="BT154" s="2634"/>
      <c r="BU154" s="2632"/>
      <c r="BV154" s="2634"/>
      <c r="BW154" s="2634"/>
      <c r="BX154" s="2659"/>
      <c r="BY154" s="2634"/>
      <c r="BZ154" s="2634"/>
      <c r="CA154" s="2634"/>
      <c r="CB154" s="2632"/>
      <c r="CC154" s="2634"/>
      <c r="CD154" s="2659"/>
      <c r="CE154" s="2634"/>
      <c r="CF154" s="2634"/>
      <c r="CG154" s="2632"/>
      <c r="CH154" s="2634"/>
      <c r="CI154" s="2659"/>
      <c r="CJ154" s="2634"/>
      <c r="CK154" s="2634"/>
      <c r="CL154" s="2634"/>
      <c r="CM154" s="2634"/>
      <c r="CN154" s="2632"/>
      <c r="CO154" s="2659"/>
      <c r="CP154" s="2634"/>
      <c r="CQ154" s="2634"/>
      <c r="CR154" s="2632"/>
      <c r="CS154" s="2634"/>
      <c r="CT154" s="2659"/>
      <c r="CU154" s="2634"/>
      <c r="CV154" s="2634"/>
      <c r="CW154" s="2632"/>
      <c r="CX154" s="2634"/>
      <c r="CY154" s="2659"/>
      <c r="CZ154" s="2634"/>
      <c r="DA154" s="2632"/>
      <c r="DB154" s="2634"/>
      <c r="DC154" s="2659"/>
      <c r="DD154" s="2634"/>
      <c r="DE154" s="2633"/>
    </row>
    <row r="155" spans="1:109" ht="12.75" customHeight="1" x14ac:dyDescent="0.2">
      <c r="A155" s="2029">
        <v>155</v>
      </c>
      <c r="B155" s="4995"/>
      <c r="C155" s="1762" t="s">
        <v>8266</v>
      </c>
      <c r="D155" s="1763"/>
      <c r="F155" s="2657">
        <v>15</v>
      </c>
      <c r="G155" s="675" t="s">
        <v>1090</v>
      </c>
      <c r="H155" s="2632"/>
      <c r="I155" s="2634"/>
      <c r="J155" s="2659"/>
      <c r="K155" s="2634"/>
      <c r="L155" s="2634"/>
      <c r="M155" s="2632"/>
      <c r="N155" s="2634"/>
      <c r="O155" s="2659"/>
      <c r="P155" s="2634"/>
      <c r="Q155" s="2634"/>
      <c r="R155" s="2632"/>
      <c r="S155" s="2659"/>
      <c r="T155" s="2634"/>
      <c r="U155" s="2632"/>
      <c r="V155" s="2659"/>
      <c r="W155" s="2634"/>
      <c r="X155" s="2634"/>
      <c r="Y155" s="2632"/>
      <c r="Z155" s="2634"/>
      <c r="AA155" s="2659"/>
      <c r="AB155" s="2696"/>
      <c r="AC155" s="2634"/>
      <c r="AD155" s="2632"/>
      <c r="AE155" s="2659"/>
      <c r="AF155" s="2634"/>
      <c r="AG155" s="2634"/>
      <c r="AH155" s="2634"/>
      <c r="AI155" s="2632"/>
      <c r="AJ155" s="2634"/>
      <c r="AK155" s="2659"/>
      <c r="AL155" s="2634"/>
      <c r="AM155" s="2634"/>
      <c r="AN155" s="2634"/>
      <c r="AO155" s="2634"/>
      <c r="AP155" s="2632"/>
      <c r="AQ155" s="2634"/>
      <c r="AR155" s="2659"/>
      <c r="AS155" s="2634"/>
      <c r="AT155" s="2634"/>
      <c r="AU155" s="2632"/>
      <c r="AV155" s="2634"/>
      <c r="AW155" s="2659"/>
      <c r="AX155" s="2634"/>
      <c r="AY155" s="2634"/>
      <c r="AZ155" s="2632"/>
      <c r="BA155" s="2659"/>
      <c r="BB155" s="2634"/>
      <c r="BC155" s="2634"/>
      <c r="BD155" s="2632"/>
      <c r="BE155" s="2659"/>
      <c r="BF155" s="2634"/>
      <c r="BG155" s="2634"/>
      <c r="BH155" s="2660"/>
      <c r="BI155" s="2632"/>
      <c r="BJ155" s="2659"/>
      <c r="BK155" s="2634"/>
      <c r="BL155" s="2634"/>
      <c r="BM155" s="2660"/>
      <c r="BN155" s="2634"/>
      <c r="BO155" s="2634"/>
      <c r="BP155" s="2632"/>
      <c r="BQ155" s="2634"/>
      <c r="BR155" s="2659"/>
      <c r="BS155" s="2634"/>
      <c r="BT155" s="2634"/>
      <c r="BU155" s="2632"/>
      <c r="BV155" s="2634"/>
      <c r="BW155" s="2634"/>
      <c r="BX155" s="2659"/>
      <c r="BY155" s="2634"/>
      <c r="BZ155" s="2634"/>
      <c r="CA155" s="2634"/>
      <c r="CB155" s="2632"/>
      <c r="CC155" s="2634"/>
      <c r="CD155" s="2659"/>
      <c r="CE155" s="2634"/>
      <c r="CF155" s="2634"/>
      <c r="CG155" s="2632"/>
      <c r="CH155" s="2634"/>
      <c r="CI155" s="2659"/>
      <c r="CJ155" s="2634"/>
      <c r="CK155" s="2634"/>
      <c r="CL155" s="2634"/>
      <c r="CM155" s="2634"/>
      <c r="CN155" s="2632"/>
      <c r="CO155" s="2659"/>
      <c r="CP155" s="2634"/>
      <c r="CQ155" s="2634"/>
      <c r="CR155" s="2632"/>
      <c r="CS155" s="2634"/>
      <c r="CT155" s="2659"/>
      <c r="CU155" s="2634"/>
      <c r="CV155" s="2634"/>
      <c r="CW155" s="2632"/>
      <c r="CX155" s="2634"/>
      <c r="CY155" s="2659"/>
      <c r="CZ155" s="2634"/>
      <c r="DA155" s="2632"/>
      <c r="DB155" s="2634"/>
      <c r="DC155" s="2659"/>
      <c r="DD155" s="2634"/>
      <c r="DE155" s="2633"/>
    </row>
    <row r="156" spans="1:109" ht="12.75" customHeight="1" x14ac:dyDescent="0.2">
      <c r="A156" s="2029">
        <v>156</v>
      </c>
      <c r="B156" s="4995"/>
      <c r="C156" s="1762" t="s">
        <v>8304</v>
      </c>
      <c r="D156" s="1763"/>
      <c r="F156" s="2657">
        <v>16</v>
      </c>
      <c r="G156" s="675" t="s">
        <v>1745</v>
      </c>
      <c r="H156" s="2632">
        <v>30</v>
      </c>
      <c r="I156" s="2634"/>
      <c r="J156" s="2659"/>
      <c r="K156" s="2634"/>
      <c r="L156" s="2634"/>
      <c r="M156" s="2632">
        <v>20</v>
      </c>
      <c r="N156" s="2634"/>
      <c r="O156" s="2659">
        <v>20</v>
      </c>
      <c r="P156" s="2634">
        <v>20</v>
      </c>
      <c r="Q156" s="2634">
        <v>20</v>
      </c>
      <c r="R156" s="2632">
        <v>20</v>
      </c>
      <c r="S156" s="2659">
        <v>20</v>
      </c>
      <c r="T156" s="2634">
        <v>20</v>
      </c>
      <c r="U156" s="2632"/>
      <c r="V156" s="2659"/>
      <c r="W156" s="2634">
        <v>20</v>
      </c>
      <c r="X156" s="2634">
        <v>20</v>
      </c>
      <c r="Y156" s="2632">
        <v>20</v>
      </c>
      <c r="Z156" s="2634"/>
      <c r="AA156" s="2659"/>
      <c r="AB156" s="2696">
        <v>20</v>
      </c>
      <c r="AC156" s="2634">
        <v>20</v>
      </c>
      <c r="AD156" s="2632">
        <v>20</v>
      </c>
      <c r="AE156" s="2659">
        <v>10</v>
      </c>
      <c r="AF156" s="2634">
        <v>20</v>
      </c>
      <c r="AG156" s="2634">
        <v>20</v>
      </c>
      <c r="AH156" s="2634">
        <v>20</v>
      </c>
      <c r="AI156" s="2632">
        <v>20</v>
      </c>
      <c r="AJ156" s="2634">
        <v>20</v>
      </c>
      <c r="AK156" s="2659">
        <v>20</v>
      </c>
      <c r="AL156" s="2634">
        <v>20</v>
      </c>
      <c r="AM156" s="2634">
        <v>20</v>
      </c>
      <c r="AN156" s="2634">
        <v>20</v>
      </c>
      <c r="AO156" s="2634">
        <v>20</v>
      </c>
      <c r="AP156" s="2632">
        <v>30</v>
      </c>
      <c r="AQ156" s="2634">
        <v>20</v>
      </c>
      <c r="AR156" s="2659">
        <v>20</v>
      </c>
      <c r="AS156" s="2634">
        <v>30</v>
      </c>
      <c r="AT156" s="2634">
        <v>20</v>
      </c>
      <c r="AU156" s="2632">
        <v>20</v>
      </c>
      <c r="AV156" s="2634"/>
      <c r="AW156" s="2659"/>
      <c r="AX156" s="2634">
        <v>20</v>
      </c>
      <c r="AY156" s="2634"/>
      <c r="AZ156" s="2632">
        <v>20</v>
      </c>
      <c r="BA156" s="2659"/>
      <c r="BB156" s="2634">
        <v>20</v>
      </c>
      <c r="BC156" s="2634">
        <v>20</v>
      </c>
      <c r="BD156" s="2632">
        <v>20</v>
      </c>
      <c r="BE156" s="2659"/>
      <c r="BF156" s="2634">
        <v>30</v>
      </c>
      <c r="BG156" s="2634">
        <v>10</v>
      </c>
      <c r="BH156" s="2660">
        <v>20</v>
      </c>
      <c r="BI156" s="2632">
        <v>20</v>
      </c>
      <c r="BJ156" s="2659">
        <v>30</v>
      </c>
      <c r="BK156" s="2634">
        <v>20</v>
      </c>
      <c r="BL156" s="2634">
        <v>20</v>
      </c>
      <c r="BM156" s="2660">
        <v>20</v>
      </c>
      <c r="BN156" s="2634">
        <v>20</v>
      </c>
      <c r="BO156" s="2634">
        <v>10</v>
      </c>
      <c r="BP156" s="2632">
        <v>20</v>
      </c>
      <c r="BQ156" s="2634"/>
      <c r="BR156" s="2659">
        <v>20</v>
      </c>
      <c r="BS156" s="2634">
        <v>20</v>
      </c>
      <c r="BT156" s="2634">
        <v>20</v>
      </c>
      <c r="BU156" s="2632"/>
      <c r="BV156" s="2634"/>
      <c r="BW156" s="2634"/>
      <c r="BX156" s="2659"/>
      <c r="BY156" s="2634">
        <v>20</v>
      </c>
      <c r="BZ156" s="2634">
        <v>20</v>
      </c>
      <c r="CA156" s="2634"/>
      <c r="CB156" s="2632"/>
      <c r="CC156" s="2634"/>
      <c r="CD156" s="2659"/>
      <c r="CE156" s="2634">
        <v>20</v>
      </c>
      <c r="CF156" s="2634"/>
      <c r="CG156" s="2632">
        <v>20</v>
      </c>
      <c r="CH156" s="2634">
        <v>20</v>
      </c>
      <c r="CI156" s="2659"/>
      <c r="CJ156" s="2634"/>
      <c r="CK156" s="2634"/>
      <c r="CL156" s="2634"/>
      <c r="CM156" s="2634"/>
      <c r="CN156" s="2632">
        <v>30</v>
      </c>
      <c r="CO156" s="2659"/>
      <c r="CP156" s="2634">
        <v>20</v>
      </c>
      <c r="CQ156" s="2634">
        <v>20</v>
      </c>
      <c r="CR156" s="2632">
        <v>20</v>
      </c>
      <c r="CS156" s="2634">
        <v>20</v>
      </c>
      <c r="CT156" s="2659"/>
      <c r="CU156" s="2634">
        <v>20</v>
      </c>
      <c r="CV156" s="2634">
        <v>20</v>
      </c>
      <c r="CW156" s="2632">
        <v>20</v>
      </c>
      <c r="CX156" s="2634">
        <v>20</v>
      </c>
      <c r="CY156" s="2659">
        <v>20</v>
      </c>
      <c r="CZ156" s="2634">
        <v>20</v>
      </c>
      <c r="DA156" s="2632">
        <v>20</v>
      </c>
      <c r="DB156" s="2634">
        <v>20</v>
      </c>
      <c r="DC156" s="2659"/>
      <c r="DD156" s="2634">
        <v>20</v>
      </c>
      <c r="DE156" s="2633">
        <v>20</v>
      </c>
    </row>
    <row r="157" spans="1:109" ht="12.75" customHeight="1" x14ac:dyDescent="0.2">
      <c r="A157" s="2029">
        <v>157</v>
      </c>
      <c r="B157" s="4995"/>
      <c r="C157" s="1762" t="s">
        <v>8267</v>
      </c>
      <c r="D157" s="1763"/>
      <c r="F157" s="2657">
        <v>17</v>
      </c>
      <c r="G157" s="675" t="s">
        <v>1746</v>
      </c>
      <c r="H157" s="2632"/>
      <c r="I157" s="2634"/>
      <c r="J157" s="2659"/>
      <c r="K157" s="2634"/>
      <c r="L157" s="2634"/>
      <c r="M157" s="2632"/>
      <c r="N157" s="2634"/>
      <c r="O157" s="2659"/>
      <c r="P157" s="2634"/>
      <c r="Q157" s="2634"/>
      <c r="R157" s="2632"/>
      <c r="S157" s="2659"/>
      <c r="T157" s="2634"/>
      <c r="U157" s="2632"/>
      <c r="V157" s="2659"/>
      <c r="W157" s="2634"/>
      <c r="X157" s="2634"/>
      <c r="Y157" s="2632"/>
      <c r="Z157" s="2634"/>
      <c r="AA157" s="2659"/>
      <c r="AB157" s="2696"/>
      <c r="AC157" s="2634"/>
      <c r="AD157" s="2632"/>
      <c r="AE157" s="2659"/>
      <c r="AF157" s="2634"/>
      <c r="AG157" s="2634"/>
      <c r="AH157" s="2634"/>
      <c r="AI157" s="2632"/>
      <c r="AJ157" s="2634"/>
      <c r="AK157" s="2659"/>
      <c r="AL157" s="2634"/>
      <c r="AM157" s="2634"/>
      <c r="AN157" s="2634"/>
      <c r="AO157" s="2634"/>
      <c r="AP157" s="2632"/>
      <c r="AQ157" s="2634"/>
      <c r="AR157" s="2659"/>
      <c r="AS157" s="2634"/>
      <c r="AT157" s="2634"/>
      <c r="AU157" s="2632"/>
      <c r="AV157" s="2634"/>
      <c r="AW157" s="2659"/>
      <c r="AX157" s="2634"/>
      <c r="AY157" s="2634"/>
      <c r="AZ157" s="2632"/>
      <c r="BA157" s="2659"/>
      <c r="BB157" s="2634"/>
      <c r="BC157" s="2634"/>
      <c r="BD157" s="2632"/>
      <c r="BE157" s="2659"/>
      <c r="BF157" s="2634"/>
      <c r="BG157" s="2634"/>
      <c r="BH157" s="2660">
        <v>20</v>
      </c>
      <c r="BI157" s="2632"/>
      <c r="BJ157" s="2659"/>
      <c r="BK157" s="2634"/>
      <c r="BL157" s="2634"/>
      <c r="BM157" s="2660"/>
      <c r="BN157" s="2634"/>
      <c r="BO157" s="2634"/>
      <c r="BP157" s="2632"/>
      <c r="BQ157" s="2634"/>
      <c r="BR157" s="2659"/>
      <c r="BS157" s="2634"/>
      <c r="BT157" s="2634"/>
      <c r="BU157" s="2632"/>
      <c r="BV157" s="2634"/>
      <c r="BW157" s="2634"/>
      <c r="BX157" s="2659"/>
      <c r="BY157" s="2634"/>
      <c r="BZ157" s="2634"/>
      <c r="CA157" s="2634"/>
      <c r="CB157" s="2632"/>
      <c r="CC157" s="2634"/>
      <c r="CD157" s="2659"/>
      <c r="CE157" s="2634"/>
      <c r="CF157" s="2634"/>
      <c r="CG157" s="2632"/>
      <c r="CH157" s="2634"/>
      <c r="CI157" s="2659"/>
      <c r="CJ157" s="2634"/>
      <c r="CK157" s="2634"/>
      <c r="CL157" s="2634"/>
      <c r="CM157" s="2634"/>
      <c r="CN157" s="2632"/>
      <c r="CO157" s="2659"/>
      <c r="CP157" s="2634"/>
      <c r="CQ157" s="2634"/>
      <c r="CR157" s="2632"/>
      <c r="CS157" s="2634"/>
      <c r="CT157" s="2659"/>
      <c r="CU157" s="2634"/>
      <c r="CV157" s="2634"/>
      <c r="CW157" s="2632"/>
      <c r="CX157" s="2634"/>
      <c r="CY157" s="2659"/>
      <c r="CZ157" s="2634"/>
      <c r="DA157" s="2632"/>
      <c r="DB157" s="2634"/>
      <c r="DC157" s="2659"/>
      <c r="DD157" s="2634"/>
      <c r="DE157" s="2633"/>
    </row>
    <row r="158" spans="1:109" ht="12.75" customHeight="1" x14ac:dyDescent="0.2">
      <c r="A158" s="2029">
        <v>158</v>
      </c>
      <c r="B158" s="4995"/>
      <c r="C158" s="1762" t="s">
        <v>8268</v>
      </c>
      <c r="D158" s="1763"/>
      <c r="F158" s="2657">
        <v>18</v>
      </c>
      <c r="G158" s="675" t="s">
        <v>1747</v>
      </c>
      <c r="H158" s="2632"/>
      <c r="I158" s="2634"/>
      <c r="J158" s="2659"/>
      <c r="K158" s="2634"/>
      <c r="L158" s="2634"/>
      <c r="M158" s="2632"/>
      <c r="N158" s="2634">
        <v>20</v>
      </c>
      <c r="O158" s="2659"/>
      <c r="P158" s="2634"/>
      <c r="Q158" s="2634"/>
      <c r="R158" s="2632">
        <v>20</v>
      </c>
      <c r="S158" s="2659"/>
      <c r="T158" s="2634">
        <v>20</v>
      </c>
      <c r="U158" s="2632"/>
      <c r="V158" s="2659"/>
      <c r="W158" s="2634"/>
      <c r="X158" s="2634"/>
      <c r="Y158" s="2632"/>
      <c r="Z158" s="2634"/>
      <c r="AA158" s="2659"/>
      <c r="AB158" s="2696"/>
      <c r="AC158" s="2634"/>
      <c r="AD158" s="2632"/>
      <c r="AE158" s="2659"/>
      <c r="AF158" s="2634">
        <v>30</v>
      </c>
      <c r="AG158" s="2634">
        <v>20</v>
      </c>
      <c r="AH158" s="2634"/>
      <c r="AI158" s="2632">
        <v>20</v>
      </c>
      <c r="AJ158" s="2634"/>
      <c r="AK158" s="2659"/>
      <c r="AL158" s="2634">
        <v>20</v>
      </c>
      <c r="AM158" s="2634">
        <v>20</v>
      </c>
      <c r="AN158" s="2634">
        <v>20</v>
      </c>
      <c r="AO158" s="2634"/>
      <c r="AP158" s="2632">
        <v>20</v>
      </c>
      <c r="AQ158" s="2634"/>
      <c r="AR158" s="2659"/>
      <c r="AS158" s="2634"/>
      <c r="AT158" s="2634"/>
      <c r="AU158" s="2632"/>
      <c r="AV158" s="2634"/>
      <c r="AW158" s="2659"/>
      <c r="AX158" s="2634"/>
      <c r="AY158" s="2634"/>
      <c r="AZ158" s="2632"/>
      <c r="BA158" s="2659"/>
      <c r="BB158" s="2634">
        <v>10</v>
      </c>
      <c r="BC158" s="2634"/>
      <c r="BD158" s="2632">
        <v>30</v>
      </c>
      <c r="BE158" s="2659"/>
      <c r="BF158" s="2634">
        <v>20</v>
      </c>
      <c r="BG158" s="2634"/>
      <c r="BH158" s="2660">
        <v>30</v>
      </c>
      <c r="BI158" s="2632">
        <v>20</v>
      </c>
      <c r="BJ158" s="2659">
        <v>30</v>
      </c>
      <c r="BK158" s="2634"/>
      <c r="BL158" s="2634"/>
      <c r="BM158" s="2660">
        <v>30</v>
      </c>
      <c r="BN158" s="2634"/>
      <c r="BO158" s="2634"/>
      <c r="BP158" s="2632"/>
      <c r="BQ158" s="2634"/>
      <c r="BR158" s="2659"/>
      <c r="BS158" s="2634"/>
      <c r="BT158" s="2634"/>
      <c r="BU158" s="2632"/>
      <c r="BV158" s="2634">
        <v>20</v>
      </c>
      <c r="BW158" s="2634"/>
      <c r="BX158" s="2659"/>
      <c r="BY158" s="2634"/>
      <c r="BZ158" s="2634"/>
      <c r="CA158" s="2634"/>
      <c r="CB158" s="2632"/>
      <c r="CC158" s="2634"/>
      <c r="CD158" s="2659"/>
      <c r="CE158" s="2634">
        <v>20</v>
      </c>
      <c r="CF158" s="2634">
        <v>20</v>
      </c>
      <c r="CG158" s="2632"/>
      <c r="CH158" s="2634"/>
      <c r="CI158" s="2659"/>
      <c r="CJ158" s="2634"/>
      <c r="CK158" s="2634"/>
      <c r="CL158" s="2634"/>
      <c r="CM158" s="2634"/>
      <c r="CN158" s="2632"/>
      <c r="CO158" s="2659"/>
      <c r="CP158" s="2634">
        <v>20</v>
      </c>
      <c r="CQ158" s="2634">
        <v>20</v>
      </c>
      <c r="CR158" s="2632"/>
      <c r="CS158" s="2634"/>
      <c r="CT158" s="2659"/>
      <c r="CU158" s="2634">
        <v>20</v>
      </c>
      <c r="CV158" s="2634">
        <v>20</v>
      </c>
      <c r="CW158" s="2632">
        <v>20</v>
      </c>
      <c r="CX158" s="2634"/>
      <c r="CY158" s="2659"/>
      <c r="CZ158" s="2634"/>
      <c r="DA158" s="2632"/>
      <c r="DB158" s="2634"/>
      <c r="DC158" s="2659"/>
      <c r="DD158" s="2634"/>
      <c r="DE158" s="2633"/>
    </row>
    <row r="159" spans="1:109" ht="12.75" customHeight="1" x14ac:dyDescent="0.2">
      <c r="A159" s="2029">
        <v>159</v>
      </c>
      <c r="B159" s="4995"/>
      <c r="C159" s="1762" t="s">
        <v>8305</v>
      </c>
      <c r="D159" s="1763"/>
      <c r="F159" s="2657">
        <v>19</v>
      </c>
      <c r="G159" s="675" t="s">
        <v>1749</v>
      </c>
      <c r="H159" s="2632"/>
      <c r="I159" s="2634"/>
      <c r="J159" s="2659"/>
      <c r="K159" s="2634"/>
      <c r="L159" s="2634"/>
      <c r="M159" s="2632">
        <v>20</v>
      </c>
      <c r="N159" s="2634">
        <v>20</v>
      </c>
      <c r="O159" s="2659">
        <v>20</v>
      </c>
      <c r="P159" s="2634"/>
      <c r="Q159" s="2634"/>
      <c r="R159" s="2632">
        <v>20</v>
      </c>
      <c r="S159" s="2659"/>
      <c r="T159" s="2634">
        <v>20</v>
      </c>
      <c r="U159" s="2632"/>
      <c r="V159" s="2659"/>
      <c r="W159" s="2634">
        <v>20</v>
      </c>
      <c r="X159" s="2634"/>
      <c r="Y159" s="2632"/>
      <c r="Z159" s="2634"/>
      <c r="AA159" s="2659"/>
      <c r="AB159" s="2696"/>
      <c r="AC159" s="2634"/>
      <c r="AD159" s="2632"/>
      <c r="AE159" s="2659"/>
      <c r="AF159" s="2634">
        <v>10</v>
      </c>
      <c r="AG159" s="2634">
        <v>10</v>
      </c>
      <c r="AH159" s="2634">
        <v>20</v>
      </c>
      <c r="AI159" s="2632"/>
      <c r="AJ159" s="2634"/>
      <c r="AK159" s="2659"/>
      <c r="AL159" s="2634">
        <v>30</v>
      </c>
      <c r="AM159" s="2634">
        <v>20</v>
      </c>
      <c r="AN159" s="2634"/>
      <c r="AO159" s="2634"/>
      <c r="AP159" s="2632"/>
      <c r="AQ159" s="2634">
        <v>10</v>
      </c>
      <c r="AR159" s="2659"/>
      <c r="AS159" s="2634"/>
      <c r="AT159" s="2634"/>
      <c r="AU159" s="2632"/>
      <c r="AV159" s="2634"/>
      <c r="AW159" s="2659"/>
      <c r="AX159" s="2634"/>
      <c r="AY159" s="2634"/>
      <c r="AZ159" s="2632"/>
      <c r="BA159" s="2659"/>
      <c r="BB159" s="2634"/>
      <c r="BC159" s="2634"/>
      <c r="BD159" s="2632">
        <v>20</v>
      </c>
      <c r="BE159" s="2659"/>
      <c r="BF159" s="2634"/>
      <c r="BG159" s="2634"/>
      <c r="BH159" s="2660">
        <v>10</v>
      </c>
      <c r="BI159" s="2632">
        <v>20</v>
      </c>
      <c r="BJ159" s="2659">
        <v>30</v>
      </c>
      <c r="BK159" s="2634">
        <v>20</v>
      </c>
      <c r="BL159" s="2634"/>
      <c r="BM159" s="2660">
        <v>20</v>
      </c>
      <c r="BN159" s="2634">
        <v>10</v>
      </c>
      <c r="BO159" s="2634"/>
      <c r="BP159" s="2632">
        <v>10</v>
      </c>
      <c r="BQ159" s="2634"/>
      <c r="BR159" s="2659"/>
      <c r="BS159" s="2634">
        <v>20</v>
      </c>
      <c r="BT159" s="2634"/>
      <c r="BU159" s="2632">
        <v>20</v>
      </c>
      <c r="BV159" s="2634">
        <v>20</v>
      </c>
      <c r="BW159" s="2634"/>
      <c r="BX159" s="2659"/>
      <c r="BY159" s="2634">
        <v>20</v>
      </c>
      <c r="BZ159" s="2634">
        <v>30</v>
      </c>
      <c r="CA159" s="2634"/>
      <c r="CB159" s="2632"/>
      <c r="CC159" s="2634"/>
      <c r="CD159" s="2659"/>
      <c r="CE159" s="2634">
        <v>20</v>
      </c>
      <c r="CF159" s="2634">
        <v>20</v>
      </c>
      <c r="CG159" s="2632">
        <v>20</v>
      </c>
      <c r="CH159" s="2634"/>
      <c r="CI159" s="2659"/>
      <c r="CJ159" s="2634"/>
      <c r="CK159" s="2634"/>
      <c r="CL159" s="2634"/>
      <c r="CM159" s="2634"/>
      <c r="CN159" s="2632">
        <v>20</v>
      </c>
      <c r="CO159" s="2659"/>
      <c r="CP159" s="2634">
        <v>20</v>
      </c>
      <c r="CQ159" s="2634">
        <v>20</v>
      </c>
      <c r="CR159" s="2632"/>
      <c r="CS159" s="2634"/>
      <c r="CT159" s="2659"/>
      <c r="CU159" s="2634">
        <v>20</v>
      </c>
      <c r="CV159" s="2634">
        <v>20</v>
      </c>
      <c r="CW159" s="2632">
        <v>20</v>
      </c>
      <c r="CX159" s="2634">
        <v>20</v>
      </c>
      <c r="CY159" s="2659">
        <v>20</v>
      </c>
      <c r="CZ159" s="2634"/>
      <c r="DA159" s="2632">
        <v>20</v>
      </c>
      <c r="DB159" s="2634"/>
      <c r="DC159" s="2659"/>
      <c r="DD159" s="2634"/>
      <c r="DE159" s="2633"/>
    </row>
    <row r="160" spans="1:109" ht="12.75" customHeight="1" x14ac:dyDescent="0.2">
      <c r="A160" s="2029">
        <v>160</v>
      </c>
      <c r="B160" s="4995"/>
      <c r="C160" s="1762" t="s">
        <v>8269</v>
      </c>
      <c r="D160" s="1763"/>
      <c r="F160" s="2657">
        <v>20</v>
      </c>
      <c r="G160" s="675" t="s">
        <v>1750</v>
      </c>
      <c r="H160" s="2632"/>
      <c r="I160" s="2634"/>
      <c r="J160" s="2659"/>
      <c r="K160" s="2634">
        <v>20</v>
      </c>
      <c r="L160" s="2634">
        <v>20</v>
      </c>
      <c r="M160" s="2632"/>
      <c r="N160" s="2634"/>
      <c r="O160" s="2659"/>
      <c r="P160" s="2634"/>
      <c r="Q160" s="2634"/>
      <c r="R160" s="2632"/>
      <c r="S160" s="2659"/>
      <c r="T160" s="2634"/>
      <c r="U160" s="2632"/>
      <c r="V160" s="2659"/>
      <c r="W160" s="2634"/>
      <c r="X160" s="2634"/>
      <c r="Y160" s="2632"/>
      <c r="Z160" s="2634"/>
      <c r="AA160" s="2659"/>
      <c r="AB160" s="2696"/>
      <c r="AC160" s="2634"/>
      <c r="AD160" s="2632"/>
      <c r="AE160" s="2659"/>
      <c r="AF160" s="2634"/>
      <c r="AG160" s="2634"/>
      <c r="AH160" s="2634"/>
      <c r="AI160" s="2632"/>
      <c r="AJ160" s="2634"/>
      <c r="AK160" s="2659"/>
      <c r="AL160" s="2634"/>
      <c r="AM160" s="2634"/>
      <c r="AN160" s="2634"/>
      <c r="AO160" s="2634"/>
      <c r="AP160" s="2632"/>
      <c r="AQ160" s="2634"/>
      <c r="AR160" s="2659"/>
      <c r="AS160" s="2634"/>
      <c r="AT160" s="2634"/>
      <c r="AU160" s="2632"/>
      <c r="AV160" s="2634"/>
      <c r="AW160" s="2659"/>
      <c r="AX160" s="2634"/>
      <c r="AY160" s="2634"/>
      <c r="AZ160" s="2632"/>
      <c r="BA160" s="2659"/>
      <c r="BB160" s="2634"/>
      <c r="BC160" s="2634"/>
      <c r="BD160" s="2632"/>
      <c r="BE160" s="2659"/>
      <c r="BF160" s="2634"/>
      <c r="BG160" s="2634"/>
      <c r="BH160" s="2660"/>
      <c r="BI160" s="2632"/>
      <c r="BJ160" s="2659"/>
      <c r="BK160" s="2634">
        <v>20</v>
      </c>
      <c r="BL160" s="2634">
        <v>20</v>
      </c>
      <c r="BM160" s="2660"/>
      <c r="BN160" s="2634">
        <v>30</v>
      </c>
      <c r="BO160" s="2634"/>
      <c r="BP160" s="2632"/>
      <c r="BQ160" s="2634"/>
      <c r="BR160" s="2659"/>
      <c r="BS160" s="2634"/>
      <c r="BT160" s="2634"/>
      <c r="BU160" s="2632"/>
      <c r="BV160" s="2634"/>
      <c r="BW160" s="2634"/>
      <c r="BX160" s="2659"/>
      <c r="BY160" s="2634"/>
      <c r="BZ160" s="2634"/>
      <c r="CA160" s="2634"/>
      <c r="CB160" s="2632"/>
      <c r="CC160" s="2634"/>
      <c r="CD160" s="2659"/>
      <c r="CE160" s="2634"/>
      <c r="CF160" s="2634"/>
      <c r="CG160" s="2632"/>
      <c r="CH160" s="2634"/>
      <c r="CI160" s="2659"/>
      <c r="CJ160" s="2634"/>
      <c r="CK160" s="2634"/>
      <c r="CL160" s="2634"/>
      <c r="CM160" s="2634"/>
      <c r="CN160" s="2632"/>
      <c r="CO160" s="2659"/>
      <c r="CP160" s="2634"/>
      <c r="CQ160" s="2634"/>
      <c r="CR160" s="2632"/>
      <c r="CS160" s="2634"/>
      <c r="CT160" s="2659"/>
      <c r="CU160" s="2634"/>
      <c r="CV160" s="2634"/>
      <c r="CW160" s="2632"/>
      <c r="CX160" s="2634"/>
      <c r="CY160" s="2659"/>
      <c r="CZ160" s="2634"/>
      <c r="DA160" s="2632"/>
      <c r="DB160" s="2634"/>
      <c r="DC160" s="2659"/>
      <c r="DD160" s="2634"/>
      <c r="DE160" s="2633"/>
    </row>
    <row r="161" spans="1:109" ht="12.75" customHeight="1" x14ac:dyDescent="0.2">
      <c r="A161" s="2029">
        <v>161</v>
      </c>
      <c r="B161" s="4995"/>
      <c r="C161" s="1762" t="s">
        <v>8270</v>
      </c>
      <c r="D161" s="1763"/>
      <c r="F161" s="2657">
        <v>21</v>
      </c>
      <c r="G161" s="675" t="s">
        <v>3126</v>
      </c>
      <c r="H161" s="2632"/>
      <c r="I161" s="2634"/>
      <c r="J161" s="2659"/>
      <c r="K161" s="2634"/>
      <c r="L161" s="2634"/>
      <c r="M161" s="2632"/>
      <c r="N161" s="2634"/>
      <c r="O161" s="2659"/>
      <c r="P161" s="2634"/>
      <c r="Q161" s="2634"/>
      <c r="R161" s="2632"/>
      <c r="S161" s="2659"/>
      <c r="T161" s="2634"/>
      <c r="U161" s="2632"/>
      <c r="V161" s="2659"/>
      <c r="W161" s="2634"/>
      <c r="X161" s="2634"/>
      <c r="Y161" s="2632"/>
      <c r="Z161" s="2634"/>
      <c r="AA161" s="2659"/>
      <c r="AB161" s="2696"/>
      <c r="AC161" s="2634"/>
      <c r="AD161" s="2632"/>
      <c r="AE161" s="2659"/>
      <c r="AF161" s="2634"/>
      <c r="AG161" s="2634"/>
      <c r="AH161" s="2634"/>
      <c r="AI161" s="2632"/>
      <c r="AJ161" s="2634"/>
      <c r="AK161" s="2659"/>
      <c r="AL161" s="2634"/>
      <c r="AM161" s="2634"/>
      <c r="AN161" s="2634"/>
      <c r="AO161" s="2634"/>
      <c r="AP161" s="2632"/>
      <c r="AQ161" s="2634"/>
      <c r="AR161" s="2659"/>
      <c r="AS161" s="2634"/>
      <c r="AT161" s="2634"/>
      <c r="AU161" s="2632"/>
      <c r="AV161" s="2634"/>
      <c r="AW161" s="2659"/>
      <c r="AX161" s="2634"/>
      <c r="AY161" s="2634"/>
      <c r="AZ161" s="2632"/>
      <c r="BA161" s="2659"/>
      <c r="BB161" s="2634"/>
      <c r="BC161" s="2634"/>
      <c r="BD161" s="2632"/>
      <c r="BE161" s="2659"/>
      <c r="BF161" s="2634"/>
      <c r="BG161" s="2634"/>
      <c r="BH161" s="2660"/>
      <c r="BI161" s="2632"/>
      <c r="BJ161" s="2659"/>
      <c r="BK161" s="2634"/>
      <c r="BL161" s="2634"/>
      <c r="BM161" s="2660"/>
      <c r="BN161" s="2634"/>
      <c r="BO161" s="2634"/>
      <c r="BP161" s="2632"/>
      <c r="BQ161" s="2634"/>
      <c r="BR161" s="2659"/>
      <c r="BS161" s="2634"/>
      <c r="BT161" s="2634"/>
      <c r="BU161" s="2632"/>
      <c r="BV161" s="2634"/>
      <c r="BW161" s="2634"/>
      <c r="BX161" s="2659"/>
      <c r="BY161" s="2634"/>
      <c r="BZ161" s="2634"/>
      <c r="CA161" s="2634"/>
      <c r="CB161" s="2632"/>
      <c r="CC161" s="2634"/>
      <c r="CD161" s="2659"/>
      <c r="CE161" s="2634"/>
      <c r="CF161" s="2634"/>
      <c r="CG161" s="2632"/>
      <c r="CH161" s="2634"/>
      <c r="CI161" s="2659"/>
      <c r="CJ161" s="2634"/>
      <c r="CK161" s="2634"/>
      <c r="CL161" s="2634"/>
      <c r="CM161" s="2634"/>
      <c r="CN161" s="2632"/>
      <c r="CO161" s="2659"/>
      <c r="CP161" s="2634"/>
      <c r="CQ161" s="2634"/>
      <c r="CR161" s="2632"/>
      <c r="CS161" s="2634"/>
      <c r="CT161" s="2659"/>
      <c r="CU161" s="2634"/>
      <c r="CV161" s="2634"/>
      <c r="CW161" s="2632"/>
      <c r="CX161" s="2634"/>
      <c r="CY161" s="2659"/>
      <c r="CZ161" s="2634"/>
      <c r="DA161" s="2632"/>
      <c r="DB161" s="2634"/>
      <c r="DC161" s="2659"/>
      <c r="DD161" s="2634"/>
      <c r="DE161" s="2633"/>
    </row>
    <row r="162" spans="1:109" ht="12.75" customHeight="1" x14ac:dyDescent="0.2">
      <c r="A162" s="2029">
        <v>162</v>
      </c>
      <c r="B162" s="4995"/>
      <c r="C162" s="1762" t="s">
        <v>8306</v>
      </c>
      <c r="D162" s="1763"/>
      <c r="F162" s="2657">
        <v>22</v>
      </c>
      <c r="G162" s="675" t="s">
        <v>1751</v>
      </c>
      <c r="H162" s="2632"/>
      <c r="I162" s="2634"/>
      <c r="J162" s="2659"/>
      <c r="K162" s="2634">
        <v>20</v>
      </c>
      <c r="L162" s="2634">
        <v>20</v>
      </c>
      <c r="M162" s="2632">
        <v>20</v>
      </c>
      <c r="N162" s="2634">
        <v>40</v>
      </c>
      <c r="O162" s="2659"/>
      <c r="P162" s="2634"/>
      <c r="Q162" s="2634"/>
      <c r="R162" s="2632">
        <v>20</v>
      </c>
      <c r="S162" s="2659"/>
      <c r="T162" s="2634">
        <v>20</v>
      </c>
      <c r="U162" s="2632"/>
      <c r="V162" s="2659"/>
      <c r="W162" s="2634">
        <v>20</v>
      </c>
      <c r="X162" s="2634"/>
      <c r="Y162" s="2632"/>
      <c r="Z162" s="2634"/>
      <c r="AA162" s="2659"/>
      <c r="AB162" s="2696"/>
      <c r="AC162" s="2634"/>
      <c r="AD162" s="2632"/>
      <c r="AE162" s="2659"/>
      <c r="AF162" s="2634">
        <v>10</v>
      </c>
      <c r="AG162" s="2634"/>
      <c r="AH162" s="2634"/>
      <c r="AI162" s="2632"/>
      <c r="AJ162" s="2634"/>
      <c r="AK162" s="2659"/>
      <c r="AL162" s="2634">
        <v>30</v>
      </c>
      <c r="AM162" s="2634"/>
      <c r="AN162" s="2634"/>
      <c r="AO162" s="2634"/>
      <c r="AP162" s="2632">
        <v>30</v>
      </c>
      <c r="AQ162" s="2634">
        <v>10</v>
      </c>
      <c r="AR162" s="2659">
        <v>20</v>
      </c>
      <c r="AS162" s="2634"/>
      <c r="AT162" s="2634"/>
      <c r="AU162" s="2632"/>
      <c r="AV162" s="2634"/>
      <c r="AW162" s="2659"/>
      <c r="AX162" s="2634"/>
      <c r="AY162" s="2634"/>
      <c r="AZ162" s="2632"/>
      <c r="BA162" s="2659"/>
      <c r="BB162" s="2634"/>
      <c r="BC162" s="2634"/>
      <c r="BD162" s="2632"/>
      <c r="BE162" s="2659"/>
      <c r="BF162" s="2634"/>
      <c r="BG162" s="2634"/>
      <c r="BH162" s="2660"/>
      <c r="BI162" s="2632">
        <v>20</v>
      </c>
      <c r="BJ162" s="2659"/>
      <c r="BK162" s="2634">
        <v>20</v>
      </c>
      <c r="BL162" s="2634"/>
      <c r="BM162" s="2660">
        <v>10</v>
      </c>
      <c r="BN162" s="2634"/>
      <c r="BO162" s="2634"/>
      <c r="BP162" s="2632">
        <v>20</v>
      </c>
      <c r="BQ162" s="2634"/>
      <c r="BR162" s="2659"/>
      <c r="BS162" s="2634">
        <v>20</v>
      </c>
      <c r="BT162" s="2634"/>
      <c r="BU162" s="2632"/>
      <c r="BV162" s="2634">
        <v>20</v>
      </c>
      <c r="BW162" s="2634"/>
      <c r="BX162" s="2659"/>
      <c r="BY162" s="2634"/>
      <c r="BZ162" s="2634">
        <v>30</v>
      </c>
      <c r="CA162" s="2634"/>
      <c r="CB162" s="2632"/>
      <c r="CC162" s="2634"/>
      <c r="CD162" s="2659"/>
      <c r="CE162" s="2634">
        <v>20</v>
      </c>
      <c r="CF162" s="2634">
        <v>20</v>
      </c>
      <c r="CG162" s="2632">
        <v>30</v>
      </c>
      <c r="CH162" s="2634"/>
      <c r="CI162" s="2659"/>
      <c r="CJ162" s="2634"/>
      <c r="CK162" s="2634"/>
      <c r="CL162" s="2634"/>
      <c r="CM162" s="2634"/>
      <c r="CN162" s="2632">
        <v>20</v>
      </c>
      <c r="CO162" s="2659"/>
      <c r="CP162" s="2634">
        <v>20</v>
      </c>
      <c r="CQ162" s="2634"/>
      <c r="CR162" s="2632"/>
      <c r="CS162" s="2634"/>
      <c r="CT162" s="2659"/>
      <c r="CU162" s="2634"/>
      <c r="CV162" s="2634"/>
      <c r="CW162" s="2632"/>
      <c r="CX162" s="2634"/>
      <c r="CY162" s="2659"/>
      <c r="CZ162" s="2634"/>
      <c r="DA162" s="2632"/>
      <c r="DB162" s="2634"/>
      <c r="DC162" s="2659"/>
      <c r="DD162" s="2634"/>
      <c r="DE162" s="2633"/>
    </row>
    <row r="163" spans="1:109" ht="12.75" customHeight="1" x14ac:dyDescent="0.2">
      <c r="A163" s="2029">
        <v>163</v>
      </c>
      <c r="B163" s="4995"/>
      <c r="C163" s="1762" t="s">
        <v>8271</v>
      </c>
      <c r="D163" s="1763"/>
      <c r="F163" s="2657">
        <v>23</v>
      </c>
      <c r="G163" s="675" t="s">
        <v>1753</v>
      </c>
      <c r="H163" s="2632" t="s">
        <v>8340</v>
      </c>
      <c r="I163" s="2634" t="s">
        <v>8340</v>
      </c>
      <c r="J163" s="2659" t="s">
        <v>8340</v>
      </c>
      <c r="K163" s="2634">
        <v>20</v>
      </c>
      <c r="L163" s="2634"/>
      <c r="M163" s="2632"/>
      <c r="N163" s="2634"/>
      <c r="O163" s="2659"/>
      <c r="P163" s="2634" t="s">
        <v>8340</v>
      </c>
      <c r="Q163" s="2634" t="s">
        <v>8340</v>
      </c>
      <c r="R163" s="2632"/>
      <c r="S163" s="2659" t="s">
        <v>8340</v>
      </c>
      <c r="T163" s="2634"/>
      <c r="U163" s="2632" t="s">
        <v>8340</v>
      </c>
      <c r="V163" s="2659" t="s">
        <v>8340</v>
      </c>
      <c r="W163" s="2634"/>
      <c r="X163" s="2634" t="s">
        <v>8340</v>
      </c>
      <c r="Y163" s="2632" t="s">
        <v>8340</v>
      </c>
      <c r="Z163" s="2634" t="s">
        <v>8340</v>
      </c>
      <c r="AA163" s="2659" t="s">
        <v>8340</v>
      </c>
      <c r="AB163" s="2696"/>
      <c r="AC163" s="2634" t="s">
        <v>8340</v>
      </c>
      <c r="AD163" s="2632" t="s">
        <v>8340</v>
      </c>
      <c r="AE163" s="2659" t="s">
        <v>8340</v>
      </c>
      <c r="AF163" s="2634"/>
      <c r="AG163" s="2634"/>
      <c r="AH163" s="2634"/>
      <c r="AI163" s="2632"/>
      <c r="AJ163" s="2634"/>
      <c r="AK163" s="2659" t="s">
        <v>8340</v>
      </c>
      <c r="AL163" s="2634" t="s">
        <v>8340</v>
      </c>
      <c r="AM163" s="2634" t="s">
        <v>8340</v>
      </c>
      <c r="AN163" s="2634"/>
      <c r="AO163" s="2634" t="s">
        <v>8340</v>
      </c>
      <c r="AP163" s="2632"/>
      <c r="AQ163" s="2634"/>
      <c r="AR163" s="2659"/>
      <c r="AS163" s="2634"/>
      <c r="AT163" s="2634"/>
      <c r="AU163" s="2632" t="s">
        <v>8340</v>
      </c>
      <c r="AV163" s="2634">
        <v>20</v>
      </c>
      <c r="AW163" s="2659">
        <v>20</v>
      </c>
      <c r="AX163" s="2634" t="s">
        <v>8340</v>
      </c>
      <c r="AY163" s="2634" t="s">
        <v>8340</v>
      </c>
      <c r="AZ163" s="2632" t="s">
        <v>9033</v>
      </c>
      <c r="BA163" s="2659" t="s">
        <v>9034</v>
      </c>
      <c r="BB163" s="2634" t="s">
        <v>8340</v>
      </c>
      <c r="BC163" s="2634" t="s">
        <v>8341</v>
      </c>
      <c r="BD163" s="2632"/>
      <c r="BE163" s="2659" t="s">
        <v>8340</v>
      </c>
      <c r="BF163" s="2634" t="s">
        <v>8340</v>
      </c>
      <c r="BG163" s="2634" t="s">
        <v>8341</v>
      </c>
      <c r="BH163" s="2660"/>
      <c r="BI163" s="2632"/>
      <c r="BJ163" s="2659"/>
      <c r="BK163" s="2634">
        <v>20</v>
      </c>
      <c r="BL163" s="2634">
        <v>20</v>
      </c>
      <c r="BM163" s="2660"/>
      <c r="BN163" s="2634">
        <v>10</v>
      </c>
      <c r="BO163" s="2634"/>
      <c r="BP163" s="2632"/>
      <c r="BQ163" s="2634" t="s">
        <v>8340</v>
      </c>
      <c r="BR163" s="2659" t="s">
        <v>8340</v>
      </c>
      <c r="BS163" s="2634"/>
      <c r="BT163" s="2634">
        <v>20</v>
      </c>
      <c r="BU163" s="2632" t="s">
        <v>8340</v>
      </c>
      <c r="BV163" s="2634"/>
      <c r="BW163" s="2634" t="s">
        <v>8340</v>
      </c>
      <c r="BX163" s="2659" t="s">
        <v>8341</v>
      </c>
      <c r="BY163" s="2634"/>
      <c r="BZ163" s="2634"/>
      <c r="CA163" s="2634"/>
      <c r="CB163" s="2632" t="s">
        <v>8340</v>
      </c>
      <c r="CC163" s="2634" t="s">
        <v>8340</v>
      </c>
      <c r="CD163" s="2659" t="s">
        <v>8340</v>
      </c>
      <c r="CE163" s="2634"/>
      <c r="CF163" s="2634"/>
      <c r="CG163" s="2632"/>
      <c r="CH163" s="2634"/>
      <c r="CI163" s="2659" t="s">
        <v>8340</v>
      </c>
      <c r="CJ163" s="2634" t="s">
        <v>8340</v>
      </c>
      <c r="CK163" s="2634" t="s">
        <v>8340</v>
      </c>
      <c r="CL163" s="2634" t="s">
        <v>8340</v>
      </c>
      <c r="CM163" s="2634" t="s">
        <v>8340</v>
      </c>
      <c r="CN163" s="2632" t="s">
        <v>8341</v>
      </c>
      <c r="CO163" s="2659" t="s">
        <v>8341</v>
      </c>
      <c r="CP163" s="2634"/>
      <c r="CQ163" s="2634"/>
      <c r="CR163" s="2632" t="s">
        <v>8340</v>
      </c>
      <c r="CS163" s="2634" t="s">
        <v>8340</v>
      </c>
      <c r="CT163" s="2659" t="s">
        <v>8340</v>
      </c>
      <c r="CU163" s="2634"/>
      <c r="CV163" s="2634"/>
      <c r="CW163" s="2632"/>
      <c r="CX163" s="2634"/>
      <c r="CY163" s="2659"/>
      <c r="CZ163" s="2634"/>
      <c r="DA163" s="2632"/>
      <c r="DB163" s="2634"/>
      <c r="DC163" s="2659"/>
      <c r="DD163" s="2634"/>
      <c r="DE163" s="2633"/>
    </row>
    <row r="164" spans="1:109" ht="12.75" customHeight="1" x14ac:dyDescent="0.2">
      <c r="A164" s="2029">
        <v>164</v>
      </c>
      <c r="B164" s="4995"/>
      <c r="C164" s="1762" t="s">
        <v>8272</v>
      </c>
      <c r="D164" s="1763"/>
      <c r="F164" s="2657">
        <v>24</v>
      </c>
      <c r="G164" s="675" t="s">
        <v>1091</v>
      </c>
      <c r="H164" s="2632"/>
      <c r="I164" s="2634"/>
      <c r="J164" s="2659"/>
      <c r="K164" s="2634"/>
      <c r="L164" s="2634"/>
      <c r="M164" s="2632"/>
      <c r="N164" s="2634"/>
      <c r="O164" s="2659"/>
      <c r="P164" s="2634"/>
      <c r="Q164" s="2634"/>
      <c r="R164" s="2632"/>
      <c r="S164" s="2659"/>
      <c r="T164" s="2634"/>
      <c r="U164" s="2632"/>
      <c r="V164" s="2659"/>
      <c r="W164" s="2634"/>
      <c r="X164" s="2634"/>
      <c r="Y164" s="2632"/>
      <c r="Z164" s="2634"/>
      <c r="AA164" s="2659"/>
      <c r="AB164" s="2696"/>
      <c r="AC164" s="2634"/>
      <c r="AD164" s="2632"/>
      <c r="AE164" s="2659"/>
      <c r="AF164" s="2634"/>
      <c r="AG164" s="2634"/>
      <c r="AH164" s="2634"/>
      <c r="AI164" s="2632"/>
      <c r="AJ164" s="2634"/>
      <c r="AK164" s="2659"/>
      <c r="AL164" s="2634"/>
      <c r="AM164" s="2634"/>
      <c r="AN164" s="2634"/>
      <c r="AO164" s="2634"/>
      <c r="AP164" s="2632"/>
      <c r="AQ164" s="2634"/>
      <c r="AR164" s="2659"/>
      <c r="AS164" s="2634"/>
      <c r="AT164" s="2634"/>
      <c r="AU164" s="2632"/>
      <c r="AV164" s="2634"/>
      <c r="AW164" s="2659"/>
      <c r="AX164" s="2634"/>
      <c r="AY164" s="2634"/>
      <c r="AZ164" s="2632"/>
      <c r="BA164" s="2659"/>
      <c r="BB164" s="2634"/>
      <c r="BC164" s="2634"/>
      <c r="BD164" s="2632"/>
      <c r="BE164" s="2659"/>
      <c r="BF164" s="2634"/>
      <c r="BG164" s="2634"/>
      <c r="BH164" s="2660"/>
      <c r="BI164" s="2632"/>
      <c r="BJ164" s="2659"/>
      <c r="BK164" s="2634"/>
      <c r="BL164" s="2634"/>
      <c r="BM164" s="2660"/>
      <c r="BN164" s="2634"/>
      <c r="BO164" s="2634"/>
      <c r="BP164" s="2632"/>
      <c r="BQ164" s="2634"/>
      <c r="BR164" s="2659"/>
      <c r="BS164" s="2634"/>
      <c r="BT164" s="2634"/>
      <c r="BU164" s="2632"/>
      <c r="BV164" s="2634"/>
      <c r="BW164" s="2634"/>
      <c r="BX164" s="2659"/>
      <c r="BY164" s="2634"/>
      <c r="BZ164" s="2634"/>
      <c r="CA164" s="2634"/>
      <c r="CB164" s="2632"/>
      <c r="CC164" s="2634"/>
      <c r="CD164" s="2659"/>
      <c r="CE164" s="2634"/>
      <c r="CF164" s="2634"/>
      <c r="CG164" s="2632"/>
      <c r="CH164" s="2634"/>
      <c r="CI164" s="2659"/>
      <c r="CJ164" s="2634"/>
      <c r="CK164" s="2634"/>
      <c r="CL164" s="2634"/>
      <c r="CM164" s="2634"/>
      <c r="CN164" s="2632"/>
      <c r="CO164" s="2659"/>
      <c r="CP164" s="2634"/>
      <c r="CQ164" s="2634"/>
      <c r="CR164" s="2632"/>
      <c r="CS164" s="2634"/>
      <c r="CT164" s="2659"/>
      <c r="CU164" s="2634"/>
      <c r="CV164" s="2634"/>
      <c r="CW164" s="2632"/>
      <c r="CX164" s="2634"/>
      <c r="CY164" s="2659"/>
      <c r="CZ164" s="2634"/>
      <c r="DA164" s="2632"/>
      <c r="DB164" s="2634"/>
      <c r="DC164" s="2659"/>
      <c r="DD164" s="2634"/>
      <c r="DE164" s="2633"/>
    </row>
    <row r="165" spans="1:109" ht="12.75" customHeight="1" x14ac:dyDescent="0.2">
      <c r="A165" s="2029">
        <v>165</v>
      </c>
      <c r="B165" s="4995"/>
      <c r="C165" s="1762" t="s">
        <v>8307</v>
      </c>
      <c r="D165" s="1763"/>
      <c r="F165" s="2657">
        <v>25</v>
      </c>
      <c r="G165" s="675" t="s">
        <v>1756</v>
      </c>
      <c r="H165" s="2632"/>
      <c r="I165" s="2634"/>
      <c r="J165" s="2659"/>
      <c r="K165" s="2634">
        <v>20</v>
      </c>
      <c r="L165" s="2634"/>
      <c r="M165" s="2632"/>
      <c r="N165" s="2634"/>
      <c r="O165" s="2659"/>
      <c r="P165" s="2634"/>
      <c r="Q165" s="2634"/>
      <c r="R165" s="2632"/>
      <c r="S165" s="2659"/>
      <c r="T165" s="2634"/>
      <c r="U165" s="2632"/>
      <c r="V165" s="2659"/>
      <c r="W165" s="2634"/>
      <c r="X165" s="2634"/>
      <c r="Y165" s="2632"/>
      <c r="Z165" s="2634"/>
      <c r="AA165" s="2659"/>
      <c r="AB165" s="2696"/>
      <c r="AC165" s="2634"/>
      <c r="AD165" s="2632"/>
      <c r="AE165" s="2659"/>
      <c r="AF165" s="2634"/>
      <c r="AG165" s="2634"/>
      <c r="AH165" s="2634"/>
      <c r="AI165" s="2632"/>
      <c r="AJ165" s="2634"/>
      <c r="AK165" s="2659"/>
      <c r="AL165" s="2634"/>
      <c r="AM165" s="2634"/>
      <c r="AN165" s="2634"/>
      <c r="AO165" s="2634"/>
      <c r="AP165" s="2632"/>
      <c r="AQ165" s="2634"/>
      <c r="AR165" s="2659"/>
      <c r="AS165" s="2634"/>
      <c r="AT165" s="2634"/>
      <c r="AU165" s="2632"/>
      <c r="AV165" s="2634"/>
      <c r="AW165" s="2659"/>
      <c r="AX165" s="2634"/>
      <c r="AY165" s="2634"/>
      <c r="AZ165" s="2632"/>
      <c r="BA165" s="2659"/>
      <c r="BB165" s="2634"/>
      <c r="BC165" s="2634"/>
      <c r="BD165" s="2632"/>
      <c r="BE165" s="2659"/>
      <c r="BF165" s="2634"/>
      <c r="BG165" s="2634"/>
      <c r="BH165" s="2660"/>
      <c r="BI165" s="2632"/>
      <c r="BJ165" s="2659"/>
      <c r="BK165" s="2634"/>
      <c r="BL165" s="2634"/>
      <c r="BM165" s="2660"/>
      <c r="BN165" s="2634"/>
      <c r="BO165" s="2634"/>
      <c r="BP165" s="2632"/>
      <c r="BQ165" s="2634"/>
      <c r="BR165" s="2659"/>
      <c r="BS165" s="2634"/>
      <c r="BT165" s="2634"/>
      <c r="BU165" s="2632"/>
      <c r="BV165" s="2634"/>
      <c r="BW165" s="2634"/>
      <c r="BX165" s="2659"/>
      <c r="BY165" s="2634"/>
      <c r="BZ165" s="2634"/>
      <c r="CA165" s="2634"/>
      <c r="CB165" s="2632"/>
      <c r="CC165" s="2634"/>
      <c r="CD165" s="2659"/>
      <c r="CE165" s="2634"/>
      <c r="CF165" s="2634"/>
      <c r="CG165" s="2632"/>
      <c r="CH165" s="2634"/>
      <c r="CI165" s="2659"/>
      <c r="CJ165" s="2634"/>
      <c r="CK165" s="2634"/>
      <c r="CL165" s="2634"/>
      <c r="CM165" s="2634"/>
      <c r="CN165" s="2632"/>
      <c r="CO165" s="2659"/>
      <c r="CP165" s="2634"/>
      <c r="CQ165" s="2634"/>
      <c r="CR165" s="2632"/>
      <c r="CS165" s="2634"/>
      <c r="CT165" s="2659"/>
      <c r="CU165" s="2634"/>
      <c r="CV165" s="2634"/>
      <c r="CW165" s="2632"/>
      <c r="CX165" s="2634"/>
      <c r="CY165" s="2659"/>
      <c r="CZ165" s="2634">
        <v>20</v>
      </c>
      <c r="DA165" s="2632"/>
      <c r="DB165" s="2634"/>
      <c r="DC165" s="2659"/>
      <c r="DD165" s="2634"/>
      <c r="DE165" s="2633"/>
    </row>
    <row r="166" spans="1:109" ht="12.75" customHeight="1" x14ac:dyDescent="0.2">
      <c r="A166" s="2029">
        <v>166</v>
      </c>
      <c r="B166" s="4995"/>
      <c r="C166" s="1762" t="s">
        <v>8273</v>
      </c>
      <c r="D166" s="1763"/>
      <c r="F166" s="2657">
        <v>26</v>
      </c>
      <c r="G166" s="675" t="s">
        <v>1757</v>
      </c>
      <c r="H166" s="2632"/>
      <c r="I166" s="2634"/>
      <c r="J166" s="2659"/>
      <c r="K166" s="2634">
        <v>20</v>
      </c>
      <c r="L166" s="2634">
        <v>20</v>
      </c>
      <c r="M166" s="2632"/>
      <c r="N166" s="2634"/>
      <c r="O166" s="2659"/>
      <c r="P166" s="2634"/>
      <c r="Q166" s="2634"/>
      <c r="R166" s="2632"/>
      <c r="S166" s="2659"/>
      <c r="T166" s="2634"/>
      <c r="U166" s="2632"/>
      <c r="V166" s="2659"/>
      <c r="W166" s="2634"/>
      <c r="X166" s="2634"/>
      <c r="Y166" s="2632"/>
      <c r="Z166" s="2634"/>
      <c r="AA166" s="2659"/>
      <c r="AB166" s="2696"/>
      <c r="AC166" s="2634"/>
      <c r="AD166" s="2632"/>
      <c r="AE166" s="2659"/>
      <c r="AF166" s="2634"/>
      <c r="AG166" s="2634"/>
      <c r="AH166" s="2634"/>
      <c r="AI166" s="2632"/>
      <c r="AJ166" s="2634"/>
      <c r="AK166" s="2659"/>
      <c r="AL166" s="2634"/>
      <c r="AM166" s="2634"/>
      <c r="AN166" s="2634">
        <v>20</v>
      </c>
      <c r="AO166" s="2634"/>
      <c r="AP166" s="2632"/>
      <c r="AQ166" s="2634"/>
      <c r="AR166" s="2659"/>
      <c r="AS166" s="2634"/>
      <c r="AT166" s="2634"/>
      <c r="AU166" s="2632"/>
      <c r="AV166" s="2634"/>
      <c r="AW166" s="2659"/>
      <c r="AX166" s="2634"/>
      <c r="AY166" s="2634"/>
      <c r="AZ166" s="2632"/>
      <c r="BA166" s="2659"/>
      <c r="BB166" s="2634"/>
      <c r="BC166" s="2634"/>
      <c r="BD166" s="2632"/>
      <c r="BE166" s="2659"/>
      <c r="BF166" s="2634"/>
      <c r="BG166" s="2634"/>
      <c r="BH166" s="2660"/>
      <c r="BI166" s="2632"/>
      <c r="BJ166" s="2659"/>
      <c r="BK166" s="2634">
        <v>20</v>
      </c>
      <c r="BL166" s="2634">
        <v>20</v>
      </c>
      <c r="BM166" s="2660"/>
      <c r="BN166" s="2634">
        <v>20</v>
      </c>
      <c r="BO166" s="2634"/>
      <c r="BP166" s="2632"/>
      <c r="BQ166" s="2634"/>
      <c r="BR166" s="2659"/>
      <c r="BS166" s="2634"/>
      <c r="BT166" s="2634"/>
      <c r="BU166" s="2632"/>
      <c r="BV166" s="2634"/>
      <c r="BW166" s="2634"/>
      <c r="BX166" s="2659"/>
      <c r="BY166" s="2634"/>
      <c r="BZ166" s="2634"/>
      <c r="CA166" s="2634"/>
      <c r="CB166" s="2632"/>
      <c r="CC166" s="2634"/>
      <c r="CD166" s="2659"/>
      <c r="CE166" s="2634"/>
      <c r="CF166" s="2634"/>
      <c r="CG166" s="2632"/>
      <c r="CH166" s="2634"/>
      <c r="CI166" s="2659"/>
      <c r="CJ166" s="2634"/>
      <c r="CK166" s="2634"/>
      <c r="CL166" s="2634"/>
      <c r="CM166" s="2634"/>
      <c r="CN166" s="2632"/>
      <c r="CO166" s="2659"/>
      <c r="CP166" s="2634"/>
      <c r="CQ166" s="2634"/>
      <c r="CR166" s="2632"/>
      <c r="CS166" s="2634"/>
      <c r="CT166" s="2659"/>
      <c r="CU166" s="2634"/>
      <c r="CV166" s="2634"/>
      <c r="CW166" s="2632"/>
      <c r="CX166" s="2634"/>
      <c r="CY166" s="2659"/>
      <c r="CZ166" s="2634"/>
      <c r="DA166" s="2632"/>
      <c r="DB166" s="2634"/>
      <c r="DC166" s="2659"/>
      <c r="DD166" s="2634"/>
      <c r="DE166" s="2633"/>
    </row>
    <row r="167" spans="1:109" ht="12.75" customHeight="1" x14ac:dyDescent="0.2">
      <c r="A167" s="2029">
        <v>167</v>
      </c>
      <c r="B167" s="4995"/>
      <c r="C167" s="1762" t="s">
        <v>8274</v>
      </c>
      <c r="D167" s="1763"/>
      <c r="F167" s="2657">
        <v>27</v>
      </c>
      <c r="G167" s="675" t="s">
        <v>1758</v>
      </c>
      <c r="H167" s="2632"/>
      <c r="I167" s="2634"/>
      <c r="J167" s="2659"/>
      <c r="K167" s="2634"/>
      <c r="L167" s="2634"/>
      <c r="M167" s="2632"/>
      <c r="N167" s="2634"/>
      <c r="O167" s="2659"/>
      <c r="P167" s="2634"/>
      <c r="Q167" s="2634"/>
      <c r="R167" s="2632"/>
      <c r="S167" s="2659"/>
      <c r="T167" s="2634"/>
      <c r="U167" s="2632">
        <v>30</v>
      </c>
      <c r="V167" s="2659">
        <v>10</v>
      </c>
      <c r="W167" s="2634">
        <v>30</v>
      </c>
      <c r="X167" s="2634">
        <v>40</v>
      </c>
      <c r="Y167" s="2632"/>
      <c r="Z167" s="2634"/>
      <c r="AA167" s="2659"/>
      <c r="AB167" s="2696"/>
      <c r="AC167" s="2634"/>
      <c r="AD167" s="2632"/>
      <c r="AE167" s="2659"/>
      <c r="AF167" s="2634"/>
      <c r="AG167" s="2634"/>
      <c r="AH167" s="2634"/>
      <c r="AI167" s="2632"/>
      <c r="AJ167" s="2634">
        <v>20</v>
      </c>
      <c r="AK167" s="2659"/>
      <c r="AL167" s="2634"/>
      <c r="AM167" s="2634"/>
      <c r="AN167" s="2634"/>
      <c r="AO167" s="2634"/>
      <c r="AP167" s="2632"/>
      <c r="AQ167" s="2634"/>
      <c r="AR167" s="2659"/>
      <c r="AS167" s="2634">
        <v>20</v>
      </c>
      <c r="AT167" s="2634"/>
      <c r="AU167" s="2632"/>
      <c r="AV167" s="2634"/>
      <c r="AW167" s="2659"/>
      <c r="AX167" s="2634">
        <v>20</v>
      </c>
      <c r="AY167" s="2634"/>
      <c r="AZ167" s="2632"/>
      <c r="BA167" s="2659"/>
      <c r="BB167" s="2634"/>
      <c r="BC167" s="2634"/>
      <c r="BD167" s="2632"/>
      <c r="BE167" s="2659"/>
      <c r="BF167" s="2634"/>
      <c r="BG167" s="2634"/>
      <c r="BH167" s="2660"/>
      <c r="BI167" s="2632"/>
      <c r="BJ167" s="2659"/>
      <c r="BK167" s="2634"/>
      <c r="BL167" s="2634"/>
      <c r="BM167" s="2660"/>
      <c r="BN167" s="2634"/>
      <c r="BO167" s="2634"/>
      <c r="BP167" s="2632"/>
      <c r="BQ167" s="2634"/>
      <c r="BR167" s="2659"/>
      <c r="BS167" s="2634"/>
      <c r="BT167" s="2634"/>
      <c r="BU167" s="2632"/>
      <c r="BV167" s="2634"/>
      <c r="BW167" s="2634"/>
      <c r="BX167" s="2659"/>
      <c r="BY167" s="2634"/>
      <c r="BZ167" s="2634"/>
      <c r="CA167" s="2634"/>
      <c r="CB167" s="2632">
        <v>30</v>
      </c>
      <c r="CC167" s="2634">
        <v>30</v>
      </c>
      <c r="CD167" s="2659">
        <v>30</v>
      </c>
      <c r="CE167" s="2634"/>
      <c r="CF167" s="2634"/>
      <c r="CG167" s="2632"/>
      <c r="CH167" s="2634"/>
      <c r="CI167" s="2659"/>
      <c r="CJ167" s="2634"/>
      <c r="CK167" s="2634"/>
      <c r="CL167" s="2634"/>
      <c r="CM167" s="2634"/>
      <c r="CN167" s="2632"/>
      <c r="CO167" s="2659"/>
      <c r="CP167" s="2634"/>
      <c r="CQ167" s="2634"/>
      <c r="CR167" s="2632"/>
      <c r="CS167" s="2634"/>
      <c r="CT167" s="2659"/>
      <c r="CU167" s="2634"/>
      <c r="CV167" s="2634"/>
      <c r="CW167" s="2632"/>
      <c r="CX167" s="2634"/>
      <c r="CY167" s="2659"/>
      <c r="CZ167" s="2634"/>
      <c r="DA167" s="2632"/>
      <c r="DB167" s="2634"/>
      <c r="DC167" s="2659"/>
      <c r="DD167" s="2634"/>
      <c r="DE167" s="2633"/>
    </row>
    <row r="168" spans="1:109" ht="12.75" customHeight="1" x14ac:dyDescent="0.2">
      <c r="A168" s="2029">
        <v>168</v>
      </c>
      <c r="B168" s="4995"/>
      <c r="C168" s="1762" t="s">
        <v>8275</v>
      </c>
      <c r="D168" s="1763"/>
      <c r="F168" s="2657">
        <v>28</v>
      </c>
      <c r="G168" s="675" t="s">
        <v>1759</v>
      </c>
      <c r="H168" s="2632"/>
      <c r="I168" s="2634"/>
      <c r="J168" s="2659"/>
      <c r="K168" s="2634"/>
      <c r="L168" s="2634"/>
      <c r="M168" s="2632"/>
      <c r="N168" s="2634"/>
      <c r="O168" s="2659"/>
      <c r="P168" s="2634"/>
      <c r="Q168" s="2634"/>
      <c r="R168" s="2632"/>
      <c r="S168" s="2659"/>
      <c r="T168" s="2634"/>
      <c r="U168" s="2632"/>
      <c r="V168" s="2659"/>
      <c r="W168" s="2634"/>
      <c r="X168" s="2634"/>
      <c r="Y168" s="2632"/>
      <c r="Z168" s="2634"/>
      <c r="AA168" s="2659"/>
      <c r="AB168" s="2696"/>
      <c r="AC168" s="2634"/>
      <c r="AD168" s="2632" t="s">
        <v>8342</v>
      </c>
      <c r="AE168" s="2659" t="s">
        <v>8342</v>
      </c>
      <c r="AF168" s="2634"/>
      <c r="AG168" s="2634"/>
      <c r="AH168" s="2634"/>
      <c r="AI168" s="2632"/>
      <c r="AJ168" s="2634"/>
      <c r="AK168" s="2659"/>
      <c r="AL168" s="2634"/>
      <c r="AM168" s="2634"/>
      <c r="AN168" s="2634"/>
      <c r="AO168" s="2634"/>
      <c r="AP168" s="2632" t="s">
        <v>8347</v>
      </c>
      <c r="AQ168" s="2634" t="s">
        <v>8348</v>
      </c>
      <c r="AR168" s="2659" t="s">
        <v>8349</v>
      </c>
      <c r="AS168" s="2634"/>
      <c r="AT168" s="2634"/>
      <c r="AU168" s="2632"/>
      <c r="AV168" s="2634"/>
      <c r="AW168" s="2659"/>
      <c r="AX168" s="2634"/>
      <c r="AY168" s="2634"/>
      <c r="AZ168" s="2632" t="s">
        <v>8343</v>
      </c>
      <c r="BA168" s="2659" t="s">
        <v>8344</v>
      </c>
      <c r="BB168" s="2634" t="s">
        <v>8345</v>
      </c>
      <c r="BC168" s="2634" t="s">
        <v>8342</v>
      </c>
      <c r="BD168" s="2632" t="s">
        <v>8346</v>
      </c>
      <c r="BE168" s="2659" t="s">
        <v>8342</v>
      </c>
      <c r="BF168" s="2634" t="s">
        <v>8342</v>
      </c>
      <c r="BG168" s="2634" t="s">
        <v>8345</v>
      </c>
      <c r="BH168" s="2660"/>
      <c r="BI168" s="2632"/>
      <c r="BJ168" s="2659"/>
      <c r="BK168" s="2634"/>
      <c r="BL168" s="2634"/>
      <c r="BM168" s="2660"/>
      <c r="BN168" s="2634"/>
      <c r="BO168" s="2634"/>
      <c r="BP168" s="2632" t="s">
        <v>8342</v>
      </c>
      <c r="BQ168" s="2634"/>
      <c r="BR168" s="2659"/>
      <c r="BS168" s="2634"/>
      <c r="BT168" s="2634">
        <v>10</v>
      </c>
      <c r="BU168" s="2632"/>
      <c r="BV168" s="2634"/>
      <c r="BW168" s="2634"/>
      <c r="BX168" s="2659"/>
      <c r="BY168" s="2634"/>
      <c r="BZ168" s="2634"/>
      <c r="CA168" s="2634"/>
      <c r="CB168" s="2632"/>
      <c r="CC168" s="2634"/>
      <c r="CD168" s="2659"/>
      <c r="CE168" s="2634"/>
      <c r="CF168" s="2634"/>
      <c r="CG168" s="2632"/>
      <c r="CH168" s="2634"/>
      <c r="CI168" s="2659"/>
      <c r="CJ168" s="2634">
        <v>20</v>
      </c>
      <c r="CK168" s="2634">
        <v>20</v>
      </c>
      <c r="CL168" s="2634">
        <v>20</v>
      </c>
      <c r="CM168" s="2634">
        <v>20</v>
      </c>
      <c r="CN168" s="2632"/>
      <c r="CO168" s="2659"/>
      <c r="CP168" s="2634"/>
      <c r="CQ168" s="2634">
        <v>20</v>
      </c>
      <c r="CR168" s="2632"/>
      <c r="CS168" s="2634"/>
      <c r="CT168" s="2659"/>
      <c r="CU168" s="2634"/>
      <c r="CV168" s="2634"/>
      <c r="CW168" s="2632">
        <v>20</v>
      </c>
      <c r="CX168" s="2634">
        <v>20</v>
      </c>
      <c r="CY168" s="2659">
        <v>20</v>
      </c>
      <c r="CZ168" s="2634" t="s">
        <v>8350</v>
      </c>
      <c r="DA168" s="2632"/>
      <c r="DB168" s="2634"/>
      <c r="DC168" s="2659">
        <v>30</v>
      </c>
      <c r="DD168" s="2634">
        <v>20</v>
      </c>
      <c r="DE168" s="2633">
        <v>20</v>
      </c>
    </row>
    <row r="169" spans="1:109" ht="12.75" customHeight="1" x14ac:dyDescent="0.2">
      <c r="A169" s="2029">
        <v>169</v>
      </c>
      <c r="B169" s="4995"/>
      <c r="C169" s="1762" t="s">
        <v>8311</v>
      </c>
      <c r="D169" s="1763"/>
      <c r="F169" s="2657">
        <v>29</v>
      </c>
      <c r="G169" s="675" t="s">
        <v>1760</v>
      </c>
      <c r="H169" s="2632"/>
      <c r="I169" s="2634">
        <v>30</v>
      </c>
      <c r="J169" s="2659"/>
      <c r="K169" s="2634"/>
      <c r="L169" s="2634"/>
      <c r="M169" s="2632"/>
      <c r="N169" s="2634"/>
      <c r="O169" s="2659"/>
      <c r="P169" s="2634"/>
      <c r="Q169" s="2634"/>
      <c r="R169" s="2632"/>
      <c r="S169" s="2659"/>
      <c r="T169" s="2634"/>
      <c r="U169" s="2632">
        <v>40</v>
      </c>
      <c r="V169" s="2659">
        <v>40</v>
      </c>
      <c r="W169" s="2634"/>
      <c r="X169" s="2634"/>
      <c r="Y169" s="2632"/>
      <c r="Z169" s="2634">
        <v>40</v>
      </c>
      <c r="AA169" s="2659"/>
      <c r="AB169" s="2696"/>
      <c r="AC169" s="2634">
        <v>20</v>
      </c>
      <c r="AD169" s="2632"/>
      <c r="AE169" s="2659"/>
      <c r="AF169" s="2634"/>
      <c r="AG169" s="2634"/>
      <c r="AH169" s="2634"/>
      <c r="AI169" s="2632"/>
      <c r="AJ169" s="2634"/>
      <c r="AK169" s="2659"/>
      <c r="AL169" s="2634"/>
      <c r="AM169" s="2634"/>
      <c r="AN169" s="2634"/>
      <c r="AO169" s="2634">
        <v>20</v>
      </c>
      <c r="AP169" s="2632"/>
      <c r="AQ169" s="2634">
        <v>20</v>
      </c>
      <c r="AR169" s="2659"/>
      <c r="AS169" s="2634"/>
      <c r="AT169" s="2634">
        <v>30</v>
      </c>
      <c r="AU169" s="2632"/>
      <c r="AV169" s="2634">
        <v>20</v>
      </c>
      <c r="AW169" s="2659"/>
      <c r="AX169" s="2634"/>
      <c r="AY169" s="2634">
        <v>20</v>
      </c>
      <c r="AZ169" s="2632"/>
      <c r="BA169" s="2659"/>
      <c r="BB169" s="2634"/>
      <c r="BC169" s="2634"/>
      <c r="BD169" s="2632"/>
      <c r="BE169" s="2659">
        <v>30</v>
      </c>
      <c r="BF169" s="2634">
        <v>10</v>
      </c>
      <c r="BG169" s="2634"/>
      <c r="BH169" s="2660"/>
      <c r="BI169" s="2632"/>
      <c r="BJ169" s="2659"/>
      <c r="BK169" s="2634"/>
      <c r="BL169" s="2634"/>
      <c r="BM169" s="2660"/>
      <c r="BN169" s="2634"/>
      <c r="BO169" s="2634"/>
      <c r="BP169" s="2632"/>
      <c r="BQ169" s="2634"/>
      <c r="BR169" s="2659"/>
      <c r="BS169" s="2634"/>
      <c r="BT169" s="2634"/>
      <c r="BU169" s="2632"/>
      <c r="BV169" s="2634"/>
      <c r="BW169" s="2634">
        <v>30</v>
      </c>
      <c r="BX169" s="2659"/>
      <c r="BY169" s="2634"/>
      <c r="BZ169" s="2634"/>
      <c r="CA169" s="2634">
        <v>20</v>
      </c>
      <c r="CB169" s="2632"/>
      <c r="CC169" s="2634">
        <v>20</v>
      </c>
      <c r="CD169" s="2659"/>
      <c r="CE169" s="2634"/>
      <c r="CF169" s="2634">
        <v>20</v>
      </c>
      <c r="CG169" s="2632"/>
      <c r="CH169" s="2634"/>
      <c r="CI169" s="2659"/>
      <c r="CJ169" s="2634"/>
      <c r="CK169" s="2634"/>
      <c r="CL169" s="2634">
        <v>20</v>
      </c>
      <c r="CM169" s="2634"/>
      <c r="CN169" s="2632"/>
      <c r="CO169" s="2659">
        <v>20</v>
      </c>
      <c r="CP169" s="2634"/>
      <c r="CQ169" s="2634"/>
      <c r="CR169" s="2632"/>
      <c r="CS169" s="2634">
        <v>30</v>
      </c>
      <c r="CT169" s="2659"/>
      <c r="CU169" s="2634"/>
      <c r="CV169" s="2634"/>
      <c r="CW169" s="2632"/>
      <c r="CX169" s="2634">
        <v>20</v>
      </c>
      <c r="CY169" s="2659"/>
      <c r="CZ169" s="2634"/>
      <c r="DA169" s="2632"/>
      <c r="DB169" s="2634">
        <v>30</v>
      </c>
      <c r="DC169" s="2659"/>
      <c r="DD169" s="2634"/>
      <c r="DE169" s="2633">
        <v>20</v>
      </c>
    </row>
    <row r="170" spans="1:109" ht="12.75" customHeight="1" x14ac:dyDescent="0.2">
      <c r="A170" s="2029">
        <v>170</v>
      </c>
      <c r="B170" s="4995"/>
      <c r="C170" s="1762" t="s">
        <v>8235</v>
      </c>
      <c r="D170" s="1763"/>
      <c r="F170" s="2657">
        <v>30</v>
      </c>
      <c r="G170" s="675" t="s">
        <v>1761</v>
      </c>
      <c r="H170" s="2632"/>
      <c r="I170" s="2634"/>
      <c r="J170" s="2659"/>
      <c r="K170" s="2634"/>
      <c r="L170" s="2634"/>
      <c r="M170" s="2632"/>
      <c r="N170" s="2634"/>
      <c r="O170" s="2659"/>
      <c r="P170" s="2634"/>
      <c r="Q170" s="2634"/>
      <c r="R170" s="2632"/>
      <c r="S170" s="2659"/>
      <c r="T170" s="2634"/>
      <c r="U170" s="2632"/>
      <c r="V170" s="2659"/>
      <c r="W170" s="2634"/>
      <c r="X170" s="2634"/>
      <c r="Y170" s="2632"/>
      <c r="Z170" s="2634"/>
      <c r="AA170" s="2659"/>
      <c r="AB170" s="2696"/>
      <c r="AC170" s="2634"/>
      <c r="AD170" s="2632"/>
      <c r="AE170" s="2659"/>
      <c r="AF170" s="2634"/>
      <c r="AG170" s="2634"/>
      <c r="AH170" s="2634"/>
      <c r="AI170" s="2632"/>
      <c r="AJ170" s="2634"/>
      <c r="AK170" s="2659"/>
      <c r="AL170" s="2634"/>
      <c r="AM170" s="2634"/>
      <c r="AN170" s="2634"/>
      <c r="AO170" s="2634"/>
      <c r="AP170" s="2632"/>
      <c r="AQ170" s="2634"/>
      <c r="AR170" s="2659"/>
      <c r="AS170" s="2634"/>
      <c r="AT170" s="2634"/>
      <c r="AU170" s="2632"/>
      <c r="AV170" s="2634"/>
      <c r="AW170" s="2659"/>
      <c r="AX170" s="2634"/>
      <c r="AY170" s="2634"/>
      <c r="AZ170" s="2632"/>
      <c r="BA170" s="2659"/>
      <c r="BB170" s="2634"/>
      <c r="BC170" s="2634"/>
      <c r="BD170" s="2632"/>
      <c r="BE170" s="2659"/>
      <c r="BF170" s="2634"/>
      <c r="BG170" s="2634"/>
      <c r="BH170" s="2660"/>
      <c r="BI170" s="2632"/>
      <c r="BJ170" s="2659"/>
      <c r="BK170" s="2634"/>
      <c r="BL170" s="2634"/>
      <c r="BM170" s="2660"/>
      <c r="BN170" s="2634"/>
      <c r="BO170" s="2634"/>
      <c r="BP170" s="2632"/>
      <c r="BQ170" s="2634"/>
      <c r="BR170" s="2659"/>
      <c r="BS170" s="2634"/>
      <c r="BT170" s="2634"/>
      <c r="BU170" s="2632"/>
      <c r="BV170" s="2634"/>
      <c r="BW170" s="2634"/>
      <c r="BX170" s="2659"/>
      <c r="BY170" s="2634"/>
      <c r="BZ170" s="2634"/>
      <c r="CA170" s="2634"/>
      <c r="CB170" s="2632"/>
      <c r="CC170" s="2634"/>
      <c r="CD170" s="2659"/>
      <c r="CE170" s="2634"/>
      <c r="CF170" s="2634"/>
      <c r="CG170" s="2632"/>
      <c r="CH170" s="2634"/>
      <c r="CI170" s="2659"/>
      <c r="CJ170" s="2634"/>
      <c r="CK170" s="2634"/>
      <c r="CL170" s="2634"/>
      <c r="CM170" s="2634"/>
      <c r="CN170" s="2632"/>
      <c r="CO170" s="2659"/>
      <c r="CP170" s="2634"/>
      <c r="CQ170" s="2634"/>
      <c r="CR170" s="2632"/>
      <c r="CS170" s="2634"/>
      <c r="CT170" s="2659"/>
      <c r="CU170" s="2634"/>
      <c r="CV170" s="2634"/>
      <c r="CW170" s="2632"/>
      <c r="CX170" s="2634"/>
      <c r="CY170" s="2659"/>
      <c r="CZ170" s="2634"/>
      <c r="DA170" s="2632"/>
      <c r="DB170" s="2634"/>
      <c r="DC170" s="2659"/>
      <c r="DD170" s="2634"/>
      <c r="DE170" s="2633"/>
    </row>
    <row r="171" spans="1:109" ht="12.75" customHeight="1" x14ac:dyDescent="0.2">
      <c r="A171" s="2029">
        <v>171</v>
      </c>
      <c r="B171" s="4995"/>
      <c r="C171" s="1762" t="s">
        <v>8236</v>
      </c>
      <c r="D171" s="1763"/>
      <c r="F171" s="2657">
        <v>31</v>
      </c>
      <c r="G171" s="675" t="s">
        <v>1763</v>
      </c>
      <c r="H171" s="2632"/>
      <c r="I171" s="2634"/>
      <c r="J171" s="2659"/>
      <c r="K171" s="2634"/>
      <c r="L171" s="2634"/>
      <c r="M171" s="2632"/>
      <c r="N171" s="2634"/>
      <c r="O171" s="2659"/>
      <c r="P171" s="2634">
        <v>20</v>
      </c>
      <c r="Q171" s="2634">
        <v>20</v>
      </c>
      <c r="R171" s="2632"/>
      <c r="S171" s="2659"/>
      <c r="T171" s="2634"/>
      <c r="U171" s="2632"/>
      <c r="V171" s="2659"/>
      <c r="W171" s="2634"/>
      <c r="X171" s="2634"/>
      <c r="Y171" s="2632">
        <v>20</v>
      </c>
      <c r="Z171" s="2634">
        <v>20</v>
      </c>
      <c r="AA171" s="2659">
        <v>20</v>
      </c>
      <c r="AB171" s="2696"/>
      <c r="AC171" s="2634">
        <v>20</v>
      </c>
      <c r="AD171" s="2632">
        <v>20</v>
      </c>
      <c r="AE171" s="2659">
        <v>20</v>
      </c>
      <c r="AF171" s="2634"/>
      <c r="AG171" s="2634"/>
      <c r="AH171" s="2634"/>
      <c r="AI171" s="2632">
        <v>20</v>
      </c>
      <c r="AJ171" s="2634">
        <v>20</v>
      </c>
      <c r="AK171" s="2659">
        <v>20</v>
      </c>
      <c r="AL171" s="2634"/>
      <c r="AM171" s="2634"/>
      <c r="AN171" s="2634"/>
      <c r="AO171" s="2634"/>
      <c r="AP171" s="2632">
        <v>20</v>
      </c>
      <c r="AQ171" s="2634"/>
      <c r="AR171" s="2659">
        <v>20</v>
      </c>
      <c r="AS171" s="2634"/>
      <c r="AT171" s="2634"/>
      <c r="AU171" s="2632"/>
      <c r="AV171" s="2634"/>
      <c r="AW171" s="2659"/>
      <c r="AX171" s="2634"/>
      <c r="AY171" s="2634"/>
      <c r="AZ171" s="2632"/>
      <c r="BA171" s="2659"/>
      <c r="BB171" s="2634"/>
      <c r="BC171" s="2634">
        <v>10</v>
      </c>
      <c r="BD171" s="2632"/>
      <c r="BE171" s="2659"/>
      <c r="BF171" s="2634"/>
      <c r="BG171" s="2634"/>
      <c r="BH171" s="2660"/>
      <c r="BI171" s="2632"/>
      <c r="BJ171" s="2659"/>
      <c r="BK171" s="2634"/>
      <c r="BL171" s="2634"/>
      <c r="BM171" s="2660"/>
      <c r="BN171" s="2634"/>
      <c r="BO171" s="2634">
        <v>20</v>
      </c>
      <c r="BP171" s="2632"/>
      <c r="BQ171" s="2634"/>
      <c r="BR171" s="2659">
        <v>20</v>
      </c>
      <c r="BS171" s="2634"/>
      <c r="BT171" s="2634"/>
      <c r="BU171" s="2632"/>
      <c r="BV171" s="2634"/>
      <c r="BW171" s="2634"/>
      <c r="BX171" s="2659"/>
      <c r="BY171" s="2634">
        <v>20</v>
      </c>
      <c r="BZ171" s="2634"/>
      <c r="CA171" s="2634">
        <v>20</v>
      </c>
      <c r="CB171" s="2632"/>
      <c r="CC171" s="2634"/>
      <c r="CD171" s="2659"/>
      <c r="CE171" s="2634"/>
      <c r="CF171" s="2634"/>
      <c r="CG171" s="2632"/>
      <c r="CH171" s="2634">
        <v>20</v>
      </c>
      <c r="CI171" s="2659"/>
      <c r="CJ171" s="2634">
        <v>30</v>
      </c>
      <c r="CK171" s="2634">
        <v>20</v>
      </c>
      <c r="CL171" s="2634">
        <v>20</v>
      </c>
      <c r="CM171" s="2634">
        <v>20</v>
      </c>
      <c r="CN171" s="2632"/>
      <c r="CO171" s="2659"/>
      <c r="CP171" s="2634"/>
      <c r="CQ171" s="2634"/>
      <c r="CR171" s="2632"/>
      <c r="CS171" s="2634"/>
      <c r="CT171" s="2659"/>
      <c r="CU171" s="2634"/>
      <c r="CV171" s="2634"/>
      <c r="CW171" s="2632"/>
      <c r="CX171" s="2634"/>
      <c r="CY171" s="2659">
        <v>30</v>
      </c>
      <c r="CZ171" s="2634">
        <v>20</v>
      </c>
      <c r="DA171" s="2632"/>
      <c r="DB171" s="2634"/>
      <c r="DC171" s="2659"/>
      <c r="DD171" s="2634">
        <v>30</v>
      </c>
      <c r="DE171" s="2633">
        <v>30</v>
      </c>
    </row>
    <row r="172" spans="1:109" ht="12.75" customHeight="1" x14ac:dyDescent="0.2">
      <c r="A172" s="2029">
        <v>172</v>
      </c>
      <c r="B172" s="4995"/>
      <c r="C172" s="1762" t="s">
        <v>8236</v>
      </c>
      <c r="D172" s="1763"/>
      <c r="F172" s="2657">
        <v>32</v>
      </c>
      <c r="G172" s="675" t="s">
        <v>1764</v>
      </c>
      <c r="H172" s="2632"/>
      <c r="I172" s="2634"/>
      <c r="J172" s="2659"/>
      <c r="K172" s="2634"/>
      <c r="L172" s="2634"/>
      <c r="M172" s="2632"/>
      <c r="N172" s="2634"/>
      <c r="O172" s="2659"/>
      <c r="P172" s="2634">
        <v>20</v>
      </c>
      <c r="Q172" s="2634"/>
      <c r="R172" s="2632"/>
      <c r="S172" s="2659"/>
      <c r="T172" s="2634"/>
      <c r="U172" s="2632"/>
      <c r="V172" s="2659"/>
      <c r="W172" s="2634"/>
      <c r="X172" s="2634"/>
      <c r="Y172" s="2632"/>
      <c r="Z172" s="2634"/>
      <c r="AA172" s="2659"/>
      <c r="AB172" s="2696"/>
      <c r="AC172" s="2634"/>
      <c r="AD172" s="2632">
        <v>20</v>
      </c>
      <c r="AE172" s="2659"/>
      <c r="AF172" s="2634"/>
      <c r="AG172" s="2634">
        <v>30</v>
      </c>
      <c r="AH172" s="2634"/>
      <c r="AI172" s="2632">
        <v>20</v>
      </c>
      <c r="AJ172" s="2634"/>
      <c r="AK172" s="2659"/>
      <c r="AL172" s="2634"/>
      <c r="AM172" s="2634">
        <v>20</v>
      </c>
      <c r="AN172" s="2634"/>
      <c r="AO172" s="2634"/>
      <c r="AP172" s="2632"/>
      <c r="AQ172" s="2634"/>
      <c r="AR172" s="2659"/>
      <c r="AS172" s="2634"/>
      <c r="AT172" s="2634"/>
      <c r="AU172" s="2632">
        <v>20</v>
      </c>
      <c r="AV172" s="2634"/>
      <c r="AW172" s="2659"/>
      <c r="AX172" s="2634">
        <v>10</v>
      </c>
      <c r="AY172" s="2634"/>
      <c r="AZ172" s="2632"/>
      <c r="BA172" s="2659"/>
      <c r="BB172" s="2634"/>
      <c r="BC172" s="2634"/>
      <c r="BD172" s="2632"/>
      <c r="BE172" s="2659"/>
      <c r="BF172" s="2634"/>
      <c r="BG172" s="2634"/>
      <c r="BH172" s="2660"/>
      <c r="BI172" s="2632"/>
      <c r="BJ172" s="2659"/>
      <c r="BK172" s="2634"/>
      <c r="BL172" s="2634"/>
      <c r="BM172" s="2660"/>
      <c r="BN172" s="2634"/>
      <c r="BO172" s="2634">
        <v>20</v>
      </c>
      <c r="BP172" s="2632">
        <v>20</v>
      </c>
      <c r="BQ172" s="2634"/>
      <c r="BR172" s="2659"/>
      <c r="BS172" s="2634"/>
      <c r="BT172" s="2634"/>
      <c r="BU172" s="2632"/>
      <c r="BV172" s="2634"/>
      <c r="BW172" s="2634"/>
      <c r="BX172" s="2659"/>
      <c r="BY172" s="2634">
        <v>20</v>
      </c>
      <c r="BZ172" s="2634"/>
      <c r="CA172" s="2634"/>
      <c r="CB172" s="2632"/>
      <c r="CC172" s="2634"/>
      <c r="CD172" s="2659"/>
      <c r="CE172" s="2634"/>
      <c r="CF172" s="2634"/>
      <c r="CG172" s="2632"/>
      <c r="CH172" s="2634"/>
      <c r="CI172" s="2659"/>
      <c r="CJ172" s="2634"/>
      <c r="CK172" s="2634"/>
      <c r="CL172" s="2634"/>
      <c r="CM172" s="2634"/>
      <c r="CN172" s="2632"/>
      <c r="CO172" s="2659"/>
      <c r="CP172" s="2634"/>
      <c r="CQ172" s="2634"/>
      <c r="CR172" s="2632"/>
      <c r="CS172" s="2634"/>
      <c r="CT172" s="2659"/>
      <c r="CU172" s="2634"/>
      <c r="CV172" s="2634"/>
      <c r="CW172" s="2632"/>
      <c r="CX172" s="2634"/>
      <c r="CY172" s="2659"/>
      <c r="CZ172" s="2634"/>
      <c r="DA172" s="2632"/>
      <c r="DB172" s="2634"/>
      <c r="DC172" s="2659"/>
      <c r="DD172" s="2634"/>
      <c r="DE172" s="2633"/>
    </row>
    <row r="173" spans="1:109" ht="12.75" customHeight="1" x14ac:dyDescent="0.2">
      <c r="A173" s="2029">
        <v>173</v>
      </c>
      <c r="B173" s="4995"/>
      <c r="C173" s="1762" t="s">
        <v>8237</v>
      </c>
      <c r="D173" s="1763"/>
      <c r="F173" s="2657">
        <v>33</v>
      </c>
      <c r="G173" s="675" t="s">
        <v>1767</v>
      </c>
      <c r="H173" s="2632"/>
      <c r="I173" s="2634"/>
      <c r="J173" s="2659"/>
      <c r="K173" s="2634"/>
      <c r="L173" s="2634"/>
      <c r="M173" s="2632"/>
      <c r="N173" s="2634"/>
      <c r="O173" s="2659"/>
      <c r="P173" s="2634"/>
      <c r="Q173" s="2634"/>
      <c r="R173" s="2632"/>
      <c r="S173" s="2659"/>
      <c r="T173" s="2634"/>
      <c r="U173" s="2632"/>
      <c r="V173" s="2659"/>
      <c r="W173" s="2634"/>
      <c r="X173" s="2634"/>
      <c r="Y173" s="2632"/>
      <c r="Z173" s="2634"/>
      <c r="AA173" s="2659"/>
      <c r="AB173" s="2696"/>
      <c r="AC173" s="2634"/>
      <c r="AD173" s="2632"/>
      <c r="AE173" s="2659"/>
      <c r="AF173" s="2634"/>
      <c r="AG173" s="2634"/>
      <c r="AH173" s="2634"/>
      <c r="AI173" s="2632">
        <v>20</v>
      </c>
      <c r="AJ173" s="2634">
        <v>20</v>
      </c>
      <c r="AK173" s="2659">
        <v>20</v>
      </c>
      <c r="AL173" s="2634"/>
      <c r="AM173" s="2634"/>
      <c r="AN173" s="2634">
        <v>20</v>
      </c>
      <c r="AO173" s="2634"/>
      <c r="AP173" s="2632"/>
      <c r="AQ173" s="2634"/>
      <c r="AR173" s="2659"/>
      <c r="AS173" s="2634"/>
      <c r="AT173" s="2634"/>
      <c r="AU173" s="2632"/>
      <c r="AV173" s="2634"/>
      <c r="AW173" s="2659"/>
      <c r="AX173" s="2634"/>
      <c r="AY173" s="2634"/>
      <c r="AZ173" s="2632"/>
      <c r="BA173" s="2659"/>
      <c r="BB173" s="2634">
        <v>20</v>
      </c>
      <c r="BC173" s="2634"/>
      <c r="BD173" s="2632"/>
      <c r="BE173" s="2659"/>
      <c r="BF173" s="2634"/>
      <c r="BG173" s="2634"/>
      <c r="BH173" s="2660"/>
      <c r="BI173" s="2632"/>
      <c r="BJ173" s="2659"/>
      <c r="BK173" s="2634"/>
      <c r="BL173" s="2634"/>
      <c r="BM173" s="2660"/>
      <c r="BN173" s="2634"/>
      <c r="BO173" s="2634">
        <v>20</v>
      </c>
      <c r="BP173" s="2632"/>
      <c r="BQ173" s="2634"/>
      <c r="BR173" s="2659"/>
      <c r="BS173" s="2634"/>
      <c r="BT173" s="2634"/>
      <c r="BU173" s="2632"/>
      <c r="BV173" s="2634"/>
      <c r="BW173" s="2634"/>
      <c r="BX173" s="2659"/>
      <c r="BY173" s="2634">
        <v>20</v>
      </c>
      <c r="BZ173" s="2634"/>
      <c r="CA173" s="2634"/>
      <c r="CB173" s="2632"/>
      <c r="CC173" s="2634"/>
      <c r="CD173" s="2659"/>
      <c r="CE173" s="2634"/>
      <c r="CF173" s="2634"/>
      <c r="CG173" s="2632"/>
      <c r="CH173" s="2634"/>
      <c r="CI173" s="2659"/>
      <c r="CJ173" s="2634"/>
      <c r="CK173" s="2634"/>
      <c r="CL173" s="2634"/>
      <c r="CM173" s="2634"/>
      <c r="CN173" s="2632"/>
      <c r="CO173" s="2659"/>
      <c r="CP173" s="2634"/>
      <c r="CQ173" s="2634"/>
      <c r="CR173" s="2632"/>
      <c r="CS173" s="2634"/>
      <c r="CT173" s="2659"/>
      <c r="CU173" s="2634"/>
      <c r="CV173" s="2634"/>
      <c r="CW173" s="2632"/>
      <c r="CX173" s="2634"/>
      <c r="CY173" s="2659"/>
      <c r="CZ173" s="2634"/>
      <c r="DA173" s="2632"/>
      <c r="DB173" s="2634"/>
      <c r="DC173" s="2659"/>
      <c r="DD173" s="2634"/>
      <c r="DE173" s="2633"/>
    </row>
    <row r="174" spans="1:109" ht="12.75" customHeight="1" x14ac:dyDescent="0.2">
      <c r="A174" s="2029">
        <v>174</v>
      </c>
      <c r="B174" s="4995"/>
      <c r="C174" s="1762" t="s">
        <v>8238</v>
      </c>
      <c r="D174" s="1763"/>
      <c r="F174" s="2657">
        <v>34</v>
      </c>
      <c r="G174" s="675" t="s">
        <v>1771</v>
      </c>
      <c r="H174" s="2632"/>
      <c r="I174" s="2634"/>
      <c r="J174" s="2659"/>
      <c r="K174" s="2634"/>
      <c r="L174" s="2634"/>
      <c r="M174" s="2632"/>
      <c r="N174" s="2634"/>
      <c r="O174" s="2659"/>
      <c r="P174" s="2634"/>
      <c r="Q174" s="2634"/>
      <c r="R174" s="2632"/>
      <c r="S174" s="2659"/>
      <c r="T174" s="2634"/>
      <c r="U174" s="2632"/>
      <c r="V174" s="2659"/>
      <c r="W174" s="2634"/>
      <c r="X174" s="2634"/>
      <c r="Y174" s="2632"/>
      <c r="Z174" s="2634"/>
      <c r="AA174" s="2659"/>
      <c r="AB174" s="2696"/>
      <c r="AC174" s="2634"/>
      <c r="AD174" s="2632"/>
      <c r="AE174" s="2659"/>
      <c r="AF174" s="2634"/>
      <c r="AG174" s="2634"/>
      <c r="AH174" s="2634"/>
      <c r="AI174" s="2632"/>
      <c r="AJ174" s="2634"/>
      <c r="AK174" s="2659"/>
      <c r="AL174" s="2634"/>
      <c r="AM174" s="2634"/>
      <c r="AN174" s="2634"/>
      <c r="AO174" s="2634"/>
      <c r="AP174" s="2632"/>
      <c r="AQ174" s="2634"/>
      <c r="AR174" s="2659"/>
      <c r="AS174" s="2634"/>
      <c r="AT174" s="2634"/>
      <c r="AU174" s="2632"/>
      <c r="AV174" s="2634"/>
      <c r="AW174" s="2659"/>
      <c r="AX174" s="2634"/>
      <c r="AY174" s="2634"/>
      <c r="AZ174" s="2632"/>
      <c r="BA174" s="2659"/>
      <c r="BB174" s="2634"/>
      <c r="BC174" s="2634"/>
      <c r="BD174" s="2632"/>
      <c r="BE174" s="2659"/>
      <c r="BF174" s="2634"/>
      <c r="BG174" s="2634"/>
      <c r="BH174" s="2660"/>
      <c r="BI174" s="2632"/>
      <c r="BJ174" s="2659"/>
      <c r="BK174" s="2634"/>
      <c r="BL174" s="2634"/>
      <c r="BM174" s="2660"/>
      <c r="BN174" s="2634"/>
      <c r="BO174" s="2634"/>
      <c r="BP174" s="2632"/>
      <c r="BQ174" s="2634"/>
      <c r="BR174" s="2659"/>
      <c r="BS174" s="2634"/>
      <c r="BT174" s="2634"/>
      <c r="BU174" s="2632"/>
      <c r="BV174" s="2634"/>
      <c r="BW174" s="2634"/>
      <c r="BX174" s="2659"/>
      <c r="BY174" s="2634"/>
      <c r="BZ174" s="2634"/>
      <c r="CA174" s="2634"/>
      <c r="CB174" s="2632"/>
      <c r="CC174" s="2634"/>
      <c r="CD174" s="2659"/>
      <c r="CE174" s="2634"/>
      <c r="CF174" s="2634"/>
      <c r="CG174" s="2632"/>
      <c r="CH174" s="2634"/>
      <c r="CI174" s="2659"/>
      <c r="CJ174" s="2634"/>
      <c r="CK174" s="2634"/>
      <c r="CL174" s="2634"/>
      <c r="CM174" s="2634"/>
      <c r="CN174" s="2632"/>
      <c r="CO174" s="2659"/>
      <c r="CP174" s="2634"/>
      <c r="CQ174" s="2634"/>
      <c r="CR174" s="2632"/>
      <c r="CS174" s="2634"/>
      <c r="CT174" s="2659"/>
      <c r="CU174" s="2634"/>
      <c r="CV174" s="2634"/>
      <c r="CW174" s="2632"/>
      <c r="CX174" s="2634"/>
      <c r="CY174" s="2659"/>
      <c r="CZ174" s="2634"/>
      <c r="DA174" s="2632"/>
      <c r="DB174" s="2634"/>
      <c r="DC174" s="2659"/>
      <c r="DD174" s="2634"/>
      <c r="DE174" s="2633"/>
    </row>
    <row r="175" spans="1:109" ht="12.75" customHeight="1" x14ac:dyDescent="0.2">
      <c r="A175" s="2029">
        <v>175</v>
      </c>
      <c r="B175" s="4995"/>
      <c r="C175" s="1762" t="s">
        <v>8312</v>
      </c>
      <c r="D175" s="1763"/>
      <c r="F175" s="2657">
        <v>35</v>
      </c>
      <c r="G175" s="675" t="s">
        <v>1773</v>
      </c>
      <c r="H175" s="2632"/>
      <c r="I175" s="2634"/>
      <c r="J175" s="2659"/>
      <c r="K175" s="2634"/>
      <c r="L175" s="2634"/>
      <c r="M175" s="2632"/>
      <c r="N175" s="2634"/>
      <c r="O175" s="2659"/>
      <c r="P175" s="2634"/>
      <c r="Q175" s="2634"/>
      <c r="R175" s="2632"/>
      <c r="S175" s="2659"/>
      <c r="T175" s="2634"/>
      <c r="U175" s="2632"/>
      <c r="V175" s="2659"/>
      <c r="W175" s="2634"/>
      <c r="X175" s="2634"/>
      <c r="Y175" s="2632"/>
      <c r="Z175" s="2634"/>
      <c r="AA175" s="2659"/>
      <c r="AB175" s="2696"/>
      <c r="AC175" s="2634"/>
      <c r="AD175" s="2632"/>
      <c r="AE175" s="2659"/>
      <c r="AF175" s="2634"/>
      <c r="AG175" s="2634"/>
      <c r="AH175" s="2634"/>
      <c r="AI175" s="2632"/>
      <c r="AJ175" s="2634"/>
      <c r="AK175" s="2659"/>
      <c r="AL175" s="2634"/>
      <c r="AM175" s="2634"/>
      <c r="AN175" s="2634"/>
      <c r="AO175" s="2634"/>
      <c r="AP175" s="2632"/>
      <c r="AQ175" s="2634"/>
      <c r="AR175" s="2659"/>
      <c r="AS175" s="2634"/>
      <c r="AT175" s="2634"/>
      <c r="AU175" s="2632"/>
      <c r="AV175" s="2634"/>
      <c r="AW175" s="2659"/>
      <c r="AX175" s="2634"/>
      <c r="AY175" s="2634"/>
      <c r="AZ175" s="2632"/>
      <c r="BA175" s="2659"/>
      <c r="BB175" s="2634"/>
      <c r="BC175" s="2634"/>
      <c r="BD175" s="2632"/>
      <c r="BE175" s="2659"/>
      <c r="BF175" s="2634"/>
      <c r="BG175" s="2634"/>
      <c r="BH175" s="2660"/>
      <c r="BI175" s="2632"/>
      <c r="BJ175" s="2659"/>
      <c r="BK175" s="2634"/>
      <c r="BL175" s="2634"/>
      <c r="BM175" s="2660"/>
      <c r="BN175" s="2634"/>
      <c r="BO175" s="2634"/>
      <c r="BP175" s="2632"/>
      <c r="BQ175" s="2634"/>
      <c r="BR175" s="2659"/>
      <c r="BS175" s="2634"/>
      <c r="BT175" s="2634"/>
      <c r="BU175" s="2632"/>
      <c r="BV175" s="2634"/>
      <c r="BW175" s="2634"/>
      <c r="BX175" s="2659"/>
      <c r="BY175" s="2634"/>
      <c r="BZ175" s="2634"/>
      <c r="CA175" s="2634"/>
      <c r="CB175" s="2632"/>
      <c r="CC175" s="2634"/>
      <c r="CD175" s="2659"/>
      <c r="CE175" s="2634"/>
      <c r="CF175" s="2634"/>
      <c r="CG175" s="2632"/>
      <c r="CH175" s="2634"/>
      <c r="CI175" s="2659"/>
      <c r="CJ175" s="2634"/>
      <c r="CK175" s="2634"/>
      <c r="CL175" s="2634"/>
      <c r="CM175" s="2634"/>
      <c r="CN175" s="2632"/>
      <c r="CO175" s="2659"/>
      <c r="CP175" s="2634"/>
      <c r="CQ175" s="2634"/>
      <c r="CR175" s="2632"/>
      <c r="CS175" s="2634"/>
      <c r="CT175" s="2659"/>
      <c r="CU175" s="2634"/>
      <c r="CV175" s="2634"/>
      <c r="CW175" s="2632"/>
      <c r="CX175" s="2634"/>
      <c r="CY175" s="2659"/>
      <c r="CZ175" s="2634"/>
      <c r="DA175" s="2632"/>
      <c r="DB175" s="2634"/>
      <c r="DC175" s="2659"/>
      <c r="DD175" s="2634"/>
      <c r="DE175" s="2633"/>
    </row>
    <row r="176" spans="1:109" ht="12.75" customHeight="1" x14ac:dyDescent="0.2">
      <c r="A176" s="2029">
        <v>176</v>
      </c>
      <c r="B176" s="4995"/>
      <c r="C176" s="1762" t="s">
        <v>8276</v>
      </c>
      <c r="D176" s="1763"/>
      <c r="F176" s="2657">
        <v>36</v>
      </c>
      <c r="G176" s="675" t="s">
        <v>1775</v>
      </c>
      <c r="H176" s="2632"/>
      <c r="I176" s="2634"/>
      <c r="J176" s="2659"/>
      <c r="K176" s="2634"/>
      <c r="L176" s="2634"/>
      <c r="M176" s="2632"/>
      <c r="N176" s="2634"/>
      <c r="O176" s="2659"/>
      <c r="P176" s="2634"/>
      <c r="Q176" s="2634"/>
      <c r="R176" s="2632"/>
      <c r="S176" s="2659"/>
      <c r="T176" s="2634"/>
      <c r="U176" s="2632"/>
      <c r="V176" s="2659"/>
      <c r="W176" s="2634"/>
      <c r="X176" s="2634"/>
      <c r="Y176" s="2632"/>
      <c r="Z176" s="2634"/>
      <c r="AA176" s="2659"/>
      <c r="AB176" s="2696">
        <v>20</v>
      </c>
      <c r="AC176" s="2634"/>
      <c r="AD176" s="2632"/>
      <c r="AE176" s="2659"/>
      <c r="AF176" s="2634">
        <v>20</v>
      </c>
      <c r="AG176" s="2634"/>
      <c r="AH176" s="2634"/>
      <c r="AI176" s="2632"/>
      <c r="AJ176" s="2634"/>
      <c r="AK176" s="2659"/>
      <c r="AL176" s="2634"/>
      <c r="AM176" s="2634"/>
      <c r="AN176" s="2634">
        <v>20</v>
      </c>
      <c r="AO176" s="2634"/>
      <c r="AP176" s="2632"/>
      <c r="AQ176" s="2634"/>
      <c r="AR176" s="2659"/>
      <c r="AS176" s="2634">
        <v>20</v>
      </c>
      <c r="AT176" s="2634"/>
      <c r="AU176" s="2632"/>
      <c r="AV176" s="2634"/>
      <c r="AW176" s="2659"/>
      <c r="AX176" s="2634"/>
      <c r="AY176" s="2634"/>
      <c r="AZ176" s="2632"/>
      <c r="BA176" s="2659"/>
      <c r="BB176" s="2634"/>
      <c r="BC176" s="2634"/>
      <c r="BD176" s="2632"/>
      <c r="BE176" s="2659"/>
      <c r="BF176" s="2634"/>
      <c r="BG176" s="2634"/>
      <c r="BH176" s="2660">
        <v>10</v>
      </c>
      <c r="BI176" s="2632">
        <v>20</v>
      </c>
      <c r="BJ176" s="2659">
        <v>10</v>
      </c>
      <c r="BK176" s="2634"/>
      <c r="BL176" s="2634"/>
      <c r="BM176" s="2660">
        <v>10</v>
      </c>
      <c r="BN176" s="2634"/>
      <c r="BO176" s="2634"/>
      <c r="BP176" s="2632"/>
      <c r="BQ176" s="2634"/>
      <c r="BR176" s="2659"/>
      <c r="BS176" s="2634"/>
      <c r="BT176" s="2634"/>
      <c r="BU176" s="2632"/>
      <c r="BV176" s="2634"/>
      <c r="BW176" s="2634"/>
      <c r="BX176" s="2659"/>
      <c r="BY176" s="2634"/>
      <c r="BZ176" s="2634"/>
      <c r="CA176" s="2634"/>
      <c r="CB176" s="2632"/>
      <c r="CC176" s="2634"/>
      <c r="CD176" s="2659"/>
      <c r="CE176" s="2634"/>
      <c r="CF176" s="2634"/>
      <c r="CG176" s="2632"/>
      <c r="CH176" s="2634"/>
      <c r="CI176" s="2659"/>
      <c r="CJ176" s="2634"/>
      <c r="CK176" s="2634"/>
      <c r="CL176" s="2634"/>
      <c r="CM176" s="2634"/>
      <c r="CN176" s="2632"/>
      <c r="CO176" s="2659"/>
      <c r="CP176" s="2634">
        <v>20</v>
      </c>
      <c r="CQ176" s="2634">
        <v>20</v>
      </c>
      <c r="CR176" s="2632"/>
      <c r="CS176" s="2634"/>
      <c r="CT176" s="2659"/>
      <c r="CU176" s="2634">
        <v>20</v>
      </c>
      <c r="CV176" s="2634">
        <v>20</v>
      </c>
      <c r="CW176" s="2632">
        <v>20</v>
      </c>
      <c r="CX176" s="2634">
        <v>20</v>
      </c>
      <c r="CY176" s="2659"/>
      <c r="CZ176" s="2634">
        <v>20</v>
      </c>
      <c r="DA176" s="2632"/>
      <c r="DB176" s="2634"/>
      <c r="DC176" s="2659"/>
      <c r="DD176" s="2634"/>
      <c r="DE176" s="2633"/>
    </row>
    <row r="177" spans="1:109" ht="12.75" customHeight="1" x14ac:dyDescent="0.2">
      <c r="A177" s="2029">
        <v>177</v>
      </c>
      <c r="B177" s="4995"/>
      <c r="C177" s="1762" t="s">
        <v>8277</v>
      </c>
      <c r="D177" s="1763"/>
      <c r="F177" s="2657">
        <v>37</v>
      </c>
      <c r="G177" s="675" t="s">
        <v>1777</v>
      </c>
      <c r="H177" s="2632"/>
      <c r="I177" s="2634"/>
      <c r="J177" s="2659"/>
      <c r="K177" s="2634"/>
      <c r="L177" s="2634"/>
      <c r="M177" s="2632"/>
      <c r="N177" s="2634"/>
      <c r="O177" s="2659"/>
      <c r="P177" s="2634"/>
      <c r="Q177" s="2634"/>
      <c r="R177" s="2632"/>
      <c r="S177" s="2659"/>
      <c r="T177" s="2634"/>
      <c r="U177" s="2632"/>
      <c r="V177" s="2659"/>
      <c r="W177" s="2634"/>
      <c r="X177" s="2634"/>
      <c r="Y177" s="2632"/>
      <c r="Z177" s="2634"/>
      <c r="AA177" s="2659"/>
      <c r="AB177" s="2696">
        <v>20</v>
      </c>
      <c r="AC177" s="2634"/>
      <c r="AD177" s="2632"/>
      <c r="AE177" s="2659"/>
      <c r="AF177" s="2634"/>
      <c r="AG177" s="2634"/>
      <c r="AH177" s="2634"/>
      <c r="AI177" s="2632"/>
      <c r="AJ177" s="2634"/>
      <c r="AK177" s="2659"/>
      <c r="AL177" s="2634"/>
      <c r="AM177" s="2634"/>
      <c r="AN177" s="2634"/>
      <c r="AO177" s="2634"/>
      <c r="AP177" s="2632"/>
      <c r="AQ177" s="2634"/>
      <c r="AR177" s="2659"/>
      <c r="AS177" s="2634">
        <v>20</v>
      </c>
      <c r="AT177" s="2634">
        <v>10</v>
      </c>
      <c r="AU177" s="2632"/>
      <c r="AV177" s="2634"/>
      <c r="AW177" s="2659"/>
      <c r="AX177" s="2634"/>
      <c r="AY177" s="2634"/>
      <c r="AZ177" s="2632"/>
      <c r="BA177" s="2659"/>
      <c r="BB177" s="2634"/>
      <c r="BC177" s="2634"/>
      <c r="BD177" s="2632"/>
      <c r="BE177" s="2659"/>
      <c r="BF177" s="2634"/>
      <c r="BG177" s="2634"/>
      <c r="BH177" s="2660"/>
      <c r="BI177" s="2632"/>
      <c r="BJ177" s="2659"/>
      <c r="BK177" s="2634"/>
      <c r="BL177" s="2634"/>
      <c r="BM177" s="2660"/>
      <c r="BN177" s="2634"/>
      <c r="BO177" s="2634"/>
      <c r="BP177" s="2632"/>
      <c r="BQ177" s="2634"/>
      <c r="BR177" s="2659"/>
      <c r="BS177" s="2634"/>
      <c r="BT177" s="2634"/>
      <c r="BU177" s="2632"/>
      <c r="BV177" s="2634"/>
      <c r="BW177" s="2634"/>
      <c r="BX177" s="2659"/>
      <c r="BY177" s="2634"/>
      <c r="BZ177" s="2634"/>
      <c r="CA177" s="2634"/>
      <c r="CB177" s="2632"/>
      <c r="CC177" s="2634"/>
      <c r="CD177" s="2659"/>
      <c r="CE177" s="2634"/>
      <c r="CF177" s="2634"/>
      <c r="CG177" s="2632"/>
      <c r="CH177" s="2634"/>
      <c r="CI177" s="2659"/>
      <c r="CJ177" s="2634"/>
      <c r="CK177" s="2634"/>
      <c r="CL177" s="2634"/>
      <c r="CM177" s="2634"/>
      <c r="CN177" s="2632"/>
      <c r="CO177" s="2659"/>
      <c r="CP177" s="2634"/>
      <c r="CQ177" s="2634"/>
      <c r="CR177" s="2632"/>
      <c r="CS177" s="2634"/>
      <c r="CT177" s="2659"/>
      <c r="CU177" s="2634"/>
      <c r="CV177" s="2634"/>
      <c r="CW177" s="2632"/>
      <c r="CX177" s="2634"/>
      <c r="CY177" s="2659"/>
      <c r="CZ177" s="2634"/>
      <c r="DA177" s="2632"/>
      <c r="DB177" s="2634"/>
      <c r="DC177" s="2659"/>
      <c r="DD177" s="2634"/>
      <c r="DE177" s="2633"/>
    </row>
    <row r="178" spans="1:109" ht="12.75" customHeight="1" x14ac:dyDescent="0.2">
      <c r="A178" s="2029">
        <v>178</v>
      </c>
      <c r="B178" s="4995"/>
      <c r="C178" s="1766" t="s">
        <v>8313</v>
      </c>
      <c r="D178" s="1763"/>
      <c r="F178" s="2657">
        <v>38</v>
      </c>
      <c r="G178" s="675" t="s">
        <v>1779</v>
      </c>
      <c r="H178" s="2632"/>
      <c r="I178" s="2634"/>
      <c r="J178" s="2659"/>
      <c r="K178" s="2634"/>
      <c r="L178" s="2634"/>
      <c r="M178" s="2632"/>
      <c r="N178" s="2634"/>
      <c r="O178" s="2659"/>
      <c r="P178" s="2634"/>
      <c r="Q178" s="2634"/>
      <c r="R178" s="2632">
        <v>20</v>
      </c>
      <c r="S178" s="2659"/>
      <c r="T178" s="2634">
        <v>20</v>
      </c>
      <c r="U178" s="2632"/>
      <c r="V178" s="2659"/>
      <c r="W178" s="2634"/>
      <c r="X178" s="2634"/>
      <c r="Y178" s="2632"/>
      <c r="Z178" s="2634"/>
      <c r="AA178" s="2659"/>
      <c r="AB178" s="2696">
        <v>20</v>
      </c>
      <c r="AC178" s="2634"/>
      <c r="AD178" s="2632"/>
      <c r="AE178" s="2659"/>
      <c r="AF178" s="2634"/>
      <c r="AG178" s="2634"/>
      <c r="AH178" s="2634"/>
      <c r="AI178" s="2632"/>
      <c r="AJ178" s="2634"/>
      <c r="AK178" s="2659"/>
      <c r="AL178" s="2634"/>
      <c r="AM178" s="2634"/>
      <c r="AN178" s="2634">
        <v>20</v>
      </c>
      <c r="AO178" s="2634"/>
      <c r="AP178" s="2632"/>
      <c r="AQ178" s="2634"/>
      <c r="AR178" s="2659"/>
      <c r="AS178" s="2634">
        <v>10</v>
      </c>
      <c r="AT178" s="2634"/>
      <c r="AU178" s="2632"/>
      <c r="AV178" s="2634"/>
      <c r="AW178" s="2659"/>
      <c r="AX178" s="2634"/>
      <c r="AY178" s="2634"/>
      <c r="AZ178" s="2632"/>
      <c r="BA178" s="2659"/>
      <c r="BB178" s="2634"/>
      <c r="BC178" s="2634"/>
      <c r="BD178" s="2632">
        <v>20</v>
      </c>
      <c r="BE178" s="2659"/>
      <c r="BF178" s="2634"/>
      <c r="BG178" s="2634"/>
      <c r="BH178" s="2660">
        <v>20</v>
      </c>
      <c r="BI178" s="2632">
        <v>20</v>
      </c>
      <c r="BJ178" s="2659">
        <v>10</v>
      </c>
      <c r="BK178" s="2634"/>
      <c r="BL178" s="2634"/>
      <c r="BM178" s="2660">
        <v>20</v>
      </c>
      <c r="BN178" s="2634"/>
      <c r="BO178" s="2634"/>
      <c r="BP178" s="2632"/>
      <c r="BQ178" s="2634"/>
      <c r="BR178" s="2659"/>
      <c r="BS178" s="2634"/>
      <c r="BT178" s="2634"/>
      <c r="BU178" s="2632"/>
      <c r="BV178" s="2634"/>
      <c r="BW178" s="2634"/>
      <c r="BX178" s="2659"/>
      <c r="BY178" s="2634"/>
      <c r="BZ178" s="2634"/>
      <c r="CA178" s="2634"/>
      <c r="CB178" s="2632"/>
      <c r="CC178" s="2634"/>
      <c r="CD178" s="2659"/>
      <c r="CE178" s="2634">
        <v>20</v>
      </c>
      <c r="CF178" s="2634"/>
      <c r="CG178" s="2632"/>
      <c r="CH178" s="2634"/>
      <c r="CI178" s="2659"/>
      <c r="CJ178" s="2634">
        <v>20</v>
      </c>
      <c r="CK178" s="2634"/>
      <c r="CL178" s="2634"/>
      <c r="CM178" s="2634"/>
      <c r="CN178" s="2632"/>
      <c r="CO178" s="2659"/>
      <c r="CP178" s="2634"/>
      <c r="CQ178" s="2634"/>
      <c r="CR178" s="2632"/>
      <c r="CS178" s="2634"/>
      <c r="CT178" s="2659"/>
      <c r="CU178" s="2634">
        <v>20</v>
      </c>
      <c r="CV178" s="2634"/>
      <c r="CW178" s="2632"/>
      <c r="CX178" s="2634"/>
      <c r="CY178" s="2659"/>
      <c r="CZ178" s="2634">
        <v>20</v>
      </c>
      <c r="DA178" s="2632"/>
      <c r="DB178" s="2634"/>
      <c r="DC178" s="2659"/>
      <c r="DD178" s="2634">
        <v>20</v>
      </c>
      <c r="DE178" s="2633">
        <v>20</v>
      </c>
    </row>
    <row r="179" spans="1:109" ht="12.75" customHeight="1" x14ac:dyDescent="0.2">
      <c r="A179" s="2029">
        <v>179</v>
      </c>
      <c r="B179" s="4995"/>
      <c r="C179" s="1762" t="s">
        <v>8239</v>
      </c>
      <c r="D179" s="1763"/>
      <c r="F179" s="2657">
        <v>39</v>
      </c>
      <c r="G179" s="675" t="s">
        <v>1781</v>
      </c>
      <c r="H179" s="2632"/>
      <c r="I179" s="2634"/>
      <c r="J179" s="2659"/>
      <c r="K179" s="2634"/>
      <c r="L179" s="2634"/>
      <c r="M179" s="2632"/>
      <c r="N179" s="2634"/>
      <c r="O179" s="2659"/>
      <c r="P179" s="2634"/>
      <c r="Q179" s="2634"/>
      <c r="R179" s="2632">
        <v>20</v>
      </c>
      <c r="S179" s="2659"/>
      <c r="T179" s="2634"/>
      <c r="U179" s="2632"/>
      <c r="V179" s="2659"/>
      <c r="W179" s="2634"/>
      <c r="X179" s="2634"/>
      <c r="Y179" s="2632"/>
      <c r="Z179" s="2634"/>
      <c r="AA179" s="2659"/>
      <c r="AB179" s="2696"/>
      <c r="AC179" s="2634"/>
      <c r="AD179" s="2632"/>
      <c r="AE179" s="2659"/>
      <c r="AF179" s="2634"/>
      <c r="AG179" s="2634"/>
      <c r="AH179" s="2634"/>
      <c r="AI179" s="2632"/>
      <c r="AJ179" s="2634"/>
      <c r="AK179" s="2659"/>
      <c r="AL179" s="2634"/>
      <c r="AM179" s="2634"/>
      <c r="AN179" s="2634"/>
      <c r="AO179" s="2634"/>
      <c r="AP179" s="2632"/>
      <c r="AQ179" s="2634"/>
      <c r="AR179" s="2659"/>
      <c r="AS179" s="2634"/>
      <c r="AT179" s="2634"/>
      <c r="AU179" s="2632"/>
      <c r="AV179" s="2634"/>
      <c r="AW179" s="2659"/>
      <c r="AX179" s="2634"/>
      <c r="AY179" s="2634"/>
      <c r="AZ179" s="2632"/>
      <c r="BA179" s="2659"/>
      <c r="BB179" s="2634"/>
      <c r="BC179" s="2634"/>
      <c r="BD179" s="2632"/>
      <c r="BE179" s="2659"/>
      <c r="BF179" s="2634"/>
      <c r="BG179" s="2634"/>
      <c r="BH179" s="2660"/>
      <c r="BI179" s="2632"/>
      <c r="BJ179" s="2659"/>
      <c r="BK179" s="2634"/>
      <c r="BL179" s="2634"/>
      <c r="BM179" s="2660"/>
      <c r="BN179" s="2634"/>
      <c r="BO179" s="2634"/>
      <c r="BP179" s="2632"/>
      <c r="BQ179" s="2634"/>
      <c r="BR179" s="2659"/>
      <c r="BS179" s="2634"/>
      <c r="BT179" s="2634"/>
      <c r="BU179" s="2632"/>
      <c r="BV179" s="2634">
        <v>20</v>
      </c>
      <c r="BW179" s="2634"/>
      <c r="BX179" s="2659"/>
      <c r="BY179" s="2634"/>
      <c r="BZ179" s="2634"/>
      <c r="CA179" s="2634"/>
      <c r="CB179" s="2632"/>
      <c r="CC179" s="2634"/>
      <c r="CD179" s="2659"/>
      <c r="CE179" s="2634">
        <v>20</v>
      </c>
      <c r="CF179" s="2634">
        <v>20</v>
      </c>
      <c r="CG179" s="2632"/>
      <c r="CH179" s="2634"/>
      <c r="CI179" s="2659"/>
      <c r="CJ179" s="2634"/>
      <c r="CK179" s="2634"/>
      <c r="CL179" s="2634"/>
      <c r="CM179" s="2634"/>
      <c r="CN179" s="2632"/>
      <c r="CO179" s="2659"/>
      <c r="CP179" s="2634">
        <v>20</v>
      </c>
      <c r="CQ179" s="2634">
        <v>20</v>
      </c>
      <c r="CR179" s="2632"/>
      <c r="CS179" s="2634"/>
      <c r="CT179" s="2659"/>
      <c r="CU179" s="2634">
        <v>20</v>
      </c>
      <c r="CV179" s="2634">
        <v>20</v>
      </c>
      <c r="CW179" s="2632">
        <v>20</v>
      </c>
      <c r="CX179" s="2634"/>
      <c r="CY179" s="2659"/>
      <c r="CZ179" s="2634"/>
      <c r="DA179" s="2632"/>
      <c r="DB179" s="2634"/>
      <c r="DC179" s="2659"/>
      <c r="DD179" s="2634"/>
      <c r="DE179" s="2633"/>
    </row>
    <row r="180" spans="1:109" ht="12.75" customHeight="1" x14ac:dyDescent="0.2">
      <c r="A180" s="2029">
        <v>180</v>
      </c>
      <c r="B180" s="4995"/>
      <c r="C180" s="1762" t="s">
        <v>8240</v>
      </c>
      <c r="D180" s="1763"/>
      <c r="F180" s="2657">
        <v>40</v>
      </c>
      <c r="G180" s="675" t="s">
        <v>1782</v>
      </c>
      <c r="H180" s="2632"/>
      <c r="I180" s="2634"/>
      <c r="J180" s="2659"/>
      <c r="K180" s="2634"/>
      <c r="L180" s="2634"/>
      <c r="M180" s="2632"/>
      <c r="N180" s="2634"/>
      <c r="O180" s="2659"/>
      <c r="P180" s="2634"/>
      <c r="Q180" s="2634"/>
      <c r="R180" s="2632"/>
      <c r="S180" s="2659"/>
      <c r="T180" s="2634"/>
      <c r="U180" s="2632"/>
      <c r="V180" s="2659"/>
      <c r="W180" s="2634"/>
      <c r="X180" s="2634"/>
      <c r="Y180" s="2632"/>
      <c r="Z180" s="2634"/>
      <c r="AA180" s="2659"/>
      <c r="AB180" s="2696"/>
      <c r="AC180" s="2634"/>
      <c r="AD180" s="2632"/>
      <c r="AE180" s="2659"/>
      <c r="AF180" s="2634"/>
      <c r="AG180" s="2634"/>
      <c r="AH180" s="2634"/>
      <c r="AI180" s="2632"/>
      <c r="AJ180" s="2634"/>
      <c r="AK180" s="2659"/>
      <c r="AL180" s="2634"/>
      <c r="AM180" s="2634"/>
      <c r="AN180" s="2634"/>
      <c r="AO180" s="2634"/>
      <c r="AP180" s="2632"/>
      <c r="AQ180" s="2634"/>
      <c r="AR180" s="2659"/>
      <c r="AS180" s="2634"/>
      <c r="AT180" s="2634"/>
      <c r="AU180" s="2632"/>
      <c r="AV180" s="2634"/>
      <c r="AW180" s="2659"/>
      <c r="AX180" s="2634"/>
      <c r="AY180" s="2634"/>
      <c r="AZ180" s="2632"/>
      <c r="BA180" s="2659"/>
      <c r="BB180" s="2634"/>
      <c r="BC180" s="2634"/>
      <c r="BD180" s="2632"/>
      <c r="BE180" s="2659"/>
      <c r="BF180" s="2634"/>
      <c r="BG180" s="2634"/>
      <c r="BH180" s="2660"/>
      <c r="BI180" s="2632"/>
      <c r="BJ180" s="2659"/>
      <c r="BK180" s="2634"/>
      <c r="BL180" s="2634"/>
      <c r="BM180" s="2660"/>
      <c r="BN180" s="2634"/>
      <c r="BO180" s="2634"/>
      <c r="BP180" s="2632"/>
      <c r="BQ180" s="2634"/>
      <c r="BR180" s="2659"/>
      <c r="BS180" s="2634"/>
      <c r="BT180" s="2634"/>
      <c r="BU180" s="2632"/>
      <c r="BV180" s="2634"/>
      <c r="BW180" s="2634"/>
      <c r="BX180" s="2659"/>
      <c r="BY180" s="2634"/>
      <c r="BZ180" s="2634"/>
      <c r="CA180" s="2634"/>
      <c r="CB180" s="2632"/>
      <c r="CC180" s="2634"/>
      <c r="CD180" s="2659"/>
      <c r="CE180" s="2634"/>
      <c r="CF180" s="2634"/>
      <c r="CG180" s="2632"/>
      <c r="CH180" s="2634"/>
      <c r="CI180" s="2659"/>
      <c r="CJ180" s="2634"/>
      <c r="CK180" s="2634"/>
      <c r="CL180" s="2634"/>
      <c r="CM180" s="2634"/>
      <c r="CN180" s="2632"/>
      <c r="CO180" s="2659"/>
      <c r="CP180" s="2634"/>
      <c r="CQ180" s="2634"/>
      <c r="CR180" s="2632"/>
      <c r="CS180" s="2634"/>
      <c r="CT180" s="2659"/>
      <c r="CU180" s="2634"/>
      <c r="CV180" s="2634"/>
      <c r="CW180" s="2632"/>
      <c r="CX180" s="2634"/>
      <c r="CY180" s="2659"/>
      <c r="CZ180" s="2634"/>
      <c r="DA180" s="2632"/>
      <c r="DB180" s="2634"/>
      <c r="DC180" s="2659"/>
      <c r="DD180" s="2634"/>
      <c r="DE180" s="2633"/>
    </row>
    <row r="181" spans="1:109" ht="12.75" customHeight="1" x14ac:dyDescent="0.2">
      <c r="A181" s="2029">
        <v>181</v>
      </c>
      <c r="B181" s="4995"/>
      <c r="C181" s="1762" t="s">
        <v>8241</v>
      </c>
      <c r="D181" s="1763"/>
      <c r="F181" s="2657">
        <v>41</v>
      </c>
      <c r="G181" s="675" t="s">
        <v>1784</v>
      </c>
      <c r="H181" s="2632"/>
      <c r="I181" s="2634"/>
      <c r="J181" s="2659"/>
      <c r="K181" s="2634">
        <v>20</v>
      </c>
      <c r="L181" s="2634"/>
      <c r="M181" s="2632"/>
      <c r="N181" s="2634"/>
      <c r="O181" s="2659"/>
      <c r="P181" s="2634"/>
      <c r="Q181" s="2634"/>
      <c r="R181" s="2632"/>
      <c r="S181" s="2659"/>
      <c r="T181" s="2634"/>
      <c r="U181" s="2632"/>
      <c r="V181" s="2659"/>
      <c r="W181" s="2634"/>
      <c r="X181" s="2634"/>
      <c r="Y181" s="2632"/>
      <c r="Z181" s="2634"/>
      <c r="AA181" s="2659"/>
      <c r="AB181" s="2696"/>
      <c r="AC181" s="2634"/>
      <c r="AD181" s="2632"/>
      <c r="AE181" s="2659"/>
      <c r="AF181" s="2634"/>
      <c r="AG181" s="2634"/>
      <c r="AH181" s="2634"/>
      <c r="AI181" s="2632"/>
      <c r="AJ181" s="2634"/>
      <c r="AK181" s="2659"/>
      <c r="AL181" s="2634"/>
      <c r="AM181" s="2634"/>
      <c r="AN181" s="2634"/>
      <c r="AO181" s="2634"/>
      <c r="AP181" s="2632"/>
      <c r="AQ181" s="2634"/>
      <c r="AR181" s="2659"/>
      <c r="AS181" s="2634"/>
      <c r="AT181" s="2634"/>
      <c r="AU181" s="2632"/>
      <c r="AV181" s="2634"/>
      <c r="AW181" s="2659"/>
      <c r="AX181" s="2634"/>
      <c r="AY181" s="2634"/>
      <c r="AZ181" s="2632"/>
      <c r="BA181" s="2659"/>
      <c r="BB181" s="2634"/>
      <c r="BC181" s="2634"/>
      <c r="BD181" s="2632"/>
      <c r="BE181" s="2659"/>
      <c r="BF181" s="2634">
        <v>10</v>
      </c>
      <c r="BG181" s="2634">
        <v>10</v>
      </c>
      <c r="BH181" s="2660"/>
      <c r="BI181" s="2632"/>
      <c r="BJ181" s="2659"/>
      <c r="BK181" s="2634"/>
      <c r="BL181" s="2634"/>
      <c r="BM181" s="2660"/>
      <c r="BN181" s="2634">
        <v>30</v>
      </c>
      <c r="BO181" s="2634"/>
      <c r="BP181" s="2632"/>
      <c r="BQ181" s="2634">
        <v>20</v>
      </c>
      <c r="BR181" s="2659"/>
      <c r="BS181" s="2634"/>
      <c r="BT181" s="2634"/>
      <c r="BU181" s="2632"/>
      <c r="BV181" s="2634"/>
      <c r="BW181" s="2634"/>
      <c r="BX181" s="2659"/>
      <c r="BY181" s="2634"/>
      <c r="BZ181" s="2634"/>
      <c r="CA181" s="2634"/>
      <c r="CB181" s="2632"/>
      <c r="CC181" s="2634"/>
      <c r="CD181" s="2659"/>
      <c r="CE181" s="2634"/>
      <c r="CF181" s="2634"/>
      <c r="CG181" s="2632"/>
      <c r="CH181" s="2634"/>
      <c r="CI181" s="2659"/>
      <c r="CJ181" s="2634"/>
      <c r="CK181" s="2634"/>
      <c r="CL181" s="2634"/>
      <c r="CM181" s="2634"/>
      <c r="CN181" s="2632"/>
      <c r="CO181" s="2659"/>
      <c r="CP181" s="2634"/>
      <c r="CQ181" s="2634"/>
      <c r="CR181" s="2632"/>
      <c r="CS181" s="2634"/>
      <c r="CT181" s="2659"/>
      <c r="CU181" s="2634"/>
      <c r="CV181" s="2634"/>
      <c r="CW181" s="2632"/>
      <c r="CX181" s="2634"/>
      <c r="CY181" s="2659"/>
      <c r="CZ181" s="2634"/>
      <c r="DA181" s="2632"/>
      <c r="DB181" s="2634"/>
      <c r="DC181" s="2659"/>
      <c r="DD181" s="2634"/>
      <c r="DE181" s="2633"/>
    </row>
    <row r="182" spans="1:109" ht="12.75" customHeight="1" x14ac:dyDescent="0.2">
      <c r="A182" s="2029">
        <v>182</v>
      </c>
      <c r="B182" s="4995"/>
      <c r="C182" s="1762" t="s">
        <v>8242</v>
      </c>
      <c r="D182" s="1763"/>
      <c r="F182" s="2657">
        <v>42</v>
      </c>
      <c r="G182" s="675" t="s">
        <v>1785</v>
      </c>
      <c r="H182" s="2632"/>
      <c r="I182" s="2634">
        <v>20</v>
      </c>
      <c r="J182" s="2659">
        <v>20</v>
      </c>
      <c r="K182" s="2634"/>
      <c r="L182" s="2634">
        <v>20</v>
      </c>
      <c r="M182" s="2632"/>
      <c r="N182" s="2634"/>
      <c r="O182" s="2659"/>
      <c r="P182" s="2634"/>
      <c r="Q182" s="2634"/>
      <c r="R182" s="2632"/>
      <c r="S182" s="2659"/>
      <c r="T182" s="2634"/>
      <c r="U182" s="2632"/>
      <c r="V182" s="2659"/>
      <c r="W182" s="2634"/>
      <c r="X182" s="2634"/>
      <c r="Y182" s="2632"/>
      <c r="Z182" s="2634">
        <v>20</v>
      </c>
      <c r="AA182" s="2659">
        <v>20</v>
      </c>
      <c r="AB182" s="2696"/>
      <c r="AC182" s="2634"/>
      <c r="AD182" s="2632"/>
      <c r="AE182" s="2659"/>
      <c r="AF182" s="2634"/>
      <c r="AG182" s="2634"/>
      <c r="AH182" s="2634"/>
      <c r="AI182" s="2632"/>
      <c r="AJ182" s="2634"/>
      <c r="AK182" s="2659"/>
      <c r="AL182" s="2634"/>
      <c r="AM182" s="2634"/>
      <c r="AN182" s="2634"/>
      <c r="AO182" s="2634"/>
      <c r="AP182" s="2632"/>
      <c r="AQ182" s="2634"/>
      <c r="AR182" s="2659"/>
      <c r="AS182" s="2634"/>
      <c r="AT182" s="2634"/>
      <c r="AU182" s="2632"/>
      <c r="AV182" s="2634">
        <v>30</v>
      </c>
      <c r="AW182" s="2659">
        <v>20</v>
      </c>
      <c r="AX182" s="2634"/>
      <c r="AY182" s="2634">
        <v>20</v>
      </c>
      <c r="AZ182" s="2632"/>
      <c r="BA182" s="2659"/>
      <c r="BB182" s="2634"/>
      <c r="BC182" s="2634"/>
      <c r="BD182" s="2632"/>
      <c r="BE182" s="2659"/>
      <c r="BF182" s="2634"/>
      <c r="BG182" s="2634"/>
      <c r="BH182" s="2660"/>
      <c r="BI182" s="2632"/>
      <c r="BJ182" s="2659"/>
      <c r="BK182" s="2634"/>
      <c r="BL182" s="2634"/>
      <c r="BM182" s="2660"/>
      <c r="BN182" s="2634"/>
      <c r="BO182" s="2634"/>
      <c r="BP182" s="2632"/>
      <c r="BQ182" s="2634"/>
      <c r="BR182" s="2659"/>
      <c r="BS182" s="2634"/>
      <c r="BT182" s="2634">
        <v>10</v>
      </c>
      <c r="BU182" s="2632">
        <v>20</v>
      </c>
      <c r="BV182" s="2634"/>
      <c r="BW182" s="2634">
        <v>20</v>
      </c>
      <c r="BX182" s="2659">
        <v>20</v>
      </c>
      <c r="BY182" s="2634"/>
      <c r="BZ182" s="2634"/>
      <c r="CA182" s="2634"/>
      <c r="CB182" s="2632">
        <v>20</v>
      </c>
      <c r="CC182" s="2634">
        <v>20</v>
      </c>
      <c r="CD182" s="2659">
        <v>20</v>
      </c>
      <c r="CE182" s="2634"/>
      <c r="CF182" s="2634"/>
      <c r="CG182" s="2632">
        <v>20</v>
      </c>
      <c r="CH182" s="2634"/>
      <c r="CI182" s="2659">
        <v>20</v>
      </c>
      <c r="CJ182" s="2634">
        <v>20</v>
      </c>
      <c r="CK182" s="2634">
        <v>20</v>
      </c>
      <c r="CL182" s="2634">
        <v>20</v>
      </c>
      <c r="CM182" s="2634">
        <v>20</v>
      </c>
      <c r="CN182" s="2632">
        <v>20</v>
      </c>
      <c r="CO182" s="2659">
        <v>20</v>
      </c>
      <c r="CP182" s="2634"/>
      <c r="CQ182" s="2634"/>
      <c r="CR182" s="2632">
        <v>20</v>
      </c>
      <c r="CS182" s="2634">
        <v>20</v>
      </c>
      <c r="CT182" s="2659">
        <v>20</v>
      </c>
      <c r="CU182" s="2634"/>
      <c r="CV182" s="2634"/>
      <c r="CW182" s="2632"/>
      <c r="CX182" s="2634"/>
      <c r="CY182" s="2659"/>
      <c r="CZ182" s="2634"/>
      <c r="DA182" s="2632">
        <v>20</v>
      </c>
      <c r="DB182" s="2634">
        <v>20</v>
      </c>
      <c r="DC182" s="2659">
        <v>20</v>
      </c>
      <c r="DD182" s="2634"/>
      <c r="DE182" s="2633"/>
    </row>
    <row r="183" spans="1:109" ht="12.75" customHeight="1" x14ac:dyDescent="0.2">
      <c r="A183" s="2029">
        <v>183</v>
      </c>
      <c r="B183" s="4995"/>
      <c r="C183" s="1762" t="s">
        <v>8243</v>
      </c>
      <c r="D183" s="1763"/>
      <c r="F183" s="2657">
        <v>43</v>
      </c>
      <c r="G183" s="675" t="s">
        <v>1786</v>
      </c>
      <c r="H183" s="2632"/>
      <c r="I183" s="2634"/>
      <c r="J183" s="2659"/>
      <c r="K183" s="2634"/>
      <c r="L183" s="2634"/>
      <c r="M183" s="2632"/>
      <c r="N183" s="2634"/>
      <c r="O183" s="2659"/>
      <c r="P183" s="2634">
        <v>20</v>
      </c>
      <c r="Q183" s="2634"/>
      <c r="R183" s="2632"/>
      <c r="S183" s="2659"/>
      <c r="T183" s="2634"/>
      <c r="U183" s="2632"/>
      <c r="V183" s="2659"/>
      <c r="W183" s="2634"/>
      <c r="X183" s="2634"/>
      <c r="Y183" s="2632"/>
      <c r="Z183" s="2634"/>
      <c r="AA183" s="2659"/>
      <c r="AB183" s="2696"/>
      <c r="AC183" s="2634"/>
      <c r="AD183" s="2632"/>
      <c r="AE183" s="2659"/>
      <c r="AF183" s="2634"/>
      <c r="AG183" s="2634"/>
      <c r="AH183" s="2634"/>
      <c r="AI183" s="2632"/>
      <c r="AJ183" s="2634"/>
      <c r="AK183" s="2659"/>
      <c r="AL183" s="2634"/>
      <c r="AM183" s="2634"/>
      <c r="AN183" s="2634"/>
      <c r="AO183" s="2634"/>
      <c r="AP183" s="2632"/>
      <c r="AQ183" s="2634"/>
      <c r="AR183" s="2659"/>
      <c r="AS183" s="2634"/>
      <c r="AT183" s="2634"/>
      <c r="AU183" s="2632"/>
      <c r="AV183" s="2634"/>
      <c r="AW183" s="2659"/>
      <c r="AX183" s="2634"/>
      <c r="AY183" s="2634"/>
      <c r="AZ183" s="2632"/>
      <c r="BA183" s="2659"/>
      <c r="BB183" s="2634"/>
      <c r="BC183" s="2634"/>
      <c r="BD183" s="2632"/>
      <c r="BE183" s="2659"/>
      <c r="BF183" s="2634">
        <v>30</v>
      </c>
      <c r="BG183" s="2634"/>
      <c r="BH183" s="2660"/>
      <c r="BI183" s="2632"/>
      <c r="BJ183" s="2659"/>
      <c r="BK183" s="2634"/>
      <c r="BL183" s="2634"/>
      <c r="BM183" s="2660"/>
      <c r="BN183" s="2634"/>
      <c r="BO183" s="2634"/>
      <c r="BP183" s="2632"/>
      <c r="BQ183" s="2634"/>
      <c r="BR183" s="2659"/>
      <c r="BS183" s="2634"/>
      <c r="BT183" s="2634"/>
      <c r="BU183" s="2632"/>
      <c r="BV183" s="2634"/>
      <c r="BW183" s="2634"/>
      <c r="BX183" s="2659"/>
      <c r="BY183" s="2634"/>
      <c r="BZ183" s="2634"/>
      <c r="CA183" s="2634"/>
      <c r="CB183" s="2632"/>
      <c r="CC183" s="2634"/>
      <c r="CD183" s="2659"/>
      <c r="CE183" s="2634"/>
      <c r="CF183" s="2634"/>
      <c r="CG183" s="2632"/>
      <c r="CH183" s="2634"/>
      <c r="CI183" s="2659"/>
      <c r="CJ183" s="2634"/>
      <c r="CK183" s="2634"/>
      <c r="CL183" s="2634"/>
      <c r="CM183" s="2634"/>
      <c r="CN183" s="2632"/>
      <c r="CO183" s="2659"/>
      <c r="CP183" s="2634"/>
      <c r="CQ183" s="2634"/>
      <c r="CR183" s="2632"/>
      <c r="CS183" s="2634"/>
      <c r="CT183" s="2659"/>
      <c r="CU183" s="2634"/>
      <c r="CV183" s="2634"/>
      <c r="CW183" s="2632"/>
      <c r="CX183" s="2634"/>
      <c r="CY183" s="2659"/>
      <c r="CZ183" s="2634"/>
      <c r="DA183" s="2632"/>
      <c r="DB183" s="2634"/>
      <c r="DC183" s="2659"/>
      <c r="DD183" s="2634"/>
      <c r="DE183" s="2633"/>
    </row>
    <row r="184" spans="1:109" ht="12.75" customHeight="1" x14ac:dyDescent="0.2">
      <c r="A184" s="2029">
        <v>184</v>
      </c>
      <c r="B184" s="4995"/>
      <c r="C184" s="1762" t="s">
        <v>8244</v>
      </c>
      <c r="D184" s="1763"/>
      <c r="F184" s="2657">
        <v>44</v>
      </c>
      <c r="G184" s="675" t="s">
        <v>1085</v>
      </c>
      <c r="H184" s="2632"/>
      <c r="I184" s="2634"/>
      <c r="J184" s="2659"/>
      <c r="K184" s="2634"/>
      <c r="L184" s="2634"/>
      <c r="M184" s="2632"/>
      <c r="N184" s="2634"/>
      <c r="O184" s="2659"/>
      <c r="P184" s="2634"/>
      <c r="Q184" s="2634"/>
      <c r="R184" s="2632"/>
      <c r="S184" s="2659"/>
      <c r="T184" s="2634"/>
      <c r="U184" s="2632"/>
      <c r="V184" s="2659"/>
      <c r="W184" s="2634"/>
      <c r="X184" s="2634"/>
      <c r="Y184" s="2632"/>
      <c r="Z184" s="2634"/>
      <c r="AA184" s="2659"/>
      <c r="AB184" s="2696"/>
      <c r="AC184" s="2634"/>
      <c r="AD184" s="2632"/>
      <c r="AE184" s="2659"/>
      <c r="AF184" s="2634"/>
      <c r="AG184" s="2634"/>
      <c r="AH184" s="2634"/>
      <c r="AI184" s="2632"/>
      <c r="AJ184" s="2634"/>
      <c r="AK184" s="2659"/>
      <c r="AL184" s="2634"/>
      <c r="AM184" s="2634"/>
      <c r="AN184" s="2634"/>
      <c r="AO184" s="2634"/>
      <c r="AP184" s="2632"/>
      <c r="AQ184" s="2634"/>
      <c r="AR184" s="2659"/>
      <c r="AS184" s="2634"/>
      <c r="AT184" s="2634"/>
      <c r="AU184" s="2632"/>
      <c r="AV184" s="2634"/>
      <c r="AW184" s="2659"/>
      <c r="AX184" s="2634"/>
      <c r="AY184" s="2634"/>
      <c r="AZ184" s="2632"/>
      <c r="BA184" s="2659"/>
      <c r="BB184" s="2634"/>
      <c r="BC184" s="2634"/>
      <c r="BD184" s="2632"/>
      <c r="BE184" s="2659"/>
      <c r="BF184" s="2634"/>
      <c r="BG184" s="2634"/>
      <c r="BH184" s="2660"/>
      <c r="BI184" s="2632"/>
      <c r="BJ184" s="2659"/>
      <c r="BK184" s="2634"/>
      <c r="BL184" s="2634"/>
      <c r="BM184" s="2660"/>
      <c r="BN184" s="2634"/>
      <c r="BO184" s="2634"/>
      <c r="BP184" s="2632"/>
      <c r="BQ184" s="2634"/>
      <c r="BR184" s="2659"/>
      <c r="BS184" s="2634"/>
      <c r="BT184" s="2634"/>
      <c r="BU184" s="2632"/>
      <c r="BV184" s="2634"/>
      <c r="BW184" s="2634"/>
      <c r="BX184" s="2659"/>
      <c r="BY184" s="2634"/>
      <c r="BZ184" s="2634"/>
      <c r="CA184" s="2634"/>
      <c r="CB184" s="2632"/>
      <c r="CC184" s="2634"/>
      <c r="CD184" s="2659"/>
      <c r="CE184" s="2634"/>
      <c r="CF184" s="2634"/>
      <c r="CG184" s="2632"/>
      <c r="CH184" s="2634"/>
      <c r="CI184" s="2659"/>
      <c r="CJ184" s="2634"/>
      <c r="CK184" s="2634"/>
      <c r="CL184" s="2634"/>
      <c r="CM184" s="2634"/>
      <c r="CN184" s="2632"/>
      <c r="CO184" s="2659"/>
      <c r="CP184" s="2634"/>
      <c r="CQ184" s="2634"/>
      <c r="CR184" s="2632"/>
      <c r="CS184" s="2634"/>
      <c r="CT184" s="2659"/>
      <c r="CU184" s="2634"/>
      <c r="CV184" s="2634"/>
      <c r="CW184" s="2632"/>
      <c r="CX184" s="2634"/>
      <c r="CY184" s="2659"/>
      <c r="CZ184" s="2634"/>
      <c r="DA184" s="2632"/>
      <c r="DB184" s="2634"/>
      <c r="DC184" s="2659"/>
      <c r="DD184" s="2634"/>
      <c r="DE184" s="2633"/>
    </row>
    <row r="185" spans="1:109" ht="12.75" customHeight="1" x14ac:dyDescent="0.2">
      <c r="A185" s="2029">
        <v>185</v>
      </c>
      <c r="B185" s="4995"/>
      <c r="C185" s="1762" t="s">
        <v>8245</v>
      </c>
      <c r="D185" s="1763"/>
      <c r="F185" s="2657">
        <v>45</v>
      </c>
      <c r="G185" s="675" t="s">
        <v>1086</v>
      </c>
      <c r="H185" s="2632"/>
      <c r="I185" s="2634"/>
      <c r="J185" s="2659"/>
      <c r="K185" s="2634"/>
      <c r="L185" s="2634"/>
      <c r="M185" s="2632"/>
      <c r="N185" s="2634"/>
      <c r="O185" s="2659"/>
      <c r="P185" s="2634"/>
      <c r="Q185" s="2634"/>
      <c r="R185" s="2632"/>
      <c r="S185" s="2659"/>
      <c r="T185" s="2634"/>
      <c r="U185" s="2632"/>
      <c r="V185" s="2659"/>
      <c r="W185" s="2634"/>
      <c r="X185" s="2634"/>
      <c r="Y185" s="2632"/>
      <c r="Z185" s="2634"/>
      <c r="AA185" s="2659"/>
      <c r="AB185" s="2696"/>
      <c r="AC185" s="2634"/>
      <c r="AD185" s="2632"/>
      <c r="AE185" s="2659"/>
      <c r="AF185" s="2634"/>
      <c r="AG185" s="2634"/>
      <c r="AH185" s="2634"/>
      <c r="AI185" s="2632"/>
      <c r="AJ185" s="2634"/>
      <c r="AK185" s="2659"/>
      <c r="AL185" s="2634"/>
      <c r="AM185" s="2634"/>
      <c r="AN185" s="2634"/>
      <c r="AO185" s="2634"/>
      <c r="AP185" s="2632"/>
      <c r="AQ185" s="2634"/>
      <c r="AR185" s="2659"/>
      <c r="AS185" s="2634"/>
      <c r="AT185" s="2634"/>
      <c r="AU185" s="2632"/>
      <c r="AV185" s="2634"/>
      <c r="AW185" s="2659"/>
      <c r="AX185" s="2634"/>
      <c r="AY185" s="2634"/>
      <c r="AZ185" s="2632"/>
      <c r="BA185" s="2659"/>
      <c r="BB185" s="2634"/>
      <c r="BC185" s="2634"/>
      <c r="BD185" s="2632"/>
      <c r="BE185" s="2659"/>
      <c r="BF185" s="2634"/>
      <c r="BG185" s="2634"/>
      <c r="BH185" s="2660"/>
      <c r="BI185" s="2632"/>
      <c r="BJ185" s="2659"/>
      <c r="BK185" s="2634"/>
      <c r="BL185" s="2634"/>
      <c r="BM185" s="2660"/>
      <c r="BN185" s="2634"/>
      <c r="BO185" s="2634"/>
      <c r="BP185" s="2632"/>
      <c r="BQ185" s="2634"/>
      <c r="BR185" s="2659"/>
      <c r="BS185" s="2634"/>
      <c r="BT185" s="2634"/>
      <c r="BU185" s="2632"/>
      <c r="BV185" s="2634"/>
      <c r="BW185" s="2634"/>
      <c r="BX185" s="2659"/>
      <c r="BY185" s="2634"/>
      <c r="BZ185" s="2634"/>
      <c r="CA185" s="2634"/>
      <c r="CB185" s="2632"/>
      <c r="CC185" s="2634"/>
      <c r="CD185" s="2659"/>
      <c r="CE185" s="2634"/>
      <c r="CF185" s="2634"/>
      <c r="CG185" s="2632"/>
      <c r="CH185" s="2634"/>
      <c r="CI185" s="2659"/>
      <c r="CJ185" s="2634"/>
      <c r="CK185" s="2634"/>
      <c r="CL185" s="2634"/>
      <c r="CM185" s="2634"/>
      <c r="CN185" s="2632"/>
      <c r="CO185" s="2659"/>
      <c r="CP185" s="2634"/>
      <c r="CQ185" s="2634"/>
      <c r="CR185" s="2632"/>
      <c r="CS185" s="2634"/>
      <c r="CT185" s="2659"/>
      <c r="CU185" s="2634"/>
      <c r="CV185" s="2634"/>
      <c r="CW185" s="2632"/>
      <c r="CX185" s="2634"/>
      <c r="CY185" s="2659"/>
      <c r="CZ185" s="2634"/>
      <c r="DA185" s="2632"/>
      <c r="DB185" s="2634"/>
      <c r="DC185" s="2659"/>
      <c r="DD185" s="2634"/>
      <c r="DE185" s="2633"/>
    </row>
    <row r="186" spans="1:109" ht="12.75" customHeight="1" x14ac:dyDescent="0.2">
      <c r="A186" s="2029">
        <v>186</v>
      </c>
      <c r="B186" s="4995"/>
      <c r="C186" s="1762" t="s">
        <v>8246</v>
      </c>
      <c r="D186" s="1763"/>
      <c r="F186" s="2657">
        <v>46</v>
      </c>
      <c r="G186" s="675" t="s">
        <v>1087</v>
      </c>
      <c r="H186" s="2632"/>
      <c r="I186" s="2634"/>
      <c r="J186" s="2659"/>
      <c r="K186" s="2634"/>
      <c r="L186" s="2634"/>
      <c r="M186" s="2632"/>
      <c r="N186" s="2634"/>
      <c r="O186" s="2659"/>
      <c r="P186" s="2634"/>
      <c r="Q186" s="2634"/>
      <c r="R186" s="2632"/>
      <c r="S186" s="2659"/>
      <c r="T186" s="2634"/>
      <c r="U186" s="2632"/>
      <c r="V186" s="2659"/>
      <c r="W186" s="2634"/>
      <c r="X186" s="2634"/>
      <c r="Y186" s="2632"/>
      <c r="Z186" s="2634"/>
      <c r="AA186" s="2659"/>
      <c r="AB186" s="2696"/>
      <c r="AC186" s="2634"/>
      <c r="AD186" s="2632"/>
      <c r="AE186" s="2659"/>
      <c r="AF186" s="2634"/>
      <c r="AG186" s="2634"/>
      <c r="AH186" s="2634"/>
      <c r="AI186" s="2632"/>
      <c r="AJ186" s="2634"/>
      <c r="AK186" s="2659"/>
      <c r="AL186" s="2634"/>
      <c r="AM186" s="2634"/>
      <c r="AN186" s="2634"/>
      <c r="AO186" s="2634"/>
      <c r="AP186" s="2632"/>
      <c r="AQ186" s="2634"/>
      <c r="AR186" s="2659"/>
      <c r="AS186" s="2634"/>
      <c r="AT186" s="2634"/>
      <c r="AU186" s="2632"/>
      <c r="AV186" s="2634"/>
      <c r="AW186" s="2659"/>
      <c r="AX186" s="2634"/>
      <c r="AY186" s="2634"/>
      <c r="AZ186" s="2632"/>
      <c r="BA186" s="2659"/>
      <c r="BB186" s="2634"/>
      <c r="BC186" s="2634"/>
      <c r="BD186" s="2632"/>
      <c r="BE186" s="2659"/>
      <c r="BF186" s="2634"/>
      <c r="BG186" s="2634"/>
      <c r="BH186" s="2660"/>
      <c r="BI186" s="2632"/>
      <c r="BJ186" s="2659"/>
      <c r="BK186" s="2634"/>
      <c r="BL186" s="2634"/>
      <c r="BM186" s="2660"/>
      <c r="BN186" s="2634"/>
      <c r="BO186" s="2634"/>
      <c r="BP186" s="2632"/>
      <c r="BQ186" s="2634"/>
      <c r="BR186" s="2659"/>
      <c r="BS186" s="2634"/>
      <c r="BT186" s="2634"/>
      <c r="BU186" s="2632"/>
      <c r="BV186" s="2634"/>
      <c r="BW186" s="2634"/>
      <c r="BX186" s="2659"/>
      <c r="BY186" s="2634"/>
      <c r="BZ186" s="2634"/>
      <c r="CA186" s="2634"/>
      <c r="CB186" s="2632"/>
      <c r="CC186" s="2634"/>
      <c r="CD186" s="2659"/>
      <c r="CE186" s="2634"/>
      <c r="CF186" s="2634"/>
      <c r="CG186" s="2632"/>
      <c r="CH186" s="2634"/>
      <c r="CI186" s="2659"/>
      <c r="CJ186" s="2634"/>
      <c r="CK186" s="2634"/>
      <c r="CL186" s="2634"/>
      <c r="CM186" s="2634"/>
      <c r="CN186" s="2632"/>
      <c r="CO186" s="2659"/>
      <c r="CP186" s="2634"/>
      <c r="CQ186" s="2634"/>
      <c r="CR186" s="2632"/>
      <c r="CS186" s="2634"/>
      <c r="CT186" s="2659"/>
      <c r="CU186" s="2634"/>
      <c r="CV186" s="2634"/>
      <c r="CW186" s="2632"/>
      <c r="CX186" s="2634"/>
      <c r="CY186" s="2659"/>
      <c r="CZ186" s="2634"/>
      <c r="DA186" s="2632"/>
      <c r="DB186" s="2634"/>
      <c r="DC186" s="2659"/>
      <c r="DD186" s="2634"/>
      <c r="DE186" s="2633"/>
    </row>
    <row r="187" spans="1:109" ht="12.75" customHeight="1" x14ac:dyDescent="0.2">
      <c r="A187" s="2029">
        <v>187</v>
      </c>
      <c r="B187" s="4995"/>
      <c r="C187" s="1762" t="s">
        <v>8247</v>
      </c>
      <c r="D187" s="1763"/>
      <c r="F187" s="2657">
        <v>47</v>
      </c>
      <c r="G187" s="675" t="s">
        <v>1787</v>
      </c>
      <c r="H187" s="2632"/>
      <c r="I187" s="2634"/>
      <c r="J187" s="2659"/>
      <c r="K187" s="2634"/>
      <c r="L187" s="2634"/>
      <c r="M187" s="2632"/>
      <c r="N187" s="2634"/>
      <c r="O187" s="2659"/>
      <c r="P187" s="2634"/>
      <c r="Q187" s="2634"/>
      <c r="R187" s="2632"/>
      <c r="S187" s="2659">
        <v>30</v>
      </c>
      <c r="T187" s="2634"/>
      <c r="U187" s="2632"/>
      <c r="V187" s="2659"/>
      <c r="W187" s="2634"/>
      <c r="X187" s="2634"/>
      <c r="Y187" s="2632"/>
      <c r="Z187" s="2634"/>
      <c r="AA187" s="2659"/>
      <c r="AB187" s="2696"/>
      <c r="AC187" s="2634"/>
      <c r="AD187" s="2632"/>
      <c r="AE187" s="2659"/>
      <c r="AF187" s="2634"/>
      <c r="AG187" s="2634"/>
      <c r="AH187" s="2634"/>
      <c r="AI187" s="2632"/>
      <c r="AJ187" s="2634"/>
      <c r="AK187" s="2659"/>
      <c r="AL187" s="2634"/>
      <c r="AM187" s="2634"/>
      <c r="AN187" s="2634"/>
      <c r="AO187" s="2634"/>
      <c r="AP187" s="2632"/>
      <c r="AQ187" s="2634"/>
      <c r="AR187" s="2659"/>
      <c r="AS187" s="2634"/>
      <c r="AT187" s="2634"/>
      <c r="AU187" s="2632"/>
      <c r="AV187" s="2634"/>
      <c r="AW187" s="2659"/>
      <c r="AX187" s="2634"/>
      <c r="AY187" s="2634"/>
      <c r="AZ187" s="2632"/>
      <c r="BA187" s="2659"/>
      <c r="BB187" s="2634"/>
      <c r="BC187" s="2634"/>
      <c r="BD187" s="2632"/>
      <c r="BE187" s="2659"/>
      <c r="BF187" s="2634"/>
      <c r="BG187" s="2634"/>
      <c r="BH187" s="2660"/>
      <c r="BI187" s="2632"/>
      <c r="BJ187" s="2659"/>
      <c r="BK187" s="2634"/>
      <c r="BL187" s="2634"/>
      <c r="BM187" s="2660"/>
      <c r="BN187" s="2634"/>
      <c r="BO187" s="2634"/>
      <c r="BP187" s="2632"/>
      <c r="BQ187" s="2634">
        <v>20</v>
      </c>
      <c r="BR187" s="2659"/>
      <c r="BS187" s="2634"/>
      <c r="BT187" s="2634"/>
      <c r="BU187" s="2632"/>
      <c r="BV187" s="2634"/>
      <c r="BW187" s="2634"/>
      <c r="BX187" s="2659"/>
      <c r="BY187" s="2634"/>
      <c r="BZ187" s="2634"/>
      <c r="CA187" s="2634"/>
      <c r="CB187" s="2632"/>
      <c r="CC187" s="2634"/>
      <c r="CD187" s="2659"/>
      <c r="CE187" s="2634"/>
      <c r="CF187" s="2634"/>
      <c r="CG187" s="2632"/>
      <c r="CH187" s="2634"/>
      <c r="CI187" s="2659"/>
      <c r="CJ187" s="2634"/>
      <c r="CK187" s="2634"/>
      <c r="CL187" s="2634"/>
      <c r="CM187" s="2634"/>
      <c r="CN187" s="2632"/>
      <c r="CO187" s="2659"/>
      <c r="CP187" s="2634"/>
      <c r="CQ187" s="2634"/>
      <c r="CR187" s="2632"/>
      <c r="CS187" s="2634">
        <v>20</v>
      </c>
      <c r="CT187" s="2659">
        <v>20</v>
      </c>
      <c r="CU187" s="2634"/>
      <c r="CV187" s="2634"/>
      <c r="CW187" s="2632"/>
      <c r="CX187" s="2634"/>
      <c r="CY187" s="2659"/>
      <c r="CZ187" s="2634"/>
      <c r="DA187" s="2632"/>
      <c r="DB187" s="2634"/>
      <c r="DC187" s="2659"/>
      <c r="DD187" s="2634"/>
      <c r="DE187" s="2633"/>
    </row>
    <row r="188" spans="1:109" ht="12.75" customHeight="1" x14ac:dyDescent="0.2">
      <c r="A188" s="2029">
        <v>188</v>
      </c>
      <c r="B188" s="4995"/>
      <c r="C188" s="1762" t="s">
        <v>8248</v>
      </c>
      <c r="D188" s="1763"/>
      <c r="F188" s="2657">
        <v>48</v>
      </c>
      <c r="G188" s="675" t="s">
        <v>1790</v>
      </c>
      <c r="H188" s="2632">
        <v>20</v>
      </c>
      <c r="I188" s="2634"/>
      <c r="J188" s="2659"/>
      <c r="K188" s="2634"/>
      <c r="L188" s="2634"/>
      <c r="M188" s="2632"/>
      <c r="N188" s="2634"/>
      <c r="O188" s="2659"/>
      <c r="P188" s="2634"/>
      <c r="Q188" s="2634"/>
      <c r="R188" s="2632"/>
      <c r="S188" s="2659"/>
      <c r="T188" s="2634"/>
      <c r="U188" s="2632"/>
      <c r="V188" s="2659"/>
      <c r="W188" s="2634"/>
      <c r="X188" s="2634"/>
      <c r="Y188" s="2632">
        <v>20</v>
      </c>
      <c r="Z188" s="2634"/>
      <c r="AA188" s="2659"/>
      <c r="AB188" s="2696"/>
      <c r="AC188" s="2634"/>
      <c r="AD188" s="2632"/>
      <c r="AE188" s="2659"/>
      <c r="AF188" s="2634"/>
      <c r="AG188" s="2634"/>
      <c r="AH188" s="2634"/>
      <c r="AI188" s="2632"/>
      <c r="AJ188" s="2634"/>
      <c r="AK188" s="2659"/>
      <c r="AL188" s="2634"/>
      <c r="AM188" s="2634"/>
      <c r="AN188" s="2634"/>
      <c r="AO188" s="2634"/>
      <c r="AP188" s="2632"/>
      <c r="AQ188" s="2634"/>
      <c r="AR188" s="2659"/>
      <c r="AS188" s="2634"/>
      <c r="AT188" s="2634"/>
      <c r="AU188" s="2632"/>
      <c r="AV188" s="2634"/>
      <c r="AW188" s="2659"/>
      <c r="AX188" s="2634"/>
      <c r="AY188" s="2634"/>
      <c r="AZ188" s="2632"/>
      <c r="BA188" s="2659"/>
      <c r="BB188" s="2634"/>
      <c r="BC188" s="2634"/>
      <c r="BD188" s="2632"/>
      <c r="BE188" s="2659"/>
      <c r="BF188" s="2634"/>
      <c r="BG188" s="2634"/>
      <c r="BH188" s="2660"/>
      <c r="BI188" s="2632"/>
      <c r="BJ188" s="2659"/>
      <c r="BK188" s="2634"/>
      <c r="BL188" s="2634"/>
      <c r="BM188" s="2660"/>
      <c r="BN188" s="2634"/>
      <c r="BO188" s="2634"/>
      <c r="BP188" s="2632"/>
      <c r="BQ188" s="2634"/>
      <c r="BR188" s="2659"/>
      <c r="BS188" s="2634"/>
      <c r="BT188" s="2634"/>
      <c r="BU188" s="2632"/>
      <c r="BV188" s="2634"/>
      <c r="BW188" s="2634"/>
      <c r="BX188" s="2659"/>
      <c r="BY188" s="2634"/>
      <c r="BZ188" s="2634"/>
      <c r="CA188" s="2634"/>
      <c r="CB188" s="2632"/>
      <c r="CC188" s="2634"/>
      <c r="CD188" s="2659"/>
      <c r="CE188" s="2634"/>
      <c r="CF188" s="2634"/>
      <c r="CG188" s="2632"/>
      <c r="CH188" s="2634"/>
      <c r="CI188" s="2659"/>
      <c r="CJ188" s="2634"/>
      <c r="CK188" s="2634"/>
      <c r="CL188" s="2634"/>
      <c r="CM188" s="2634"/>
      <c r="CN188" s="2632"/>
      <c r="CO188" s="2659"/>
      <c r="CP188" s="2634"/>
      <c r="CQ188" s="2634"/>
      <c r="CR188" s="2632">
        <v>20</v>
      </c>
      <c r="CS188" s="2634"/>
      <c r="CT188" s="2659"/>
      <c r="CU188" s="2634"/>
      <c r="CV188" s="2634"/>
      <c r="CW188" s="2632"/>
      <c r="CX188" s="2634"/>
      <c r="CY188" s="2659"/>
      <c r="CZ188" s="2634"/>
      <c r="DA188" s="2632"/>
      <c r="DB188" s="2634"/>
      <c r="DC188" s="2659"/>
      <c r="DD188" s="2634"/>
      <c r="DE188" s="2633"/>
    </row>
    <row r="189" spans="1:109" ht="12.75" customHeight="1" x14ac:dyDescent="0.2">
      <c r="A189" s="2029">
        <v>189</v>
      </c>
      <c r="B189" s="4995"/>
      <c r="C189" s="1762" t="s">
        <v>8314</v>
      </c>
      <c r="D189" s="1763"/>
      <c r="F189" s="2657">
        <v>49</v>
      </c>
      <c r="G189" s="675" t="s">
        <v>8230</v>
      </c>
      <c r="H189" s="2632"/>
      <c r="I189" s="2634"/>
      <c r="J189" s="2659"/>
      <c r="K189" s="2634"/>
      <c r="L189" s="2634"/>
      <c r="M189" s="2632"/>
      <c r="N189" s="2634"/>
      <c r="O189" s="2659"/>
      <c r="P189" s="2634"/>
      <c r="Q189" s="2634"/>
      <c r="R189" s="2632"/>
      <c r="S189" s="2659"/>
      <c r="T189" s="2634"/>
      <c r="U189" s="2632"/>
      <c r="V189" s="2659"/>
      <c r="W189" s="2634"/>
      <c r="X189" s="2634"/>
      <c r="Y189" s="2632"/>
      <c r="Z189" s="2634"/>
      <c r="AA189" s="2659"/>
      <c r="AB189" s="2696"/>
      <c r="AC189" s="2634"/>
      <c r="AD189" s="2632"/>
      <c r="AE189" s="2659"/>
      <c r="AF189" s="2634"/>
      <c r="AG189" s="2634"/>
      <c r="AH189" s="2634"/>
      <c r="AI189" s="2632"/>
      <c r="AJ189" s="2634"/>
      <c r="AK189" s="2659"/>
      <c r="AL189" s="2634"/>
      <c r="AM189" s="2634"/>
      <c r="AN189" s="2634"/>
      <c r="AO189" s="2634"/>
      <c r="AP189" s="2632"/>
      <c r="AQ189" s="2634"/>
      <c r="AR189" s="2659"/>
      <c r="AS189" s="2634"/>
      <c r="AT189" s="2634"/>
      <c r="AU189" s="2632"/>
      <c r="AV189" s="2634"/>
      <c r="AW189" s="2659"/>
      <c r="AX189" s="2634"/>
      <c r="AY189" s="2634"/>
      <c r="AZ189" s="2632"/>
      <c r="BA189" s="2659"/>
      <c r="BB189" s="2634"/>
      <c r="BC189" s="2634"/>
      <c r="BD189" s="2632"/>
      <c r="BE189" s="2659"/>
      <c r="BF189" s="2634"/>
      <c r="BG189" s="2634"/>
      <c r="BH189" s="2660"/>
      <c r="BI189" s="2632"/>
      <c r="BJ189" s="2659"/>
      <c r="BK189" s="2634"/>
      <c r="BL189" s="2634"/>
      <c r="BM189" s="2660"/>
      <c r="BN189" s="2634"/>
      <c r="BO189" s="2634"/>
      <c r="BP189" s="2632"/>
      <c r="BQ189" s="2634"/>
      <c r="BR189" s="2659"/>
      <c r="BS189" s="2634"/>
      <c r="BT189" s="2634"/>
      <c r="BU189" s="2632"/>
      <c r="BV189" s="2634"/>
      <c r="BW189" s="2634"/>
      <c r="BX189" s="2659"/>
      <c r="BY189" s="2634"/>
      <c r="BZ189" s="2634"/>
      <c r="CA189" s="2634"/>
      <c r="CB189" s="2632"/>
      <c r="CC189" s="2634"/>
      <c r="CD189" s="2659"/>
      <c r="CE189" s="2634"/>
      <c r="CF189" s="2634"/>
      <c r="CG189" s="2632"/>
      <c r="CH189" s="2634"/>
      <c r="CI189" s="2659"/>
      <c r="CJ189" s="2634"/>
      <c r="CK189" s="2634"/>
      <c r="CL189" s="2634"/>
      <c r="CM189" s="2634"/>
      <c r="CN189" s="2632"/>
      <c r="CO189" s="2659"/>
      <c r="CP189" s="2634"/>
      <c r="CQ189" s="2634"/>
      <c r="CR189" s="2632"/>
      <c r="CS189" s="2634"/>
      <c r="CT189" s="2659"/>
      <c r="CU189" s="2634"/>
      <c r="CV189" s="2634"/>
      <c r="CW189" s="2632"/>
      <c r="CX189" s="2634"/>
      <c r="CY189" s="2659"/>
      <c r="CZ189" s="2634"/>
      <c r="DA189" s="2632"/>
      <c r="DB189" s="2634"/>
      <c r="DC189" s="2659"/>
      <c r="DD189" s="2634"/>
      <c r="DE189" s="2633"/>
    </row>
    <row r="190" spans="1:109" ht="12.75" customHeight="1" x14ac:dyDescent="0.2">
      <c r="A190" s="2029">
        <v>190</v>
      </c>
      <c r="B190" s="4995"/>
      <c r="C190" s="1762" t="s">
        <v>8249</v>
      </c>
      <c r="D190" s="1763"/>
      <c r="F190" s="2657">
        <v>50</v>
      </c>
      <c r="G190" s="675" t="s">
        <v>8231</v>
      </c>
      <c r="H190" s="2632"/>
      <c r="I190" s="2634"/>
      <c r="J190" s="2659"/>
      <c r="K190" s="2634"/>
      <c r="L190" s="2634"/>
      <c r="M190" s="2632"/>
      <c r="N190" s="2634"/>
      <c r="O190" s="2659"/>
      <c r="P190" s="2634"/>
      <c r="Q190" s="2634"/>
      <c r="R190" s="2632"/>
      <c r="S190" s="2659"/>
      <c r="T190" s="2634"/>
      <c r="U190" s="2632"/>
      <c r="V190" s="2659"/>
      <c r="W190" s="2634"/>
      <c r="X190" s="2634"/>
      <c r="Y190" s="2632"/>
      <c r="Z190" s="2634"/>
      <c r="AA190" s="2659"/>
      <c r="AB190" s="2696"/>
      <c r="AC190" s="2634"/>
      <c r="AD190" s="2632"/>
      <c r="AE190" s="2659"/>
      <c r="AF190" s="2634"/>
      <c r="AG190" s="2634"/>
      <c r="AH190" s="2634"/>
      <c r="AI190" s="2632"/>
      <c r="AJ190" s="2634"/>
      <c r="AK190" s="2659"/>
      <c r="AL190" s="2634"/>
      <c r="AM190" s="2634"/>
      <c r="AN190" s="2634"/>
      <c r="AO190" s="2634"/>
      <c r="AP190" s="2632"/>
      <c r="AQ190" s="2634"/>
      <c r="AR190" s="2659"/>
      <c r="AS190" s="2634"/>
      <c r="AT190" s="2634"/>
      <c r="AU190" s="2632"/>
      <c r="AV190" s="2634"/>
      <c r="AW190" s="2659"/>
      <c r="AX190" s="2634"/>
      <c r="AY190" s="2634"/>
      <c r="AZ190" s="2632"/>
      <c r="BA190" s="2659"/>
      <c r="BB190" s="2634"/>
      <c r="BC190" s="2634"/>
      <c r="BD190" s="2632"/>
      <c r="BE190" s="2659"/>
      <c r="BF190" s="2634"/>
      <c r="BG190" s="2634"/>
      <c r="BH190" s="2660"/>
      <c r="BI190" s="2632"/>
      <c r="BJ190" s="2659"/>
      <c r="BK190" s="2634"/>
      <c r="BL190" s="2634"/>
      <c r="BM190" s="2660"/>
      <c r="BN190" s="2634"/>
      <c r="BO190" s="2634"/>
      <c r="BP190" s="2632"/>
      <c r="BQ190" s="2634"/>
      <c r="BR190" s="2659"/>
      <c r="BS190" s="2634"/>
      <c r="BT190" s="2634"/>
      <c r="BU190" s="2632"/>
      <c r="BV190" s="2634"/>
      <c r="BW190" s="2634"/>
      <c r="BX190" s="2659"/>
      <c r="BY190" s="2634"/>
      <c r="BZ190" s="2634"/>
      <c r="CA190" s="2634"/>
      <c r="CB190" s="2632"/>
      <c r="CC190" s="2634"/>
      <c r="CD190" s="2659"/>
      <c r="CE190" s="2634"/>
      <c r="CF190" s="2634"/>
      <c r="CG190" s="2632"/>
      <c r="CH190" s="2634"/>
      <c r="CI190" s="2659"/>
      <c r="CJ190" s="2634"/>
      <c r="CK190" s="2634"/>
      <c r="CL190" s="2634"/>
      <c r="CM190" s="2634"/>
      <c r="CN190" s="2632"/>
      <c r="CO190" s="2659"/>
      <c r="CP190" s="2634"/>
      <c r="CQ190" s="2634"/>
      <c r="CR190" s="2632"/>
      <c r="CS190" s="2634"/>
      <c r="CT190" s="2659"/>
      <c r="CU190" s="2634"/>
      <c r="CV190" s="2634"/>
      <c r="CW190" s="2632"/>
      <c r="CX190" s="2634"/>
      <c r="CY190" s="2659"/>
      <c r="CZ190" s="2634"/>
      <c r="DA190" s="2632"/>
      <c r="DB190" s="2634"/>
      <c r="DC190" s="2659"/>
      <c r="DD190" s="2634"/>
      <c r="DE190" s="2633"/>
    </row>
    <row r="191" spans="1:109" ht="12.75" customHeight="1" x14ac:dyDescent="0.2">
      <c r="A191" s="2029">
        <v>191</v>
      </c>
      <c r="B191" s="4995"/>
      <c r="C191" s="1762" t="s">
        <v>8250</v>
      </c>
      <c r="D191" s="1763"/>
      <c r="F191" s="2657">
        <v>51</v>
      </c>
      <c r="G191" s="675" t="s">
        <v>8232</v>
      </c>
      <c r="H191" s="2632"/>
      <c r="I191" s="2634"/>
      <c r="J191" s="2659"/>
      <c r="K191" s="2634"/>
      <c r="L191" s="2634"/>
      <c r="M191" s="2632"/>
      <c r="N191" s="2634"/>
      <c r="O191" s="2659"/>
      <c r="P191" s="2634"/>
      <c r="Q191" s="2634"/>
      <c r="R191" s="2632"/>
      <c r="S191" s="2659"/>
      <c r="T191" s="2634"/>
      <c r="U191" s="2632"/>
      <c r="V191" s="2659"/>
      <c r="W191" s="2634"/>
      <c r="X191" s="2634"/>
      <c r="Y191" s="2632"/>
      <c r="Z191" s="2634"/>
      <c r="AA191" s="2659"/>
      <c r="AB191" s="2696"/>
      <c r="AC191" s="2634"/>
      <c r="AD191" s="2632"/>
      <c r="AE191" s="2659"/>
      <c r="AF191" s="2634"/>
      <c r="AG191" s="2634"/>
      <c r="AH191" s="2634"/>
      <c r="AI191" s="2632"/>
      <c r="AJ191" s="2634"/>
      <c r="AK191" s="2659"/>
      <c r="AL191" s="2634"/>
      <c r="AM191" s="2634"/>
      <c r="AN191" s="2634"/>
      <c r="AO191" s="2634"/>
      <c r="AP191" s="2632"/>
      <c r="AQ191" s="2634"/>
      <c r="AR191" s="2659"/>
      <c r="AS191" s="2634"/>
      <c r="AT191" s="2634"/>
      <c r="AU191" s="2632"/>
      <c r="AV191" s="2634"/>
      <c r="AW191" s="2659"/>
      <c r="AX191" s="2634"/>
      <c r="AY191" s="2634"/>
      <c r="AZ191" s="2632"/>
      <c r="BA191" s="2659"/>
      <c r="BB191" s="2634"/>
      <c r="BC191" s="2634"/>
      <c r="BD191" s="2632"/>
      <c r="BE191" s="2659"/>
      <c r="BF191" s="2634"/>
      <c r="BG191" s="2634"/>
      <c r="BH191" s="2660"/>
      <c r="BI191" s="2632"/>
      <c r="BJ191" s="2659"/>
      <c r="BK191" s="2634"/>
      <c r="BL191" s="2634"/>
      <c r="BM191" s="2660"/>
      <c r="BN191" s="2634"/>
      <c r="BO191" s="2634"/>
      <c r="BP191" s="2632"/>
      <c r="BQ191" s="2634"/>
      <c r="BR191" s="2659"/>
      <c r="BS191" s="2634"/>
      <c r="BT191" s="2634"/>
      <c r="BU191" s="2632"/>
      <c r="BV191" s="2634"/>
      <c r="BW191" s="2634"/>
      <c r="BX191" s="2659"/>
      <c r="BY191" s="2634"/>
      <c r="BZ191" s="2634"/>
      <c r="CA191" s="2634"/>
      <c r="CB191" s="2632"/>
      <c r="CC191" s="2634"/>
      <c r="CD191" s="2659"/>
      <c r="CE191" s="2634"/>
      <c r="CF191" s="2634"/>
      <c r="CG191" s="2632"/>
      <c r="CH191" s="2634"/>
      <c r="CI191" s="2659"/>
      <c r="CJ191" s="2634"/>
      <c r="CK191" s="2634"/>
      <c r="CL191" s="2634"/>
      <c r="CM191" s="2634"/>
      <c r="CN191" s="2632"/>
      <c r="CO191" s="2659"/>
      <c r="CP191" s="2634"/>
      <c r="CQ191" s="2634"/>
      <c r="CR191" s="2632"/>
      <c r="CS191" s="2634"/>
      <c r="CT191" s="2659"/>
      <c r="CU191" s="2634"/>
      <c r="CV191" s="2634"/>
      <c r="CW191" s="2632"/>
      <c r="CX191" s="2634"/>
      <c r="CY191" s="2659"/>
      <c r="CZ191" s="2634"/>
      <c r="DA191" s="2632"/>
      <c r="DB191" s="2634"/>
      <c r="DC191" s="2659"/>
      <c r="DD191" s="2634"/>
      <c r="DE191" s="2633"/>
    </row>
    <row r="192" spans="1:109" ht="12.75" customHeight="1" x14ac:dyDescent="0.2">
      <c r="A192" s="2029">
        <v>192</v>
      </c>
      <c r="B192" s="4995"/>
      <c r="C192" s="1762" t="s">
        <v>8251</v>
      </c>
      <c r="D192" s="1763"/>
      <c r="F192" s="2657">
        <v>52</v>
      </c>
      <c r="G192" s="675" t="s">
        <v>8233</v>
      </c>
      <c r="H192" s="2632"/>
      <c r="I192" s="2634"/>
      <c r="J192" s="2659"/>
      <c r="K192" s="2634"/>
      <c r="L192" s="2634"/>
      <c r="M192" s="2632"/>
      <c r="N192" s="2634"/>
      <c r="O192" s="2659"/>
      <c r="P192" s="2634"/>
      <c r="Q192" s="2634"/>
      <c r="R192" s="2632"/>
      <c r="S192" s="2659"/>
      <c r="T192" s="2634"/>
      <c r="U192" s="2632"/>
      <c r="V192" s="2659"/>
      <c r="W192" s="2634"/>
      <c r="X192" s="2634"/>
      <c r="Y192" s="2632"/>
      <c r="Z192" s="2634"/>
      <c r="AA192" s="2659"/>
      <c r="AB192" s="2696"/>
      <c r="AC192" s="2634"/>
      <c r="AD192" s="2632"/>
      <c r="AE192" s="2659"/>
      <c r="AF192" s="2634"/>
      <c r="AG192" s="2634"/>
      <c r="AH192" s="2634"/>
      <c r="AI192" s="2632"/>
      <c r="AJ192" s="2634"/>
      <c r="AK192" s="2659"/>
      <c r="AL192" s="2634"/>
      <c r="AM192" s="2634"/>
      <c r="AN192" s="2634"/>
      <c r="AO192" s="2634"/>
      <c r="AP192" s="2632"/>
      <c r="AQ192" s="2634"/>
      <c r="AR192" s="2659"/>
      <c r="AS192" s="2634"/>
      <c r="AT192" s="2634"/>
      <c r="AU192" s="2632"/>
      <c r="AV192" s="2634"/>
      <c r="AW192" s="2659"/>
      <c r="AX192" s="2634"/>
      <c r="AY192" s="2634"/>
      <c r="AZ192" s="2632"/>
      <c r="BA192" s="2659"/>
      <c r="BB192" s="2634"/>
      <c r="BC192" s="2634"/>
      <c r="BD192" s="2632"/>
      <c r="BE192" s="2659"/>
      <c r="BF192" s="2634"/>
      <c r="BG192" s="2634"/>
      <c r="BH192" s="2660"/>
      <c r="BI192" s="2632"/>
      <c r="BJ192" s="2659"/>
      <c r="BK192" s="2634"/>
      <c r="BL192" s="2634"/>
      <c r="BM192" s="2660"/>
      <c r="BN192" s="2634"/>
      <c r="BO192" s="2634"/>
      <c r="BP192" s="2632"/>
      <c r="BQ192" s="2634"/>
      <c r="BR192" s="2659"/>
      <c r="BS192" s="2634"/>
      <c r="BT192" s="2634"/>
      <c r="BU192" s="2632"/>
      <c r="BV192" s="2634"/>
      <c r="BW192" s="2634"/>
      <c r="BX192" s="2659"/>
      <c r="BY192" s="2634"/>
      <c r="BZ192" s="2634"/>
      <c r="CA192" s="2634"/>
      <c r="CB192" s="2632"/>
      <c r="CC192" s="2634"/>
      <c r="CD192" s="2659"/>
      <c r="CE192" s="2634"/>
      <c r="CF192" s="2634"/>
      <c r="CG192" s="2632"/>
      <c r="CH192" s="2634"/>
      <c r="CI192" s="2659"/>
      <c r="CJ192" s="2634"/>
      <c r="CK192" s="2634"/>
      <c r="CL192" s="2634"/>
      <c r="CM192" s="2634"/>
      <c r="CN192" s="2632"/>
      <c r="CO192" s="2659"/>
      <c r="CP192" s="2634"/>
      <c r="CQ192" s="2634"/>
      <c r="CR192" s="2632"/>
      <c r="CS192" s="2634"/>
      <c r="CT192" s="2659"/>
      <c r="CU192" s="2634"/>
      <c r="CV192" s="2634"/>
      <c r="CW192" s="2632"/>
      <c r="CX192" s="2634"/>
      <c r="CY192" s="2659"/>
      <c r="CZ192" s="2634"/>
      <c r="DA192" s="2632"/>
      <c r="DB192" s="2634"/>
      <c r="DC192" s="2659"/>
      <c r="DD192" s="2634"/>
      <c r="DE192" s="2633"/>
    </row>
    <row r="193" spans="1:109" ht="12.75" customHeight="1" thickBot="1" x14ac:dyDescent="0.25">
      <c r="A193" s="2029">
        <v>193</v>
      </c>
      <c r="B193" s="4995"/>
      <c r="C193" s="1764" t="s">
        <v>8252</v>
      </c>
      <c r="D193" s="1765"/>
      <c r="F193" s="2657">
        <v>53</v>
      </c>
      <c r="G193" s="1791"/>
      <c r="H193" s="2632"/>
      <c r="I193" s="2634"/>
      <c r="J193" s="2659" t="s">
        <v>8332</v>
      </c>
      <c r="K193" s="2634"/>
      <c r="L193" s="2634" t="s">
        <v>8332</v>
      </c>
      <c r="M193" s="2632"/>
      <c r="N193" s="2634"/>
      <c r="O193" s="2659"/>
      <c r="P193" s="2634"/>
      <c r="Q193" s="2634"/>
      <c r="R193" s="2632"/>
      <c r="S193" s="2659"/>
      <c r="T193" s="2634"/>
      <c r="U193" s="2632"/>
      <c r="V193" s="2659"/>
      <c r="W193" s="2634"/>
      <c r="X193" s="2634"/>
      <c r="Y193" s="2632"/>
      <c r="Z193" s="2634"/>
      <c r="AA193" s="2659"/>
      <c r="AB193" s="2696"/>
      <c r="AC193" s="2634"/>
      <c r="AD193" s="2632"/>
      <c r="AE193" s="2659"/>
      <c r="AF193" s="2634"/>
      <c r="AG193" s="2634"/>
      <c r="AH193" s="2634" t="s">
        <v>8334</v>
      </c>
      <c r="AI193" s="2632"/>
      <c r="AJ193" s="2634"/>
      <c r="AK193" s="2659"/>
      <c r="AL193" s="2634"/>
      <c r="AM193" s="2634"/>
      <c r="AN193" s="2634"/>
      <c r="AO193" s="2634"/>
      <c r="AP193" s="2632"/>
      <c r="AQ193" s="2634"/>
      <c r="AR193" s="2659"/>
      <c r="AS193" s="2634"/>
      <c r="AT193" s="2634"/>
      <c r="AU193" s="2632"/>
      <c r="AV193" s="2634" t="s">
        <v>8336</v>
      </c>
      <c r="AW193" s="2659" t="s">
        <v>8336</v>
      </c>
      <c r="AX193" s="2634"/>
      <c r="AY193" s="2634" t="s">
        <v>8336</v>
      </c>
      <c r="AZ193" s="2632"/>
      <c r="BA193" s="2659"/>
      <c r="BB193" s="2634"/>
      <c r="BC193" s="2634"/>
      <c r="BD193" s="2632"/>
      <c r="BE193" s="2659"/>
      <c r="BF193" s="2634"/>
      <c r="BG193" s="2634"/>
      <c r="BH193" s="2660"/>
      <c r="BI193" s="2632"/>
      <c r="BJ193" s="2659"/>
      <c r="BK193" s="2634"/>
      <c r="BL193" s="2634" t="s">
        <v>8332</v>
      </c>
      <c r="BM193" s="2660"/>
      <c r="BN193" s="2634"/>
      <c r="BO193" s="2634"/>
      <c r="BP193" s="2632"/>
      <c r="BQ193" s="2634"/>
      <c r="BR193" s="2659"/>
      <c r="BS193" s="2634"/>
      <c r="BT193" s="2634" t="s">
        <v>8336</v>
      </c>
      <c r="BU193" s="2632"/>
      <c r="BV193" s="2634"/>
      <c r="BW193" s="2634"/>
      <c r="BX193" s="2659" t="s">
        <v>8332</v>
      </c>
      <c r="BY193" s="2634"/>
      <c r="BZ193" s="2634"/>
      <c r="CA193" s="2634"/>
      <c r="CB193" s="2632"/>
      <c r="CC193" s="2634"/>
      <c r="CD193" s="2659"/>
      <c r="CE193" s="2634"/>
      <c r="CF193" s="2634"/>
      <c r="CG193" s="2632"/>
      <c r="CH193" s="2634"/>
      <c r="CI193" s="2659"/>
      <c r="CJ193" s="2634"/>
      <c r="CK193" s="2634" t="s">
        <v>8300</v>
      </c>
      <c r="CL193" s="2634"/>
      <c r="CM193" s="2634" t="s">
        <v>8300</v>
      </c>
      <c r="CN193" s="2632"/>
      <c r="CO193" s="2659"/>
      <c r="CP193" s="2634"/>
      <c r="CQ193" s="2634"/>
      <c r="CR193" s="2632"/>
      <c r="CS193" s="2634"/>
      <c r="CT193" s="2659"/>
      <c r="CU193" s="2634"/>
      <c r="CV193" s="2634"/>
      <c r="CW193" s="2632"/>
      <c r="CX193" s="2634"/>
      <c r="CY193" s="2659"/>
      <c r="CZ193" s="2634"/>
      <c r="DA193" s="2632"/>
      <c r="DB193" s="2634"/>
      <c r="DC193" s="2659" t="s">
        <v>8332</v>
      </c>
      <c r="DD193" s="2634"/>
      <c r="DE193" s="2633"/>
    </row>
    <row r="194" spans="1:109" ht="12.75" customHeight="1" x14ac:dyDescent="0.2">
      <c r="A194" s="2029">
        <v>194</v>
      </c>
      <c r="B194" s="4995"/>
      <c r="F194" s="2657">
        <v>54</v>
      </c>
      <c r="G194" s="675"/>
      <c r="H194" s="2632"/>
      <c r="I194" s="2634"/>
      <c r="J194" s="2659" t="s">
        <v>8333</v>
      </c>
      <c r="K194" s="2634"/>
      <c r="L194" s="2634" t="s">
        <v>8333</v>
      </c>
      <c r="M194" s="2632"/>
      <c r="N194" s="2634"/>
      <c r="O194" s="2659"/>
      <c r="P194" s="2634"/>
      <c r="Q194" s="2634"/>
      <c r="R194" s="2632"/>
      <c r="S194" s="2659"/>
      <c r="T194" s="2634"/>
      <c r="U194" s="2632"/>
      <c r="V194" s="2659"/>
      <c r="W194" s="2634"/>
      <c r="X194" s="2634"/>
      <c r="Y194" s="2632"/>
      <c r="Z194" s="2634"/>
      <c r="AA194" s="2659"/>
      <c r="AB194" s="2696"/>
      <c r="AC194" s="2634"/>
      <c r="AD194" s="2632"/>
      <c r="AE194" s="2659"/>
      <c r="AF194" s="2634"/>
      <c r="AG194" s="2634"/>
      <c r="AH194" s="2634" t="s">
        <v>8332</v>
      </c>
      <c r="AI194" s="2632"/>
      <c r="AJ194" s="2634"/>
      <c r="AK194" s="2659"/>
      <c r="AL194" s="2634"/>
      <c r="AM194" s="2634"/>
      <c r="AN194" s="2634"/>
      <c r="AO194" s="2634"/>
      <c r="AP194" s="2632"/>
      <c r="AQ194" s="2634"/>
      <c r="AR194" s="2659"/>
      <c r="AS194" s="2634"/>
      <c r="AT194" s="2634"/>
      <c r="AU194" s="2632"/>
      <c r="AV194" s="2634" t="s">
        <v>8335</v>
      </c>
      <c r="AW194" s="2659" t="s">
        <v>8335</v>
      </c>
      <c r="AX194" s="2634"/>
      <c r="AY194" s="2634" t="s">
        <v>8335</v>
      </c>
      <c r="AZ194" s="2632"/>
      <c r="BA194" s="2659"/>
      <c r="BB194" s="2634"/>
      <c r="BC194" s="2634"/>
      <c r="BD194" s="2632"/>
      <c r="BE194" s="2659"/>
      <c r="BF194" s="2634"/>
      <c r="BG194" s="2634"/>
      <c r="BH194" s="2660"/>
      <c r="BI194" s="2632"/>
      <c r="BJ194" s="2659"/>
      <c r="BK194" s="2634"/>
      <c r="BL194" s="2634" t="s">
        <v>8333</v>
      </c>
      <c r="BM194" s="2660"/>
      <c r="BN194" s="2634"/>
      <c r="BO194" s="2634"/>
      <c r="BP194" s="2632"/>
      <c r="BQ194" s="2634"/>
      <c r="BR194" s="2659"/>
      <c r="BS194" s="2634"/>
      <c r="BT194" s="2634" t="s">
        <v>8335</v>
      </c>
      <c r="BU194" s="2632"/>
      <c r="BV194" s="2634"/>
      <c r="BW194" s="2634"/>
      <c r="BX194" s="2659" t="s">
        <v>8333</v>
      </c>
      <c r="BY194" s="2634"/>
      <c r="BZ194" s="2634"/>
      <c r="CA194" s="2634"/>
      <c r="CB194" s="2632"/>
      <c r="CC194" s="2634"/>
      <c r="CD194" s="2659"/>
      <c r="CE194" s="2634"/>
      <c r="CF194" s="2634"/>
      <c r="CG194" s="2632"/>
      <c r="CH194" s="2634"/>
      <c r="CI194" s="2659"/>
      <c r="CJ194" s="2634"/>
      <c r="CK194" s="2634"/>
      <c r="CL194" s="2634"/>
      <c r="CM194" s="2634"/>
      <c r="CN194" s="2632"/>
      <c r="CO194" s="2659"/>
      <c r="CP194" s="2634"/>
      <c r="CQ194" s="2634"/>
      <c r="CR194" s="2632"/>
      <c r="CS194" s="2634"/>
      <c r="CT194" s="2659"/>
      <c r="CU194" s="2634"/>
      <c r="CV194" s="2634"/>
      <c r="CW194" s="2632"/>
      <c r="CX194" s="2634"/>
      <c r="CY194" s="2659"/>
      <c r="CZ194" s="2634"/>
      <c r="DA194" s="2632"/>
      <c r="DB194" s="2634"/>
      <c r="DC194" s="2659" t="s">
        <v>8333</v>
      </c>
      <c r="DD194" s="2634"/>
      <c r="DE194" s="2633"/>
    </row>
    <row r="195" spans="1:109" ht="12.75" customHeight="1" x14ac:dyDescent="0.2">
      <c r="A195" s="2029">
        <v>195</v>
      </c>
      <c r="B195" s="4995"/>
      <c r="F195" s="2657">
        <v>55</v>
      </c>
      <c r="G195" s="1791"/>
      <c r="H195" s="2632"/>
      <c r="I195" s="2634"/>
      <c r="J195" s="2659"/>
      <c r="K195" s="2634"/>
      <c r="L195" s="2634"/>
      <c r="M195" s="2632"/>
      <c r="N195" s="2634"/>
      <c r="O195" s="2659"/>
      <c r="P195" s="2634"/>
      <c r="Q195" s="2634"/>
      <c r="R195" s="2632"/>
      <c r="S195" s="2659"/>
      <c r="T195" s="2634"/>
      <c r="U195" s="2632"/>
      <c r="V195" s="2659"/>
      <c r="W195" s="2634"/>
      <c r="X195" s="2634"/>
      <c r="Y195" s="2632"/>
      <c r="Z195" s="2634"/>
      <c r="AA195" s="2659"/>
      <c r="AB195" s="2696"/>
      <c r="AC195" s="2634"/>
      <c r="AD195" s="2632"/>
      <c r="AE195" s="2659"/>
      <c r="AF195" s="2634"/>
      <c r="AG195" s="2634"/>
      <c r="AH195" s="2634" t="s">
        <v>8534</v>
      </c>
      <c r="AI195" s="2632"/>
      <c r="AJ195" s="2634"/>
      <c r="AK195" s="2659"/>
      <c r="AL195" s="2634"/>
      <c r="AM195" s="2634"/>
      <c r="AN195" s="2634"/>
      <c r="AO195" s="2634"/>
      <c r="AP195" s="2632"/>
      <c r="AQ195" s="2634"/>
      <c r="AR195" s="2659"/>
      <c r="AS195" s="2634"/>
      <c r="AT195" s="2634"/>
      <c r="AU195" s="2632"/>
      <c r="AV195" s="2634"/>
      <c r="AW195" s="2659"/>
      <c r="AX195" s="2634"/>
      <c r="AY195" s="2634"/>
      <c r="AZ195" s="2632"/>
      <c r="BA195" s="2659"/>
      <c r="BB195" s="2634"/>
      <c r="BC195" s="2634"/>
      <c r="BD195" s="2632"/>
      <c r="BE195" s="2659"/>
      <c r="BF195" s="2634"/>
      <c r="BG195" s="2634"/>
      <c r="BH195" s="2660"/>
      <c r="BI195" s="2632"/>
      <c r="BJ195" s="2659"/>
      <c r="BK195" s="2634"/>
      <c r="BL195" s="2634"/>
      <c r="BM195" s="2660"/>
      <c r="BN195" s="2634"/>
      <c r="BO195" s="2634"/>
      <c r="BP195" s="2632"/>
      <c r="BQ195" s="2634"/>
      <c r="BR195" s="2659"/>
      <c r="BS195" s="2634"/>
      <c r="BT195" s="2634"/>
      <c r="BU195" s="2632"/>
      <c r="BV195" s="2634"/>
      <c r="BW195" s="2634"/>
      <c r="BX195" s="2659"/>
      <c r="BY195" s="2634"/>
      <c r="BZ195" s="2634"/>
      <c r="CA195" s="2634"/>
      <c r="CB195" s="2632"/>
      <c r="CC195" s="2634"/>
      <c r="CD195" s="2659"/>
      <c r="CE195" s="2634"/>
      <c r="CF195" s="2634"/>
      <c r="CG195" s="2632"/>
      <c r="CH195" s="2634"/>
      <c r="CI195" s="2659"/>
      <c r="CJ195" s="2634"/>
      <c r="CK195" s="2634"/>
      <c r="CL195" s="2634"/>
      <c r="CM195" s="2634"/>
      <c r="CN195" s="2632"/>
      <c r="CO195" s="2659"/>
      <c r="CP195" s="2634"/>
      <c r="CQ195" s="2634"/>
      <c r="CR195" s="2632"/>
      <c r="CS195" s="2634"/>
      <c r="CT195" s="2659"/>
      <c r="CU195" s="2634"/>
      <c r="CV195" s="2634"/>
      <c r="CW195" s="2632"/>
      <c r="CX195" s="2634"/>
      <c r="CY195" s="2659"/>
      <c r="CZ195" s="2634"/>
      <c r="DA195" s="2632"/>
      <c r="DB195" s="2634"/>
      <c r="DC195" s="2659"/>
      <c r="DD195" s="2634"/>
      <c r="DE195" s="2633"/>
    </row>
    <row r="196" spans="1:109" ht="12.75" customHeight="1" thickBot="1" x14ac:dyDescent="0.25">
      <c r="A196" s="2029">
        <v>196</v>
      </c>
      <c r="B196" s="4995"/>
      <c r="F196" s="2657">
        <v>56</v>
      </c>
      <c r="G196" s="1786"/>
      <c r="H196" s="2635"/>
      <c r="I196" s="2635"/>
      <c r="J196" s="2635"/>
      <c r="K196" s="2635"/>
      <c r="L196" s="2635"/>
      <c r="M196" s="2635"/>
      <c r="N196" s="2635"/>
      <c r="O196" s="2635"/>
      <c r="P196" s="2635"/>
      <c r="Q196" s="2635"/>
      <c r="R196" s="2635"/>
      <c r="S196" s="2635"/>
      <c r="T196" s="2635"/>
      <c r="U196" s="2635"/>
      <c r="V196" s="2635"/>
      <c r="W196" s="2635"/>
      <c r="X196" s="2635"/>
      <c r="Y196" s="2635"/>
      <c r="Z196" s="2635"/>
      <c r="AA196" s="2635"/>
      <c r="AB196" s="2697"/>
      <c r="AC196" s="2635"/>
      <c r="AD196" s="2635"/>
      <c r="AE196" s="2635"/>
      <c r="AF196" s="2635"/>
      <c r="AG196" s="2635"/>
      <c r="AH196" s="2635" t="s">
        <v>8340</v>
      </c>
      <c r="AI196" s="2635"/>
      <c r="AJ196" s="2635"/>
      <c r="AK196" s="2635"/>
      <c r="AL196" s="2635"/>
      <c r="AM196" s="2635"/>
      <c r="AN196" s="2635"/>
      <c r="AO196" s="2635"/>
      <c r="AP196" s="2635"/>
      <c r="AQ196" s="2635"/>
      <c r="AR196" s="2635"/>
      <c r="AS196" s="2635"/>
      <c r="AT196" s="2635"/>
      <c r="AU196" s="2635"/>
      <c r="AV196" s="2635"/>
      <c r="AW196" s="2635"/>
      <c r="AX196" s="2635"/>
      <c r="AY196" s="2635"/>
      <c r="AZ196" s="2635"/>
      <c r="BA196" s="2635"/>
      <c r="BB196" s="2635"/>
      <c r="BC196" s="2635"/>
      <c r="BD196" s="2635"/>
      <c r="BE196" s="2635"/>
      <c r="BF196" s="2635"/>
      <c r="BG196" s="2635"/>
      <c r="BH196" s="2635"/>
      <c r="BI196" s="2635"/>
      <c r="BJ196" s="2635"/>
      <c r="BK196" s="2635"/>
      <c r="BL196" s="2635"/>
      <c r="BM196" s="2635"/>
      <c r="BN196" s="2635"/>
      <c r="BO196" s="2635"/>
      <c r="BP196" s="2635"/>
      <c r="BQ196" s="2635"/>
      <c r="BR196" s="2635"/>
      <c r="BS196" s="2635"/>
      <c r="BT196" s="2635"/>
      <c r="BU196" s="2635"/>
      <c r="BV196" s="2635"/>
      <c r="BW196" s="2635"/>
      <c r="BX196" s="2635"/>
      <c r="BY196" s="2635"/>
      <c r="BZ196" s="2635"/>
      <c r="CA196" s="2635"/>
      <c r="CB196" s="2635"/>
      <c r="CC196" s="2635"/>
      <c r="CD196" s="2635"/>
      <c r="CE196" s="2635"/>
      <c r="CF196" s="2635"/>
      <c r="CG196" s="2635"/>
      <c r="CH196" s="2635"/>
      <c r="CI196" s="2635"/>
      <c r="CJ196" s="2635"/>
      <c r="CK196" s="2635"/>
      <c r="CL196" s="2635"/>
      <c r="CM196" s="2635"/>
      <c r="CN196" s="2635"/>
      <c r="CO196" s="2635"/>
      <c r="CP196" s="2635"/>
      <c r="CQ196" s="2635"/>
      <c r="CR196" s="2635"/>
      <c r="CS196" s="2635"/>
      <c r="CT196" s="2635"/>
      <c r="CU196" s="2635"/>
      <c r="CV196" s="2635"/>
      <c r="CW196" s="2635"/>
      <c r="CX196" s="2635"/>
      <c r="CY196" s="2635"/>
      <c r="CZ196" s="2635"/>
      <c r="DA196" s="2635"/>
      <c r="DB196" s="2635"/>
      <c r="DC196" s="2635"/>
      <c r="DD196" s="2635"/>
      <c r="DE196" s="2661"/>
    </row>
    <row r="197" spans="1:109" ht="12.75" customHeight="1" thickBot="1" x14ac:dyDescent="0.25">
      <c r="A197" s="2029">
        <v>197</v>
      </c>
      <c r="B197" s="4995"/>
      <c r="H197" s="413"/>
      <c r="N197" s="413"/>
    </row>
    <row r="198" spans="1:109" ht="12.75" customHeight="1" thickBot="1" x14ac:dyDescent="0.25">
      <c r="A198" s="2029">
        <v>198</v>
      </c>
      <c r="B198" s="4995"/>
      <c r="C198" s="5169" t="s">
        <v>2489</v>
      </c>
      <c r="D198" s="5169"/>
      <c r="E198" s="5169"/>
      <c r="F198" s="5169"/>
      <c r="G198" s="5169"/>
      <c r="H198" s="5169"/>
      <c r="I198" s="5169"/>
      <c r="J198" s="5169"/>
      <c r="K198" s="5169"/>
      <c r="L198" s="5169"/>
      <c r="M198" s="5169"/>
      <c r="N198" s="5169"/>
      <c r="O198" s="5169"/>
      <c r="P198" s="5169"/>
      <c r="Q198" s="5169"/>
      <c r="R198" s="5169"/>
      <c r="S198" s="5169"/>
      <c r="T198" s="5169"/>
      <c r="U198" s="5169"/>
      <c r="V198" s="5169"/>
      <c r="W198" s="5169"/>
      <c r="X198" s="5169"/>
      <c r="Y198" s="5169"/>
      <c r="Z198" s="5169"/>
      <c r="AA198" s="5169"/>
      <c r="AB198" s="5169"/>
      <c r="AC198" s="5169"/>
      <c r="AD198" s="5169"/>
      <c r="AE198" s="5169"/>
      <c r="AF198" s="5169"/>
      <c r="AG198" s="5169"/>
      <c r="AH198" s="5169"/>
      <c r="AI198" s="5169"/>
      <c r="AJ198" s="5169"/>
      <c r="AK198" s="5169"/>
      <c r="AL198" s="5169"/>
      <c r="AM198" s="5169"/>
      <c r="AN198" s="5169"/>
      <c r="AO198" s="5169"/>
      <c r="AP198" s="5169"/>
      <c r="AQ198" s="5169"/>
      <c r="AR198" s="5169"/>
      <c r="AS198" s="5169"/>
      <c r="AT198" s="5169"/>
      <c r="AU198" s="5169"/>
      <c r="AV198" s="5169"/>
      <c r="AW198" s="5169"/>
      <c r="AX198" s="5169"/>
      <c r="AY198" s="5169"/>
      <c r="AZ198" s="5169"/>
      <c r="BA198" s="5169"/>
      <c r="BB198" s="5169"/>
      <c r="BC198" s="5169"/>
      <c r="BD198" s="5169"/>
      <c r="BE198" s="5169"/>
      <c r="BF198" s="5169"/>
      <c r="BG198" s="5169"/>
      <c r="BH198" s="5169"/>
      <c r="BI198" s="5169"/>
      <c r="BJ198" s="5169"/>
      <c r="BK198" s="5169"/>
      <c r="BL198" s="5169"/>
      <c r="BM198" s="5169"/>
      <c r="BN198" s="5169"/>
      <c r="BO198" s="5169"/>
      <c r="BP198" s="5169"/>
      <c r="BQ198" s="5169"/>
      <c r="BR198" s="5169"/>
      <c r="BS198" s="5169"/>
      <c r="BT198" s="5169"/>
      <c r="BU198" s="5169"/>
      <c r="BV198" s="5169"/>
      <c r="BW198" s="5169"/>
      <c r="BX198" s="5169"/>
      <c r="BY198" s="5169"/>
      <c r="BZ198" s="5169"/>
      <c r="CA198" s="5169"/>
      <c r="CB198" s="5169"/>
      <c r="CC198" s="5169"/>
      <c r="CD198" s="5169"/>
      <c r="CE198" s="5169"/>
      <c r="CF198" s="5169"/>
      <c r="CG198" s="5169"/>
      <c r="CH198" s="5169"/>
      <c r="CI198" s="5169"/>
    </row>
    <row r="199" spans="1:109" ht="12.75" customHeight="1" x14ac:dyDescent="0.2">
      <c r="A199" s="2029">
        <v>199</v>
      </c>
      <c r="B199" s="4995"/>
      <c r="C199" s="5169"/>
      <c r="D199" s="5169"/>
      <c r="E199" s="5169"/>
      <c r="F199" s="5169"/>
      <c r="G199" s="5169"/>
      <c r="H199" s="5169"/>
      <c r="I199" s="5169"/>
      <c r="J199" s="5169"/>
      <c r="K199" s="5169"/>
      <c r="L199" s="5169"/>
      <c r="M199" s="5169"/>
      <c r="N199" s="5169"/>
      <c r="O199" s="5169"/>
      <c r="P199" s="5169"/>
      <c r="Q199" s="5169"/>
      <c r="R199" s="5169"/>
      <c r="S199" s="5169"/>
      <c r="T199" s="5169"/>
      <c r="U199" s="5169"/>
      <c r="V199" s="5169"/>
      <c r="W199" s="5169"/>
      <c r="X199" s="5169"/>
      <c r="Y199" s="5169"/>
      <c r="Z199" s="5169"/>
      <c r="AA199" s="5169"/>
      <c r="AB199" s="5169"/>
      <c r="AC199" s="5169"/>
      <c r="AD199" s="5169"/>
      <c r="AE199" s="5169"/>
      <c r="AF199" s="5169"/>
      <c r="AG199" s="5169"/>
      <c r="AH199" s="5169"/>
      <c r="AI199" s="5169"/>
      <c r="AJ199" s="5169"/>
      <c r="AK199" s="5169"/>
      <c r="AL199" s="5169"/>
      <c r="AM199" s="5169"/>
      <c r="AN199" s="5169"/>
      <c r="AO199" s="5169"/>
      <c r="AP199" s="5169"/>
      <c r="AQ199" s="5169"/>
      <c r="AR199" s="5169"/>
      <c r="AS199" s="5169"/>
      <c r="AT199" s="5169"/>
      <c r="AU199" s="5169"/>
      <c r="AV199" s="5169"/>
      <c r="AW199" s="5169"/>
      <c r="AX199" s="5169"/>
      <c r="AY199" s="5169"/>
      <c r="AZ199" s="5169"/>
      <c r="BA199" s="5169"/>
      <c r="BB199" s="5169"/>
      <c r="BC199" s="5169"/>
      <c r="BD199" s="5169"/>
      <c r="BE199" s="5169"/>
      <c r="BF199" s="5169"/>
      <c r="BG199" s="5169"/>
      <c r="BH199" s="5169"/>
      <c r="BI199" s="5169"/>
      <c r="BJ199" s="5169"/>
      <c r="BK199" s="5169"/>
      <c r="BL199" s="5169"/>
      <c r="BM199" s="5169"/>
      <c r="BN199" s="5169"/>
      <c r="BO199" s="5169"/>
      <c r="BP199" s="5169"/>
      <c r="BQ199" s="5169"/>
      <c r="BR199" s="5169"/>
      <c r="BS199" s="5169"/>
      <c r="BT199" s="5169"/>
      <c r="BU199" s="5169"/>
      <c r="BV199" s="5169"/>
      <c r="BW199" s="5169"/>
      <c r="BX199" s="5169"/>
      <c r="BY199" s="5169"/>
      <c r="BZ199" s="5169"/>
      <c r="CA199" s="5169"/>
      <c r="CB199" s="5169"/>
      <c r="CC199" s="5169"/>
      <c r="CD199" s="5169"/>
      <c r="CE199" s="5169"/>
      <c r="CF199" s="5169"/>
      <c r="CG199" s="5169"/>
      <c r="CH199" s="5169"/>
      <c r="CI199" s="5169"/>
    </row>
    <row r="200" spans="1:109" ht="12.75" customHeight="1" x14ac:dyDescent="0.2">
      <c r="A200" s="2029">
        <v>200</v>
      </c>
      <c r="B200" s="4995"/>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7">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4995"/>
      <c r="C201" s="455" t="s">
        <v>1715</v>
      </c>
      <c r="D201" s="456" t="s">
        <v>1803</v>
      </c>
      <c r="E201" s="456" t="s">
        <v>1705</v>
      </c>
      <c r="F201" s="456" t="s">
        <v>9029</v>
      </c>
      <c r="G201" s="456" t="s">
        <v>2490</v>
      </c>
      <c r="H201" s="456" t="s">
        <v>1816</v>
      </c>
      <c r="I201" s="1831" t="s">
        <v>2491</v>
      </c>
      <c r="J201" s="456" t="s">
        <v>2492</v>
      </c>
      <c r="K201" s="456" t="s">
        <v>2493</v>
      </c>
      <c r="L201" s="456" t="s">
        <v>1837</v>
      </c>
      <c r="M201" s="456" t="str">
        <f>PDs!E22</f>
        <v>H. Ataque</v>
      </c>
      <c r="N201" s="456" t="s">
        <v>1809</v>
      </c>
      <c r="O201" s="2113" t="s">
        <v>1810</v>
      </c>
      <c r="P201" s="456" t="s">
        <v>1811</v>
      </c>
      <c r="Q201" s="456" t="s">
        <v>1824</v>
      </c>
      <c r="R201" s="2609" t="str">
        <f>"Coste"&amp;PDs!$E$22</f>
        <v>CosteH. Ataque</v>
      </c>
      <c r="S201" s="2609" t="str">
        <f>"Coste"&amp;PDs!$E$23</f>
        <v>CosteH. Parada</v>
      </c>
      <c r="T201" s="2609" t="str">
        <f>"Coste"&amp;PDs!$E$24</f>
        <v>CosteH. Esquiva</v>
      </c>
      <c r="U201" s="2609" t="str">
        <f>"Coste"&amp;PDs!$E$25</f>
        <v>CosteLlevar Armadura</v>
      </c>
      <c r="V201" s="2609" t="s">
        <v>2494</v>
      </c>
      <c r="W201" s="2609" t="s">
        <v>9338</v>
      </c>
      <c r="X201" s="2609" t="str">
        <f>"Coste"&amp;PDs!$E$90</f>
        <v>CosteZeón</v>
      </c>
      <c r="Y201" s="2609" t="s">
        <v>9030</v>
      </c>
      <c r="Z201" s="2609" t="str">
        <f>"Coste"&amp;PDs!$E$93</f>
        <v>CosteProyección Mágica</v>
      </c>
      <c r="AA201" s="2609" t="s">
        <v>2495</v>
      </c>
      <c r="AB201" s="2609" t="str">
        <f>"Coste"&amp;PDs!$E$96</f>
        <v>CosteControlar</v>
      </c>
      <c r="AC201" s="2609" t="s">
        <v>2496</v>
      </c>
      <c r="AD201" s="2609" t="s">
        <v>9339</v>
      </c>
      <c r="AE201" s="2609" t="s">
        <v>2497</v>
      </c>
      <c r="AF201" s="2609" t="str">
        <f>"Coste"&amp;PDs!$E$109</f>
        <v>CosteProyección psíquica</v>
      </c>
      <c r="AG201" s="2609" t="str">
        <f>"Coste"&amp;PDs!D126</f>
        <v>CosteAtléticas</v>
      </c>
      <c r="AH201" s="2609" t="s">
        <v>2498</v>
      </c>
      <c r="AI201" s="2609" t="str">
        <f>"Coste"&amp;PDs!$D$140</f>
        <v>CostePerc</v>
      </c>
      <c r="AJ201" s="2609" t="str">
        <f>"Coste"&amp;PDs!$D$143</f>
        <v>CosteIntelectuales</v>
      </c>
      <c r="AK201" s="2609" t="s">
        <v>2499</v>
      </c>
      <c r="AL201" s="2609" t="s">
        <v>9340</v>
      </c>
      <c r="AM201" s="2609" t="s">
        <v>9341</v>
      </c>
      <c r="AN201" s="2609" t="str">
        <f>"Coste"&amp;PDs!E156</f>
        <v>CosteP. Fuerza</v>
      </c>
      <c r="AO201" s="2609" t="str">
        <f>"Coste"&amp;PDs!E157</f>
        <v>CosteRes. Dolor</v>
      </c>
      <c r="AP201" s="2609" t="s">
        <v>2500</v>
      </c>
      <c r="AQ201" s="2609" t="str">
        <f>"Coste"&amp;PDs!E163</f>
        <v>CosteTrampería</v>
      </c>
      <c r="AR201" s="2609" t="str">
        <f>"Coste"&amp;PDs!E146</f>
        <v>CosteHerbolaria</v>
      </c>
      <c r="AS201" s="2609" t="s">
        <v>2501</v>
      </c>
      <c r="AT201" s="2609" t="s">
        <v>2502</v>
      </c>
      <c r="AU201" s="2609" t="str">
        <f>"Coste"&amp;PDs!E153</f>
        <v>CosteTasación</v>
      </c>
      <c r="AV201" s="2609" t="s">
        <v>2503</v>
      </c>
      <c r="AW201" s="2609" t="s">
        <v>2504</v>
      </c>
      <c r="AX201" s="2609" t="str">
        <f>"Coste"&amp;PDs!E154</f>
        <v>CosteV. Mágica</v>
      </c>
      <c r="AY201" s="2609" t="str">
        <f>"Coste"&amp;PDs!E172</f>
        <v>CosteT. Manos</v>
      </c>
      <c r="AZ201" s="2609" t="str">
        <f>"Coste"&amp;PDs!E136</f>
        <v>CostePersuasión</v>
      </c>
      <c r="BA201" s="2609" t="s">
        <v>2505</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9028</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2506</v>
      </c>
      <c r="CG201" s="456" t="s">
        <v>2507</v>
      </c>
      <c r="CH201" s="456" t="s">
        <v>2508</v>
      </c>
      <c r="CI201" s="457"/>
      <c r="CJ201" s="2558"/>
      <c r="CK201" s="2558"/>
      <c r="CL201" s="2558"/>
      <c r="CM201" s="2558"/>
      <c r="CN201" s="2558"/>
      <c r="CO201" s="2558"/>
      <c r="CP201" s="2558"/>
      <c r="CQ201" s="2558"/>
      <c r="CR201" s="2558"/>
      <c r="CS201" s="2558"/>
      <c r="CT201" s="2558"/>
      <c r="CU201" s="2558"/>
      <c r="CV201" s="2558"/>
      <c r="CW201" s="2558"/>
      <c r="CX201" s="2558"/>
      <c r="CY201" s="2558"/>
      <c r="CZ201" s="2558"/>
      <c r="DA201" s="2558"/>
      <c r="DB201" s="2558"/>
      <c r="DC201" s="2558"/>
      <c r="DD201" s="2558"/>
      <c r="DE201" s="2558"/>
    </row>
    <row r="202" spans="1:109" ht="12.75" customHeight="1" x14ac:dyDescent="0.2">
      <c r="A202" s="2029">
        <v>202</v>
      </c>
      <c r="B202" s="4995"/>
      <c r="C202" s="2559">
        <f>IF(ISNA(VLOOKUP(Tablas!$D202,PDs!$U$5:$X$14,4,FALSE)),0,VLOOKUP(Tablas!$D202,PDs!$U$5:$X$14,4,FALSE))</f>
        <v>0</v>
      </c>
      <c r="D202" s="2562" t="s">
        <v>2509</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2510</v>
      </c>
      <c r="CG202" s="463" t="s">
        <v>2511</v>
      </c>
      <c r="CH202" s="127" t="str">
        <f>CF202&amp;CG202</f>
        <v>LuchadorSin</v>
      </c>
      <c r="CI202" s="259"/>
    </row>
    <row r="203" spans="1:109" ht="12.75" customHeight="1" x14ac:dyDescent="0.2">
      <c r="A203" s="2029">
        <v>203</v>
      </c>
      <c r="B203" s="4995"/>
      <c r="C203" s="2560">
        <f>IF(ISNA(VLOOKUP(Tablas!$D203,PDs!$U$5:$X$14,4,FALSE)),0,VLOOKUP(Tablas!$D203,PDs!$U$5:$X$14,4,FALSE))</f>
        <v>0</v>
      </c>
      <c r="D203" s="2563" t="s">
        <v>2512</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2510</v>
      </c>
      <c r="CG203" s="355" t="s">
        <v>2511</v>
      </c>
      <c r="CH203" s="100" t="str">
        <f t="shared" ref="CH203:CH223" si="7">CF203&amp;CG203</f>
        <v>LuchadorSin</v>
      </c>
      <c r="CI203" s="69"/>
    </row>
    <row r="204" spans="1:109" ht="12.75" customHeight="1" x14ac:dyDescent="0.2">
      <c r="A204" s="2029">
        <v>204</v>
      </c>
      <c r="B204" s="4995"/>
      <c r="C204" s="2560">
        <f>IF(ISNA(VLOOKUP(Tablas!$D204,PDs!$U$5:$X$14,4,FALSE)),0,VLOOKUP(Tablas!$D204,PDs!$U$5:$X$14,4,FALSE))</f>
        <v>0</v>
      </c>
      <c r="D204" s="2563" t="s">
        <v>2513</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2510</v>
      </c>
      <c r="CG204" s="355" t="s">
        <v>2511</v>
      </c>
      <c r="CH204" s="100" t="str">
        <f t="shared" si="7"/>
        <v>LuchadorSin</v>
      </c>
      <c r="CI204" s="69"/>
    </row>
    <row r="205" spans="1:109" ht="12.75" customHeight="1" x14ac:dyDescent="0.2">
      <c r="A205" s="2029">
        <v>205</v>
      </c>
      <c r="B205" s="4995"/>
      <c r="C205" s="2560">
        <f>IF(ISNA(VLOOKUP(Tablas!$D205,PDs!$U$5:$X$14,4,FALSE)),0,VLOOKUP(Tablas!$D205,PDs!$U$5:$X$14,4,FALSE))</f>
        <v>0</v>
      </c>
      <c r="D205" s="2563" t="s">
        <v>3128</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2510</v>
      </c>
      <c r="CG205" s="355" t="s">
        <v>2511</v>
      </c>
      <c r="CH205" s="100" t="str">
        <f t="shared" si="7"/>
        <v>LuchadorSin</v>
      </c>
      <c r="CI205" s="69"/>
    </row>
    <row r="206" spans="1:109" ht="12.75" customHeight="1" x14ac:dyDescent="0.2">
      <c r="A206" s="2029">
        <v>206</v>
      </c>
      <c r="B206" s="4995"/>
      <c r="C206" s="2560">
        <f>IF(ISNA(VLOOKUP(Tablas!$D206,PDs!$U$5:$X$14,4,FALSE)),0,VLOOKUP(Tablas!$D206,PDs!$U$5:$X$14,4,FALSE))</f>
        <v>0</v>
      </c>
      <c r="D206" s="2563" t="s">
        <v>2514</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2510</v>
      </c>
      <c r="CG206" s="355" t="s">
        <v>2511</v>
      </c>
      <c r="CH206" s="100" t="str">
        <f t="shared" si="7"/>
        <v>LuchadorSin</v>
      </c>
      <c r="CI206" s="69"/>
    </row>
    <row r="207" spans="1:109" ht="12.75" customHeight="1" x14ac:dyDescent="0.2">
      <c r="A207" s="2029">
        <v>207</v>
      </c>
      <c r="B207" s="4995"/>
      <c r="C207" s="2560">
        <f>IF(ISNA(VLOOKUP(Tablas!$D207,PDs!$U$5:$X$14,4,FALSE)),0,VLOOKUP(Tablas!$D207,PDs!$U$5:$X$14,4,FALSE))</f>
        <v>0</v>
      </c>
      <c r="D207" s="2563" t="s">
        <v>3127</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2510</v>
      </c>
      <c r="CG207" s="355" t="s">
        <v>2511</v>
      </c>
      <c r="CH207" s="100" t="str">
        <f t="shared" si="7"/>
        <v>LuchadorSin</v>
      </c>
      <c r="CI207" s="69"/>
    </row>
    <row r="208" spans="1:109" ht="12.75" customHeight="1" x14ac:dyDescent="0.2">
      <c r="A208" s="2029">
        <v>208</v>
      </c>
      <c r="B208" s="4995"/>
      <c r="C208" s="2560">
        <f>IF(ISNA(VLOOKUP(Tablas!$D208,PDs!$U$5:$X$14,4,FALSE)),0,VLOOKUP(Tablas!$D208,PDs!$U$5:$X$14,4,FALSE))</f>
        <v>0</v>
      </c>
      <c r="D208" s="2563" t="s">
        <v>2515</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2510</v>
      </c>
      <c r="CG208" s="355" t="s">
        <v>2511</v>
      </c>
      <c r="CH208" s="100" t="str">
        <f t="shared" si="7"/>
        <v>LuchadorSin</v>
      </c>
      <c r="CI208" s="69"/>
    </row>
    <row r="209" spans="1:109" ht="12.75" customHeight="1" x14ac:dyDescent="0.2">
      <c r="A209" s="2029">
        <v>209</v>
      </c>
      <c r="B209" s="4995"/>
      <c r="C209" s="2560">
        <f>IF(ISNA(VLOOKUP(Tablas!$D209,PDs!$U$5:$X$14,4,FALSE)),0,VLOOKUP(Tablas!$D209,PDs!$U$5:$X$14,4,FALSE))</f>
        <v>0</v>
      </c>
      <c r="D209" s="2563" t="s">
        <v>2516</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2517</v>
      </c>
      <c r="CG209" s="355" t="s">
        <v>2511</v>
      </c>
      <c r="CH209" s="100" t="str">
        <f t="shared" si="7"/>
        <v>DomineSin</v>
      </c>
      <c r="CI209" s="69"/>
    </row>
    <row r="210" spans="1:109" ht="13.5" customHeight="1" x14ac:dyDescent="0.2">
      <c r="A210" s="2029">
        <v>210</v>
      </c>
      <c r="B210" s="4995"/>
      <c r="C210" s="2560">
        <f>IF(ISNA(VLOOKUP(Tablas!$D210,PDs!$U$5:$X$14,4,FALSE)),0,VLOOKUP(Tablas!$D210,PDs!$U$5:$X$14,4,FALSE))</f>
        <v>0</v>
      </c>
      <c r="D210" s="2563" t="s">
        <v>2518</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2517</v>
      </c>
      <c r="CG210" s="355" t="s">
        <v>2510</v>
      </c>
      <c r="CH210" s="100" t="str">
        <f t="shared" si="7"/>
        <v>DomineLuchador</v>
      </c>
      <c r="CI210" s="69"/>
    </row>
    <row r="211" spans="1:109" s="2558" customFormat="1" ht="12.75" customHeight="1" x14ac:dyDescent="0.2">
      <c r="A211" s="2029">
        <v>211</v>
      </c>
      <c r="B211" s="4995"/>
      <c r="C211" s="2560">
        <f>IF(ISNA(VLOOKUP(Tablas!$D211,PDs!$U$5:$X$14,4,FALSE)),0,VLOOKUP(Tablas!$D211,PDs!$U$5:$X$14,4,FALSE))</f>
        <v>0</v>
      </c>
      <c r="D211" s="2563" t="s">
        <v>2519</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2520</v>
      </c>
      <c r="CG211" s="355" t="s">
        <v>2510</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4995"/>
      <c r="C212" s="2560">
        <f>IF(ISNA(VLOOKUP(Tablas!$D212,PDs!$U$5:$X$14,4,FALSE)),0,VLOOKUP(Tablas!$D212,PDs!$U$5:$X$14,4,FALSE))</f>
        <v>0</v>
      </c>
      <c r="D212" s="2563" t="s">
        <v>2521</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2520</v>
      </c>
      <c r="CG212" s="355" t="s">
        <v>2510</v>
      </c>
      <c r="CH212" s="100" t="str">
        <f t="shared" si="7"/>
        <v>AcechadorLuchador</v>
      </c>
      <c r="CI212" s="69"/>
    </row>
    <row r="213" spans="1:109" ht="12.75" customHeight="1" x14ac:dyDescent="0.2">
      <c r="A213" s="2029">
        <v>211</v>
      </c>
      <c r="B213" s="4995"/>
      <c r="C213" s="2560">
        <f>IF(ISNA(VLOOKUP(Tablas!$D213,PDs!$U$5:$X$14,4,FALSE)),0,VLOOKUP(Tablas!$D213,PDs!$U$5:$X$14,4,FALSE))</f>
        <v>0</v>
      </c>
      <c r="D213" s="2563" t="s">
        <v>2522</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2520</v>
      </c>
      <c r="CG213" s="355" t="s">
        <v>2511</v>
      </c>
      <c r="CH213" s="100" t="str">
        <f t="shared" si="7"/>
        <v>AcechadorSin</v>
      </c>
      <c r="CI213" s="69"/>
    </row>
    <row r="214" spans="1:109" ht="12.75" customHeight="1" x14ac:dyDescent="0.2">
      <c r="A214" s="2029">
        <v>211</v>
      </c>
      <c r="B214" s="4995"/>
      <c r="C214" s="2560">
        <f>IF(ISNA(VLOOKUP(Tablas!$D214,PDs!$U$5:$X$14,4,FALSE)),0,VLOOKUP(Tablas!$D214,PDs!$U$5:$X$14,4,FALSE))</f>
        <v>0</v>
      </c>
      <c r="D214" s="129" t="s">
        <v>2523</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2520</v>
      </c>
      <c r="CG214" s="355" t="s">
        <v>2511</v>
      </c>
      <c r="CH214" s="100" t="str">
        <f t="shared" si="7"/>
        <v>AcechadorSin</v>
      </c>
      <c r="CI214" s="69"/>
    </row>
    <row r="215" spans="1:109" ht="12.75" customHeight="1" x14ac:dyDescent="0.2">
      <c r="A215" s="2029">
        <v>211</v>
      </c>
      <c r="B215" s="4995"/>
      <c r="C215" s="2560">
        <f>IF(ISNA(VLOOKUP(Tablas!$D215,PDs!$U$5:$X$14,4,FALSE)),0,VLOOKUP(Tablas!$D215,PDs!$U$5:$X$14,4,FALSE))</f>
        <v>1</v>
      </c>
      <c r="D215" s="2563" t="s">
        <v>2524</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2525</v>
      </c>
      <c r="CG215" s="355" t="s">
        <v>2511</v>
      </c>
      <c r="CH215" s="100" t="str">
        <f t="shared" si="7"/>
        <v>MísticoSin</v>
      </c>
      <c r="CI215" s="69"/>
    </row>
    <row r="216" spans="1:109" ht="12.75" customHeight="1" x14ac:dyDescent="0.2">
      <c r="A216" s="2029">
        <v>211</v>
      </c>
      <c r="B216" s="4995"/>
      <c r="C216" s="2560">
        <f>IF(ISNA(VLOOKUP(Tablas!$D216,PDs!$U$5:$X$14,4,FALSE)),0,VLOOKUP(Tablas!$D216,PDs!$U$5:$X$14,4,FALSE))</f>
        <v>0</v>
      </c>
      <c r="D216" s="2563" t="s">
        <v>2526</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2510</v>
      </c>
      <c r="CG216" s="355" t="s">
        <v>2525</v>
      </c>
      <c r="CH216" s="100" t="str">
        <f t="shared" si="7"/>
        <v>LuchadorMístico</v>
      </c>
      <c r="CI216" s="69"/>
    </row>
    <row r="217" spans="1:109" ht="12.75" customHeight="1" x14ac:dyDescent="0.2">
      <c r="A217" s="2029">
        <v>211</v>
      </c>
      <c r="B217" s="4995"/>
      <c r="C217" s="2560">
        <f>IF(ISNA(VLOOKUP(Tablas!$D217,PDs!$U$5:$X$14,4,FALSE)),0,VLOOKUP(Tablas!$D217,PDs!$U$5:$X$14,4,FALSE))</f>
        <v>0</v>
      </c>
      <c r="D217" s="2563" t="s">
        <v>2527</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2520</v>
      </c>
      <c r="CG217" s="355" t="s">
        <v>2525</v>
      </c>
      <c r="CH217" s="100" t="str">
        <f t="shared" si="7"/>
        <v>AcechadorMístico</v>
      </c>
      <c r="CI217" s="69"/>
    </row>
    <row r="218" spans="1:109" ht="12.75" customHeight="1" x14ac:dyDescent="0.2">
      <c r="A218" s="2029">
        <v>211</v>
      </c>
      <c r="B218" s="4995"/>
      <c r="C218" s="2560">
        <f>IF(ISNA(VLOOKUP(Tablas!$D218,PDs!$U$5:$X$14,4,FALSE)),0,VLOOKUP(Tablas!$D218,PDs!$U$5:$X$14,4,FALSE))</f>
        <v>0</v>
      </c>
      <c r="D218" s="2563" t="s">
        <v>2528</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2525</v>
      </c>
      <c r="CG218" s="355" t="s">
        <v>2529</v>
      </c>
      <c r="CH218" s="100" t="str">
        <f t="shared" si="7"/>
        <v>MísticoPsíquico</v>
      </c>
      <c r="CI218" s="69"/>
    </row>
    <row r="219" spans="1:109" ht="12.75" customHeight="1" x14ac:dyDescent="0.2">
      <c r="A219" s="2029">
        <v>211</v>
      </c>
      <c r="B219" s="4995"/>
      <c r="C219" s="2560">
        <f>IF(ISNA(VLOOKUP(Tablas!$D219,PDs!$U$5:$X$14,4,FALSE)),0,VLOOKUP(Tablas!$D219,PDs!$U$5:$X$14,4,FALSE))</f>
        <v>0</v>
      </c>
      <c r="D219" s="129" t="s">
        <v>2530</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2525</v>
      </c>
      <c r="CG219" s="355" t="s">
        <v>2511</v>
      </c>
      <c r="CH219" s="100" t="str">
        <f t="shared" si="7"/>
        <v>MísticoSin</v>
      </c>
      <c r="CI219" s="69"/>
    </row>
    <row r="220" spans="1:109" ht="12.75" customHeight="1" x14ac:dyDescent="0.2">
      <c r="A220" s="2029">
        <v>211</v>
      </c>
      <c r="B220" s="4995"/>
      <c r="C220" s="2560">
        <f>IF(ISNA(VLOOKUP(Tablas!$D220,PDs!$U$5:$X$14,4,FALSE)),0,VLOOKUP(Tablas!$D220,PDs!$U$5:$X$14,4,FALSE))</f>
        <v>0</v>
      </c>
      <c r="D220" s="2563" t="s">
        <v>2531</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2510</v>
      </c>
      <c r="CG220" s="355" t="s">
        <v>2525</v>
      </c>
      <c r="CH220" s="100" t="str">
        <f t="shared" si="7"/>
        <v>LuchadorMístico</v>
      </c>
      <c r="CI220" s="69"/>
    </row>
    <row r="221" spans="1:109" ht="12.75" customHeight="1" x14ac:dyDescent="0.2">
      <c r="A221" s="2029">
        <v>211</v>
      </c>
      <c r="B221" s="4995"/>
      <c r="C221" s="2560">
        <f>IF(ISNA(VLOOKUP(Tablas!$D221,PDs!$U$5:$X$14,4,FALSE)),0,VLOOKUP(Tablas!$D221,PDs!$U$5:$X$14,4,FALSE))</f>
        <v>0</v>
      </c>
      <c r="D221" s="2563" t="s">
        <v>2532</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2529</v>
      </c>
      <c r="CG221" s="355" t="s">
        <v>2511</v>
      </c>
      <c r="CH221" s="100" t="str">
        <f t="shared" si="7"/>
        <v>PsíquicoSin</v>
      </c>
      <c r="CI221" s="69"/>
    </row>
    <row r="222" spans="1:109" ht="12.75" customHeight="1" x14ac:dyDescent="0.2">
      <c r="A222" s="2029">
        <v>211</v>
      </c>
      <c r="B222" s="4995"/>
      <c r="C222" s="2560">
        <f>IF(ISNA(VLOOKUP(Tablas!$D222,PDs!$U$5:$X$14,4,FALSE)),0,VLOOKUP(Tablas!$D222,PDs!$U$5:$X$14,4,FALSE))</f>
        <v>0</v>
      </c>
      <c r="D222" s="2563" t="s">
        <v>2533</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2510</v>
      </c>
      <c r="CG222" s="355" t="s">
        <v>2529</v>
      </c>
      <c r="CH222" s="100" t="str">
        <f t="shared" si="7"/>
        <v>LuchadorPsíquico</v>
      </c>
      <c r="CI222" s="69"/>
    </row>
    <row r="223" spans="1:109" ht="12.75" customHeight="1" thickBot="1" x14ac:dyDescent="0.25">
      <c r="A223" s="2029">
        <v>211</v>
      </c>
      <c r="B223" s="4995"/>
      <c r="C223" s="2561">
        <f>IF(ISNA(VLOOKUP(Tablas!$D223,PDs!$U$5:$X$14,4,FALSE)),0,VLOOKUP(Tablas!$D223,PDs!$U$5:$X$14,4,FALSE))</f>
        <v>0</v>
      </c>
      <c r="D223" s="2564"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2511</v>
      </c>
      <c r="CG223" s="439" t="s">
        <v>2511</v>
      </c>
      <c r="CH223" s="474" t="str">
        <f t="shared" si="7"/>
        <v>SinSin</v>
      </c>
      <c r="CI223" s="200"/>
    </row>
    <row r="224" spans="1:109" ht="12.75" customHeight="1" thickBot="1" x14ac:dyDescent="0.25">
      <c r="A224" s="2029">
        <v>211</v>
      </c>
      <c r="B224" s="4995"/>
      <c r="C224" s="2558"/>
      <c r="D224" s="5106" t="s">
        <v>9441</v>
      </c>
      <c r="E224" s="2214" t="str">
        <f>E201</f>
        <v>Turno</v>
      </c>
      <c r="F224" s="2214" t="str">
        <f>F201</f>
        <v>PV</v>
      </c>
      <c r="G224" s="2214" t="s">
        <v>1769</v>
      </c>
      <c r="H224" s="2214" t="str">
        <f>H201</f>
        <v>Conocimiento Marcial</v>
      </c>
      <c r="I224" s="2556"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8"/>
      <c r="CG224" s="2558"/>
      <c r="CH224" s="2558"/>
      <c r="CI224" s="2558"/>
    </row>
    <row r="225" spans="1:83" ht="12.75" customHeight="1" x14ac:dyDescent="0.2">
      <c r="A225" s="2029">
        <v>211</v>
      </c>
      <c r="B225" s="4995"/>
      <c r="D225" s="5107"/>
      <c r="E225" s="2565">
        <f>SUMPRODUCT($C$202:$C$223,E$202:E$223)</f>
        <v>5</v>
      </c>
      <c r="F225" s="2565">
        <f>SUMPRODUCT($C$202:$C$223,F$202:F$223)</f>
        <v>5</v>
      </c>
      <c r="G225" s="2565" t="s">
        <v>1769</v>
      </c>
      <c r="H225" s="2565">
        <f>SUMPRODUCT($C$202:$C$223,H$202:H$223)</f>
        <v>10</v>
      </c>
      <c r="I225" s="2565" t="s">
        <v>1769</v>
      </c>
      <c r="J225" s="2565" t="s">
        <v>1769</v>
      </c>
      <c r="K225" s="2565" t="s">
        <v>1769</v>
      </c>
      <c r="L225" s="2566">
        <f>MIN(50,SUMPRODUCT($C$202:$C$223,L$202:L$223))</f>
        <v>0.33333333333333331</v>
      </c>
      <c r="M225" s="2566">
        <f>MIN(50,SUMPRODUCT($C$202:$C$223,M$202:M$223))</f>
        <v>0</v>
      </c>
      <c r="N225" s="2566">
        <f>MIN(50,SUMPRODUCT($C$202:$C$223,N$202:N$223))</f>
        <v>0</v>
      </c>
      <c r="O225" s="2566">
        <f>MIN(50,SUMPRODUCT($C$202:$C$223,O$202:O$223))</f>
        <v>0</v>
      </c>
      <c r="P225" s="2565">
        <f>SUMPRODUCT($C$202:$C$223,P$202:P$223)</f>
        <v>0</v>
      </c>
      <c r="Q225" s="2565">
        <f>SUMPRODUCT($C$202:$C$223,Q$202:Q$223)</f>
        <v>100</v>
      </c>
      <c r="R225" s="2565" t="s">
        <v>1769</v>
      </c>
      <c r="S225" s="2565" t="s">
        <v>1769</v>
      </c>
      <c r="T225" s="2565" t="s">
        <v>1769</v>
      </c>
      <c r="U225" s="2565" t="s">
        <v>1769</v>
      </c>
      <c r="V225" s="2565" t="s">
        <v>1769</v>
      </c>
      <c r="W225" s="2565" t="s">
        <v>1769</v>
      </c>
      <c r="X225" s="2565" t="s">
        <v>1769</v>
      </c>
      <c r="Y225" s="2565" t="s">
        <v>1769</v>
      </c>
      <c r="Z225" s="2565" t="s">
        <v>1769</v>
      </c>
      <c r="AA225" s="2565" t="s">
        <v>1769</v>
      </c>
      <c r="AB225" s="2565" t="s">
        <v>1769</v>
      </c>
      <c r="AC225" s="2565" t="s">
        <v>1769</v>
      </c>
      <c r="AD225" s="2565" t="s">
        <v>1769</v>
      </c>
      <c r="AE225" s="2565" t="s">
        <v>1769</v>
      </c>
      <c r="AF225" s="2565" t="s">
        <v>1769</v>
      </c>
      <c r="AG225" s="2565" t="s">
        <v>1769</v>
      </c>
      <c r="AH225" s="2565" t="s">
        <v>1769</v>
      </c>
      <c r="AI225" s="2565" t="s">
        <v>1769</v>
      </c>
      <c r="AJ225" s="2565" t="s">
        <v>1769</v>
      </c>
      <c r="AK225" s="2565" t="s">
        <v>1769</v>
      </c>
      <c r="AL225" s="2565" t="s">
        <v>1769</v>
      </c>
      <c r="AM225" s="2565" t="s">
        <v>1769</v>
      </c>
      <c r="AN225" s="2565" t="s">
        <v>1769</v>
      </c>
      <c r="AO225" s="2565" t="s">
        <v>1769</v>
      </c>
      <c r="AP225" s="2565" t="s">
        <v>1769</v>
      </c>
      <c r="AQ225" s="2565" t="s">
        <v>1769</v>
      </c>
      <c r="AR225" s="2565" t="s">
        <v>1769</v>
      </c>
      <c r="AS225" s="2565" t="s">
        <v>1769</v>
      </c>
      <c r="AT225" s="2565" t="s">
        <v>1769</v>
      </c>
      <c r="AU225" s="2565" t="s">
        <v>1769</v>
      </c>
      <c r="AV225" s="2565" t="s">
        <v>1769</v>
      </c>
      <c r="AW225" s="2565" t="s">
        <v>1769</v>
      </c>
      <c r="AX225" s="2565" t="s">
        <v>1769</v>
      </c>
      <c r="AY225" s="2565" t="s">
        <v>1769</v>
      </c>
      <c r="AZ225" s="2565" t="s">
        <v>1769</v>
      </c>
      <c r="BA225" s="2565" t="s">
        <v>1769</v>
      </c>
      <c r="BB225" s="2565">
        <f t="shared" ref="BB225:CE225" si="10">SUMPRODUCT($C$202:$C$223,BB$202:BB$223)</f>
        <v>0</v>
      </c>
      <c r="BC225" s="2565">
        <f t="shared" si="10"/>
        <v>0</v>
      </c>
      <c r="BD225" s="2565">
        <f t="shared" si="10"/>
        <v>0</v>
      </c>
      <c r="BE225" s="2565">
        <f t="shared" si="10"/>
        <v>0</v>
      </c>
      <c r="BF225" s="2565">
        <f t="shared" si="10"/>
        <v>0</v>
      </c>
      <c r="BG225" s="2565">
        <f t="shared" si="10"/>
        <v>0</v>
      </c>
      <c r="BH225" s="2565">
        <f t="shared" si="10"/>
        <v>0</v>
      </c>
      <c r="BI225" s="2565">
        <f t="shared" si="10"/>
        <v>0</v>
      </c>
      <c r="BJ225" s="2565">
        <f t="shared" si="10"/>
        <v>0</v>
      </c>
      <c r="BK225" s="2565">
        <f t="shared" si="10"/>
        <v>0</v>
      </c>
      <c r="BL225" s="2565">
        <f t="shared" si="10"/>
        <v>0</v>
      </c>
      <c r="BM225" s="2565">
        <f t="shared" si="10"/>
        <v>0</v>
      </c>
      <c r="BN225" s="2565">
        <f t="shared" si="10"/>
        <v>0</v>
      </c>
      <c r="BO225" s="2565">
        <f t="shared" si="10"/>
        <v>0</v>
      </c>
      <c r="BP225" s="2565">
        <f t="shared" si="10"/>
        <v>0</v>
      </c>
      <c r="BQ225" s="2565">
        <f t="shared" si="10"/>
        <v>0</v>
      </c>
      <c r="BR225" s="2565">
        <f t="shared" si="10"/>
        <v>0</v>
      </c>
      <c r="BS225" s="2565">
        <f t="shared" si="10"/>
        <v>0</v>
      </c>
      <c r="BT225" s="2565">
        <f t="shared" si="10"/>
        <v>0</v>
      </c>
      <c r="BU225" s="2565">
        <f t="shared" si="10"/>
        <v>0</v>
      </c>
      <c r="BV225" s="2565">
        <f t="shared" si="10"/>
        <v>0</v>
      </c>
      <c r="BW225" s="2565">
        <f t="shared" si="10"/>
        <v>0</v>
      </c>
      <c r="BX225" s="2565">
        <f t="shared" si="10"/>
        <v>0</v>
      </c>
      <c r="BY225" s="2565">
        <f t="shared" si="10"/>
        <v>5</v>
      </c>
      <c r="BZ225" s="2565">
        <f t="shared" si="10"/>
        <v>10</v>
      </c>
      <c r="CA225" s="2565">
        <f t="shared" si="10"/>
        <v>0</v>
      </c>
      <c r="CB225" s="2565">
        <f t="shared" si="10"/>
        <v>0</v>
      </c>
      <c r="CC225" s="2565">
        <f t="shared" si="10"/>
        <v>0</v>
      </c>
      <c r="CD225" s="2565">
        <f t="shared" si="10"/>
        <v>0</v>
      </c>
      <c r="CE225" s="2567">
        <f t="shared" si="10"/>
        <v>0</v>
      </c>
    </row>
    <row r="226" spans="1:83" ht="12.75" customHeight="1" x14ac:dyDescent="0.2">
      <c r="A226" s="2029">
        <v>211</v>
      </c>
      <c r="B226" s="4995"/>
    </row>
    <row r="227" spans="1:83" ht="12.75" customHeight="1" x14ac:dyDescent="0.2">
      <c r="A227" s="2029">
        <v>211</v>
      </c>
      <c r="B227" s="4995"/>
    </row>
    <row r="228" spans="1:83" ht="12.75" customHeight="1" x14ac:dyDescent="0.2">
      <c r="A228" s="2029">
        <v>211</v>
      </c>
      <c r="B228" s="4995"/>
      <c r="C228" s="4996" t="s">
        <v>9449</v>
      </c>
      <c r="D228" s="4996"/>
      <c r="E228" s="4996"/>
      <c r="F228" s="4996"/>
      <c r="G228" s="4996"/>
      <c r="H228" s="4996"/>
      <c r="I228" s="4996"/>
      <c r="J228" s="4996"/>
      <c r="K228" s="4996"/>
      <c r="L228" s="4996"/>
      <c r="M228" s="4996"/>
      <c r="N228" s="4996"/>
      <c r="O228" s="4996"/>
      <c r="P228" s="4996"/>
      <c r="Q228" s="4996"/>
      <c r="R228" s="4996"/>
      <c r="S228" s="4996"/>
      <c r="T228" s="4996"/>
      <c r="U228" s="4996"/>
      <c r="V228" s="4996"/>
      <c r="W228" s="4996"/>
      <c r="X228" s="4996"/>
      <c r="Y228" s="4996"/>
      <c r="Z228" s="4996"/>
      <c r="AB228" s="413"/>
      <c r="AC228" s="2795"/>
    </row>
    <row r="229" spans="1:83" ht="12.75" customHeight="1" x14ac:dyDescent="0.2">
      <c r="A229" s="2029">
        <v>211</v>
      </c>
      <c r="B229" s="4995"/>
      <c r="C229" s="4996"/>
      <c r="D229" s="4996"/>
      <c r="E229" s="4996"/>
      <c r="F229" s="4996"/>
      <c r="G229" s="4996"/>
      <c r="H229" s="4996"/>
      <c r="I229" s="4996"/>
      <c r="J229" s="4996"/>
      <c r="K229" s="4996"/>
      <c r="L229" s="4996"/>
      <c r="M229" s="4996"/>
      <c r="N229" s="4996"/>
      <c r="O229" s="4996"/>
      <c r="P229" s="4996"/>
      <c r="Q229" s="4996"/>
      <c r="R229" s="4996"/>
      <c r="S229" s="4996"/>
      <c r="T229" s="4996"/>
      <c r="U229" s="4996"/>
      <c r="V229" s="4996"/>
      <c r="W229" s="4996"/>
      <c r="X229" s="4996"/>
      <c r="Y229" s="4996"/>
      <c r="Z229" s="4996"/>
      <c r="AB229" s="413"/>
      <c r="AC229" s="2795"/>
    </row>
    <row r="230" spans="1:83" ht="12.75" customHeight="1" x14ac:dyDescent="0.2">
      <c r="A230" s="2029">
        <v>211</v>
      </c>
      <c r="B230" s="4995"/>
      <c r="C230" s="4996"/>
      <c r="D230" s="4996"/>
      <c r="E230" s="4996"/>
      <c r="F230" s="4996"/>
      <c r="G230" s="4996"/>
      <c r="H230" s="4996"/>
      <c r="I230" s="4996"/>
      <c r="J230" s="4996"/>
      <c r="K230" s="4996"/>
      <c r="L230" s="4996"/>
      <c r="M230" s="4996"/>
      <c r="N230" s="4996"/>
      <c r="O230" s="4996"/>
      <c r="P230" s="4996"/>
      <c r="Q230" s="4996"/>
      <c r="R230" s="4996"/>
      <c r="S230" s="4996"/>
      <c r="T230" s="4996"/>
      <c r="U230" s="4996"/>
      <c r="V230" s="4996"/>
      <c r="W230" s="4996"/>
      <c r="X230" s="4996"/>
      <c r="Y230" s="4996"/>
      <c r="Z230" s="4996"/>
      <c r="AB230" s="413"/>
      <c r="AC230" s="2795"/>
    </row>
    <row r="231" spans="1:83" ht="12.75" customHeight="1" thickBot="1" x14ac:dyDescent="0.25">
      <c r="A231" s="2029">
        <v>211</v>
      </c>
      <c r="B231" s="4995"/>
      <c r="H231" s="413"/>
      <c r="I231" s="2625"/>
      <c r="N231" s="413"/>
      <c r="O231" s="2625"/>
      <c r="AB231" s="413"/>
      <c r="AC231" s="2795"/>
    </row>
    <row r="232" spans="1:83" ht="12.75" customHeight="1" x14ac:dyDescent="0.2">
      <c r="A232" s="2029">
        <v>211</v>
      </c>
      <c r="B232" s="4995"/>
      <c r="C232" s="5176" t="s">
        <v>2738</v>
      </c>
      <c r="D232" s="5177"/>
      <c r="E232" s="5177"/>
      <c r="F232" s="5177"/>
      <c r="G232" s="5177"/>
      <c r="H232" s="5178"/>
      <c r="I232" s="2625"/>
      <c r="L232" s="4997" t="s">
        <v>3021</v>
      </c>
      <c r="M232" s="4998"/>
      <c r="N232" s="4998"/>
      <c r="O232" s="4998"/>
      <c r="P232" s="4998"/>
      <c r="Q232" s="4998"/>
      <c r="R232" s="4998"/>
      <c r="S232" s="4998"/>
      <c r="T232" s="4998"/>
      <c r="U232" s="4998"/>
      <c r="V232" s="4998"/>
      <c r="W232" s="4998"/>
      <c r="X232" s="4998"/>
      <c r="Y232" s="4998"/>
      <c r="Z232" s="4999"/>
      <c r="AB232" s="413"/>
      <c r="AC232" s="2795"/>
    </row>
    <row r="233" spans="1:83" ht="12.75" customHeight="1" x14ac:dyDescent="0.2">
      <c r="A233" s="2029">
        <v>211</v>
      </c>
      <c r="B233" s="4995"/>
      <c r="C233" s="2440" t="s">
        <v>1661</v>
      </c>
      <c r="D233" s="2441" t="s">
        <v>3412</v>
      </c>
      <c r="E233" s="2441" t="s">
        <v>8545</v>
      </c>
      <c r="F233" s="2441" t="s">
        <v>8544</v>
      </c>
      <c r="G233" s="2441" t="s">
        <v>1676</v>
      </c>
      <c r="H233" s="2442" t="s">
        <v>9273</v>
      </c>
      <c r="I233" s="2625"/>
      <c r="L233" s="5000"/>
      <c r="M233" s="5001"/>
      <c r="N233" s="5001"/>
      <c r="O233" s="5001"/>
      <c r="P233" s="5001"/>
      <c r="Q233" s="5001"/>
      <c r="R233" s="5001"/>
      <c r="S233" s="5001"/>
      <c r="T233" s="5001"/>
      <c r="U233" s="5001"/>
      <c r="V233" s="5001"/>
      <c r="W233" s="5001"/>
      <c r="X233" s="5001"/>
      <c r="Y233" s="5001"/>
      <c r="Z233" s="5002"/>
      <c r="AB233" s="413"/>
      <c r="AC233" s="2795"/>
    </row>
    <row r="234" spans="1:83" ht="12.75" customHeight="1" thickBot="1" x14ac:dyDescent="0.25">
      <c r="A234" s="2029">
        <v>211</v>
      </c>
      <c r="B234" s="4995"/>
      <c r="C234" s="2444">
        <f>D234+E234+F234+G234+H234</f>
        <v>0</v>
      </c>
      <c r="D234" s="2445">
        <f>SUM($H$256:H397)+SUM(H491:H535)</f>
        <v>0</v>
      </c>
      <c r="E234" s="2445">
        <f>E236+F236</f>
        <v>0</v>
      </c>
      <c r="F234" s="2445">
        <f>SUM(H551:H557)+SUM(H469:H490)</f>
        <v>0</v>
      </c>
      <c r="G234" s="2445">
        <f>H250</f>
        <v>0</v>
      </c>
      <c r="H234" s="2446">
        <f>Q262</f>
        <v>0</v>
      </c>
      <c r="I234" s="1761"/>
      <c r="L234" s="2154"/>
      <c r="M234" s="419"/>
      <c r="N234" s="419" t="s">
        <v>1754</v>
      </c>
      <c r="O234" s="419" t="s">
        <v>1804</v>
      </c>
      <c r="P234" s="419" t="s">
        <v>2740</v>
      </c>
      <c r="Q234" s="419" t="s">
        <v>2741</v>
      </c>
      <c r="R234" s="5156" t="s">
        <v>2248</v>
      </c>
      <c r="S234" s="5156"/>
      <c r="T234" s="419" t="s">
        <v>2249</v>
      </c>
      <c r="U234" s="5156" t="s">
        <v>2250</v>
      </c>
      <c r="V234" s="5156"/>
      <c r="W234" s="419" t="s">
        <v>2249</v>
      </c>
      <c r="X234" s="5156" t="s">
        <v>2251</v>
      </c>
      <c r="Y234" s="5156"/>
      <c r="Z234" s="420" t="s">
        <v>2249</v>
      </c>
      <c r="AB234" s="413"/>
      <c r="AC234" s="2795"/>
    </row>
    <row r="235" spans="1:83" ht="12.75" customHeight="1" thickBot="1" x14ac:dyDescent="0.25">
      <c r="A235" s="2029">
        <v>211</v>
      </c>
      <c r="B235" s="4995"/>
      <c r="E235" s="2438" t="s">
        <v>2760</v>
      </c>
      <c r="F235" s="2439" t="s">
        <v>8543</v>
      </c>
      <c r="H235" s="413"/>
      <c r="I235" s="1761"/>
      <c r="L235" s="1766" t="str">
        <f>N235</f>
        <v>&gt; LEGADOS DE SANGRE</v>
      </c>
      <c r="M235" s="2476">
        <f t="shared" ref="M235:M261" si="11">COUNTIF($N$236:$N$261,"&lt;="&amp;N235)</f>
        <v>0</v>
      </c>
      <c r="N235" s="129" t="s">
        <v>3022</v>
      </c>
      <c r="O235" s="506"/>
      <c r="P235" s="503"/>
      <c r="Q235" s="495"/>
      <c r="R235" s="2157"/>
      <c r="S235" s="2158"/>
      <c r="T235" s="426"/>
      <c r="U235" s="2157"/>
      <c r="V235" s="2158"/>
      <c r="W235" s="426"/>
      <c r="X235" s="178"/>
      <c r="Y235" s="178"/>
      <c r="Z235" s="69"/>
      <c r="AB235" s="413"/>
      <c r="AC235" s="2795"/>
    </row>
    <row r="236" spans="1:83" ht="12.75" customHeight="1" thickBot="1" x14ac:dyDescent="0.25">
      <c r="A236" s="2029">
        <v>211</v>
      </c>
      <c r="B236" s="4995"/>
      <c r="E236" s="2443">
        <f>SUM(H398:H442)+SUM(H536:H544)</f>
        <v>0</v>
      </c>
      <c r="F236" s="2443">
        <f>SUM(H443:H467)+SUM(H546:H549)</f>
        <v>0</v>
      </c>
      <c r="H236" s="413"/>
      <c r="I236" s="1761"/>
      <c r="L236" s="2435" t="str">
        <f t="shared" ref="L236:L261" si="12">VLOOKUP(A1,$M$235:$N$261,2,0)</f>
        <v>Armas Naturales</v>
      </c>
      <c r="M236" s="2453">
        <f t="shared" si="11"/>
        <v>11</v>
      </c>
      <c r="N236" s="129" t="s">
        <v>3023</v>
      </c>
      <c r="O236" s="506">
        <f>1+IF(Principal!$Y$24="No",1,0)</f>
        <v>1</v>
      </c>
      <c r="P236" s="503">
        <f>COUNTIF(Principal!$C$32:$J$50,Tablas!N236)</f>
        <v>0</v>
      </c>
      <c r="Q236" s="496">
        <f t="shared" ref="Q236:Q261" si="13">P236*O236</f>
        <v>0</v>
      </c>
      <c r="R236" s="2156" t="s">
        <v>3024</v>
      </c>
      <c r="S236" s="178"/>
      <c r="T236" s="426">
        <v>1</v>
      </c>
      <c r="U236" s="178" t="s">
        <v>3025</v>
      </c>
      <c r="V236" s="178"/>
      <c r="W236" s="426">
        <v>1</v>
      </c>
      <c r="X236" s="178"/>
      <c r="Y236" s="178"/>
      <c r="Z236" s="284"/>
      <c r="AB236" s="413"/>
      <c r="AC236" s="2795"/>
    </row>
    <row r="237" spans="1:83" ht="12.75" customHeight="1" thickBot="1" x14ac:dyDescent="0.25">
      <c r="A237" s="2029">
        <v>211</v>
      </c>
      <c r="B237" s="4995"/>
      <c r="H237" s="413"/>
      <c r="I237" s="1761"/>
      <c r="L237" s="2435" t="str">
        <f t="shared" si="12"/>
        <v>Devorador de Existencia</v>
      </c>
      <c r="M237" s="2453">
        <f t="shared" si="11"/>
        <v>10</v>
      </c>
      <c r="N237" s="129" t="s">
        <v>3026</v>
      </c>
      <c r="O237" s="506">
        <f>1+IF(Principal!$Y$24="No",1,0)</f>
        <v>1</v>
      </c>
      <c r="P237" s="503">
        <f>COUNTIF(Principal!$C$32:$J$50,Tablas!N237)</f>
        <v>0</v>
      </c>
      <c r="Q237" s="496">
        <f t="shared" si="13"/>
        <v>0</v>
      </c>
      <c r="R237" s="2156" t="s">
        <v>3027</v>
      </c>
      <c r="S237" s="178"/>
      <c r="T237" s="426">
        <v>1</v>
      </c>
      <c r="U237" s="2156" t="s">
        <v>3028</v>
      </c>
      <c r="V237" s="178"/>
      <c r="W237" s="426">
        <v>1</v>
      </c>
      <c r="X237" s="178"/>
      <c r="Y237" s="178"/>
      <c r="Z237" s="284"/>
      <c r="AB237" s="413"/>
      <c r="AC237" s="2795"/>
    </row>
    <row r="238" spans="1:83" ht="12.75" customHeight="1" thickBot="1" x14ac:dyDescent="0.25">
      <c r="A238" s="2029">
        <v>211</v>
      </c>
      <c r="B238" s="4995"/>
      <c r="C238" s="5051" t="s">
        <v>2739</v>
      </c>
      <c r="D238" s="5051"/>
      <c r="E238" s="5051"/>
      <c r="F238" s="5051"/>
      <c r="G238" s="5051"/>
      <c r="H238" s="5051"/>
      <c r="I238" s="5051"/>
      <c r="L238" s="2435" t="str">
        <f t="shared" si="12"/>
        <v>Esencia Venenosa</v>
      </c>
      <c r="M238" s="2453">
        <f t="shared" si="11"/>
        <v>12</v>
      </c>
      <c r="N238" s="129" t="s">
        <v>3029</v>
      </c>
      <c r="O238" s="506">
        <f>1+IF(Principal!$Y$24="No",1,0)</f>
        <v>1</v>
      </c>
      <c r="P238" s="503">
        <f>COUNTIF(Principal!$C$32:$J$50,Tablas!N238)</f>
        <v>0</v>
      </c>
      <c r="Q238" s="496">
        <f t="shared" si="13"/>
        <v>0</v>
      </c>
      <c r="R238" s="2156" t="s">
        <v>3030</v>
      </c>
      <c r="S238" s="178"/>
      <c r="T238" s="426"/>
      <c r="U238" s="2156" t="s">
        <v>3031</v>
      </c>
      <c r="V238" s="178"/>
      <c r="W238" s="426"/>
      <c r="X238" s="178" t="s">
        <v>3032</v>
      </c>
      <c r="Y238" s="178"/>
      <c r="Z238" s="284">
        <v>1</v>
      </c>
      <c r="AB238" s="413"/>
      <c r="AC238" s="2795"/>
    </row>
    <row r="239" spans="1:83" ht="12.75" customHeight="1" x14ac:dyDescent="0.2">
      <c r="A239" s="2029">
        <v>211</v>
      </c>
      <c r="B239" s="4995"/>
      <c r="C239" s="5051"/>
      <c r="D239" s="5051"/>
      <c r="E239" s="5051"/>
      <c r="F239" s="5051"/>
      <c r="G239" s="5051"/>
      <c r="H239" s="5051"/>
      <c r="I239" s="5051"/>
      <c r="L239" s="2435" t="str">
        <f t="shared" si="12"/>
        <v>La Sangre de Orochi</v>
      </c>
      <c r="M239" s="2453">
        <f t="shared" si="11"/>
        <v>15</v>
      </c>
      <c r="N239" s="129" t="s">
        <v>3033</v>
      </c>
      <c r="O239" s="506">
        <f>1+IF(Principal!$Y$24="No",1,0)</f>
        <v>1</v>
      </c>
      <c r="P239" s="503">
        <f>COUNTIF(Principal!$C$32:$J$50,Tablas!N239)</f>
        <v>0</v>
      </c>
      <c r="Q239" s="496">
        <f t="shared" si="13"/>
        <v>0</v>
      </c>
      <c r="R239" s="2156" t="s">
        <v>3034</v>
      </c>
      <c r="S239" s="178"/>
      <c r="T239" s="426"/>
      <c r="U239" s="2156" t="s">
        <v>3035</v>
      </c>
      <c r="V239" s="178"/>
      <c r="W239" s="426"/>
      <c r="X239" s="178"/>
      <c r="Y239" s="178"/>
      <c r="Z239" s="284"/>
      <c r="AB239" s="413"/>
      <c r="AC239" s="2795"/>
    </row>
    <row r="240" spans="1:83" ht="12.75" customHeight="1" x14ac:dyDescent="0.2">
      <c r="A240" s="2029">
        <v>211</v>
      </c>
      <c r="B240" s="4995"/>
      <c r="C240" s="492"/>
      <c r="D240" s="493"/>
      <c r="E240" s="480" t="s">
        <v>1754</v>
      </c>
      <c r="F240" s="480" t="s">
        <v>1804</v>
      </c>
      <c r="G240" s="480" t="s">
        <v>2740</v>
      </c>
      <c r="H240" s="480" t="s">
        <v>2741</v>
      </c>
      <c r="I240" s="1860" t="s">
        <v>2249</v>
      </c>
      <c r="L240" s="2435" t="str">
        <f t="shared" si="12"/>
        <v>La Sangre de Uroboros</v>
      </c>
      <c r="M240" s="2453">
        <f t="shared" si="11"/>
        <v>14</v>
      </c>
      <c r="N240" s="129" t="s">
        <v>3036</v>
      </c>
      <c r="O240" s="506">
        <f>1+IF(Principal!$Y$24="No",1,0)</f>
        <v>1</v>
      </c>
      <c r="P240" s="503">
        <f>COUNTIF(Principal!$C$32:$J$50,Tablas!N240)</f>
        <v>0</v>
      </c>
      <c r="Q240" s="496">
        <f t="shared" si="13"/>
        <v>0</v>
      </c>
      <c r="R240" s="2156" t="s">
        <v>3037</v>
      </c>
      <c r="S240" s="178"/>
      <c r="T240" s="426"/>
      <c r="U240" s="2156" t="s">
        <v>3038</v>
      </c>
      <c r="V240" s="178"/>
      <c r="W240" s="426">
        <v>1</v>
      </c>
      <c r="X240" s="178" t="s">
        <v>9197</v>
      </c>
      <c r="Y240" s="178"/>
      <c r="Z240" s="284">
        <v>1</v>
      </c>
      <c r="AB240" s="413"/>
      <c r="AC240" s="2795"/>
    </row>
    <row r="241" spans="1:29" ht="12.75" customHeight="1" x14ac:dyDescent="0.2">
      <c r="A241" s="2029">
        <v>211</v>
      </c>
      <c r="B241" s="4995"/>
      <c r="C241" s="65"/>
      <c r="D241" s="68"/>
      <c r="E241" s="468" t="s">
        <v>9168</v>
      </c>
      <c r="F241" s="495"/>
      <c r="G241" s="495"/>
      <c r="H241" s="495"/>
      <c r="I241" s="345"/>
      <c r="L241" s="2435" t="str">
        <f t="shared" si="12"/>
        <v>Legado de la Luna (Tsukiyomi)</v>
      </c>
      <c r="M241" s="2453">
        <f t="shared" si="11"/>
        <v>17</v>
      </c>
      <c r="N241" s="129" t="s">
        <v>3039</v>
      </c>
      <c r="O241" s="506">
        <f>1+IF(Principal!$Y$24="No",1,0)</f>
        <v>1</v>
      </c>
      <c r="P241" s="503">
        <f>COUNTIF(Principal!$C$32:$J$50,Tablas!N241)</f>
        <v>0</v>
      </c>
      <c r="Q241" s="496">
        <f t="shared" si="13"/>
        <v>0</v>
      </c>
      <c r="R241" s="2156" t="s">
        <v>1680</v>
      </c>
      <c r="S241" s="178"/>
      <c r="T241" s="426">
        <v>1</v>
      </c>
      <c r="U241" s="2156" t="s">
        <v>3040</v>
      </c>
      <c r="V241" s="178"/>
      <c r="W241" s="426">
        <v>1</v>
      </c>
      <c r="X241" s="178" t="s">
        <v>3041</v>
      </c>
      <c r="Y241" s="178"/>
      <c r="Z241" s="284">
        <v>1</v>
      </c>
      <c r="AB241" s="413"/>
      <c r="AC241" s="2795"/>
    </row>
    <row r="242" spans="1:29" ht="12.75" customHeight="1" x14ac:dyDescent="0.2">
      <c r="A242" s="2029">
        <v>211</v>
      </c>
      <c r="B242" s="4995"/>
      <c r="C242" s="65"/>
      <c r="D242" s="263"/>
      <c r="E242" s="2312" t="s">
        <v>3175</v>
      </c>
      <c r="F242" s="425">
        <v>1</v>
      </c>
      <c r="G242" s="425">
        <f>COUNTIF(Principal!$C$32:$J$50,Tablas!E242)</f>
        <v>0</v>
      </c>
      <c r="H242" s="496">
        <f t="shared" ref="H242:H249" si="14">G242*F242</f>
        <v>0</v>
      </c>
      <c r="I242" s="345">
        <v>1</v>
      </c>
      <c r="L242" s="2435" t="str">
        <f t="shared" si="12"/>
        <v>Los Ojos de la Muerte</v>
      </c>
      <c r="M242" s="2453">
        <f t="shared" si="11"/>
        <v>13</v>
      </c>
      <c r="N242" s="129" t="s">
        <v>9167</v>
      </c>
      <c r="O242" s="506">
        <f>1+IF(Principal!$Y$24="No",1,0)</f>
        <v>1</v>
      </c>
      <c r="P242" s="503">
        <f>COUNTIF(Principal!$C$32:$J$50,Tablas!N242)</f>
        <v>0</v>
      </c>
      <c r="Q242" s="496">
        <f t="shared" si="13"/>
        <v>0</v>
      </c>
      <c r="R242" s="2156" t="s">
        <v>3042</v>
      </c>
      <c r="S242" s="178"/>
      <c r="T242" s="426">
        <v>1</v>
      </c>
      <c r="U242" s="2156" t="s">
        <v>3043</v>
      </c>
      <c r="V242" s="178"/>
      <c r="W242" s="426">
        <v>1</v>
      </c>
      <c r="X242" s="178"/>
      <c r="Y242" s="178"/>
      <c r="Z242" s="284"/>
      <c r="AB242" s="413"/>
      <c r="AC242" s="2795"/>
    </row>
    <row r="243" spans="1:29" ht="12.75" customHeight="1" x14ac:dyDescent="0.2">
      <c r="A243" s="2029">
        <v>211</v>
      </c>
      <c r="B243" s="4995"/>
      <c r="C243" s="65"/>
      <c r="D243" s="263"/>
      <c r="E243" s="2312" t="s">
        <v>3177</v>
      </c>
      <c r="F243" s="425">
        <v>1</v>
      </c>
      <c r="G243" s="425">
        <f>COUNTIF(Principal!$C$32:$J$50,Tablas!E243)</f>
        <v>0</v>
      </c>
      <c r="H243" s="496">
        <f t="shared" si="14"/>
        <v>0</v>
      </c>
      <c r="I243" s="345">
        <v>1</v>
      </c>
      <c r="L243" s="2435" t="str">
        <f t="shared" si="12"/>
        <v>Ojos del Alma</v>
      </c>
      <c r="M243" s="2453">
        <f t="shared" si="11"/>
        <v>16</v>
      </c>
      <c r="N243" s="129" t="s">
        <v>3044</v>
      </c>
      <c r="O243" s="506">
        <f>1+IF(Principal!$Y$24="No",1,0)</f>
        <v>1</v>
      </c>
      <c r="P243" s="503">
        <f>COUNTIF(Principal!$C$32:$J$50,Tablas!N243)</f>
        <v>0</v>
      </c>
      <c r="Q243" s="496">
        <f t="shared" si="13"/>
        <v>0</v>
      </c>
      <c r="R243" s="2156" t="s">
        <v>3045</v>
      </c>
      <c r="S243" s="178"/>
      <c r="T243" s="426">
        <v>1</v>
      </c>
      <c r="U243" s="2156" t="s">
        <v>3046</v>
      </c>
      <c r="V243" s="178"/>
      <c r="W243" s="426">
        <v>1</v>
      </c>
      <c r="X243" s="178"/>
      <c r="Y243" s="178"/>
      <c r="Z243" s="284"/>
      <c r="AB243" s="413"/>
      <c r="AC243" s="2795"/>
    </row>
    <row r="244" spans="1:29" ht="12.75" customHeight="1" x14ac:dyDescent="0.2">
      <c r="A244" s="2029">
        <v>211</v>
      </c>
      <c r="B244" s="4995"/>
      <c r="C244" s="65"/>
      <c r="D244" s="263"/>
      <c r="E244" s="2312" t="s">
        <v>3179</v>
      </c>
      <c r="F244" s="425">
        <v>1</v>
      </c>
      <c r="G244" s="425">
        <f>COUNTIF(Principal!$C$32:$J$50,Tablas!E244)</f>
        <v>0</v>
      </c>
      <c r="H244" s="496">
        <f t="shared" si="14"/>
        <v>0</v>
      </c>
      <c r="I244" s="345">
        <v>1</v>
      </c>
      <c r="L244" s="2435" t="str">
        <f t="shared" si="12"/>
        <v>Ojos del Destino</v>
      </c>
      <c r="M244" s="2453">
        <f t="shared" si="11"/>
        <v>7</v>
      </c>
      <c r="N244" s="129" t="s">
        <v>3047</v>
      </c>
      <c r="O244" s="506">
        <f>2+IF(Principal!$Y$24="No",1,0)</f>
        <v>2</v>
      </c>
      <c r="P244" s="503">
        <f>COUNTIF(Principal!$C$32:$J$50,Tablas!N244)</f>
        <v>0</v>
      </c>
      <c r="Q244" s="496">
        <f t="shared" si="13"/>
        <v>0</v>
      </c>
      <c r="R244" s="2156" t="s">
        <v>3048</v>
      </c>
      <c r="S244" s="178"/>
      <c r="T244" s="426"/>
      <c r="U244" s="2156"/>
      <c r="V244" s="178"/>
      <c r="W244" s="426"/>
      <c r="X244" s="178"/>
      <c r="Y244" s="178"/>
      <c r="Z244" s="284"/>
      <c r="AB244" s="413"/>
      <c r="AC244" s="2795"/>
    </row>
    <row r="245" spans="1:29" ht="12.75" customHeight="1" x14ac:dyDescent="0.2">
      <c r="A245" s="2029">
        <v>211</v>
      </c>
      <c r="B245" s="4995"/>
      <c r="C245" s="65"/>
      <c r="D245" s="263"/>
      <c r="E245" s="2312" t="s">
        <v>3181</v>
      </c>
      <c r="F245" s="425">
        <v>1</v>
      </c>
      <c r="G245" s="425">
        <f>COUNTIF(Principal!$C$32:$J$50,Tablas!E245)</f>
        <v>0</v>
      </c>
      <c r="H245" s="496">
        <f t="shared" si="14"/>
        <v>0</v>
      </c>
      <c r="I245" s="345">
        <v>1</v>
      </c>
      <c r="L245" s="2435" t="str">
        <f t="shared" si="12"/>
        <v>Sangre de Aeon: Boreas</v>
      </c>
      <c r="M245" s="2453">
        <f t="shared" si="11"/>
        <v>8</v>
      </c>
      <c r="N245" s="129" t="s">
        <v>3049</v>
      </c>
      <c r="O245" s="506">
        <f>1+IF(Principal!$Y$24="No",1,0)</f>
        <v>1</v>
      </c>
      <c r="P245" s="503">
        <f>COUNTIF(Principal!$C$32:$J$50,Tablas!N245)</f>
        <v>0</v>
      </c>
      <c r="Q245" s="496">
        <f t="shared" si="13"/>
        <v>0</v>
      </c>
      <c r="R245" s="2156" t="s">
        <v>3049</v>
      </c>
      <c r="S245" s="178"/>
      <c r="T245" s="426"/>
      <c r="U245" s="2156"/>
      <c r="V245" s="178"/>
      <c r="W245" s="426"/>
      <c r="X245" s="178"/>
      <c r="Y245" s="178"/>
      <c r="Z245" s="284"/>
      <c r="AB245" s="413"/>
      <c r="AC245" s="2795"/>
    </row>
    <row r="246" spans="1:29" ht="12.75" customHeight="1" x14ac:dyDescent="0.2">
      <c r="A246" s="2029">
        <v>211</v>
      </c>
      <c r="B246" s="4995"/>
      <c r="C246" s="65"/>
      <c r="D246" s="263"/>
      <c r="E246" s="2312" t="s">
        <v>3183</v>
      </c>
      <c r="F246" s="425">
        <v>1</v>
      </c>
      <c r="G246" s="425">
        <f>COUNTIF(Principal!$C$32:$J$50,Tablas!E246)</f>
        <v>0</v>
      </c>
      <c r="H246" s="496">
        <f t="shared" si="14"/>
        <v>0</v>
      </c>
      <c r="I246" s="345">
        <v>1</v>
      </c>
      <c r="L246" s="2435" t="str">
        <f t="shared" si="12"/>
        <v>Sangre de Aeon: Kagutsuchi</v>
      </c>
      <c r="M246" s="2453">
        <f t="shared" si="11"/>
        <v>6</v>
      </c>
      <c r="N246" s="129" t="s">
        <v>3050</v>
      </c>
      <c r="O246" s="506">
        <f>1+IF(Principal!$Y$24="No",1,0)</f>
        <v>1</v>
      </c>
      <c r="P246" s="503">
        <f>COUNTIF(Principal!$C$32:$J$50,Tablas!N246)</f>
        <v>0</v>
      </c>
      <c r="Q246" s="496">
        <f t="shared" si="13"/>
        <v>0</v>
      </c>
      <c r="R246" s="2156" t="s">
        <v>3051</v>
      </c>
      <c r="S246" s="178"/>
      <c r="T246" s="426"/>
      <c r="U246" s="2156"/>
      <c r="V246" s="178"/>
      <c r="W246" s="426"/>
      <c r="X246" s="178"/>
      <c r="Y246" s="178"/>
      <c r="Z246" s="284"/>
      <c r="AB246" s="413"/>
      <c r="AC246" s="2795"/>
    </row>
    <row r="247" spans="1:29" ht="12.75" customHeight="1" x14ac:dyDescent="0.2">
      <c r="A247" s="2029">
        <v>211</v>
      </c>
      <c r="B247" s="4995"/>
      <c r="C247" s="65"/>
      <c r="D247" s="263"/>
      <c r="E247" s="2312" t="s">
        <v>3185</v>
      </c>
      <c r="F247" s="425">
        <v>1</v>
      </c>
      <c r="G247" s="425">
        <f>COUNTIF(Principal!$C$32:$J$50,Tablas!E247)</f>
        <v>0</v>
      </c>
      <c r="H247" s="496">
        <f t="shared" si="14"/>
        <v>0</v>
      </c>
      <c r="I247" s="345">
        <v>1</v>
      </c>
      <c r="L247" s="2435" t="str">
        <f t="shared" si="12"/>
        <v>Sangre de Aeon: Niflheim</v>
      </c>
      <c r="M247" s="2453">
        <f t="shared" si="11"/>
        <v>5</v>
      </c>
      <c r="N247" s="129" t="s">
        <v>3052</v>
      </c>
      <c r="O247" s="506">
        <f>1+IF(Principal!$Y$24="No",1,0)</f>
        <v>1</v>
      </c>
      <c r="P247" s="503">
        <f>COUNTIF(Principal!$C$32:$J$50,Tablas!N247)</f>
        <v>0</v>
      </c>
      <c r="Q247" s="496">
        <f t="shared" si="13"/>
        <v>0</v>
      </c>
      <c r="R247" s="2156" t="s">
        <v>3052</v>
      </c>
      <c r="S247" s="178"/>
      <c r="T247" s="426"/>
      <c r="U247" s="2156"/>
      <c r="V247" s="178"/>
      <c r="W247" s="508"/>
      <c r="X247" s="178"/>
      <c r="Y247" s="178"/>
      <c r="Z247" s="284"/>
      <c r="AB247" s="413"/>
      <c r="AC247" s="2795"/>
    </row>
    <row r="248" spans="1:29" ht="12.75" customHeight="1" x14ac:dyDescent="0.2">
      <c r="A248" s="2029">
        <v>211</v>
      </c>
      <c r="B248" s="4995"/>
      <c r="C248" s="65"/>
      <c r="D248" s="263"/>
      <c r="E248" s="2312" t="s">
        <v>3187</v>
      </c>
      <c r="F248" s="425">
        <v>1</v>
      </c>
      <c r="G248" s="425">
        <f>COUNTIF(Principal!$C$32:$J$50,Tablas!E248)</f>
        <v>0</v>
      </c>
      <c r="H248" s="496">
        <f t="shared" si="14"/>
        <v>0</v>
      </c>
      <c r="I248" s="345">
        <v>1</v>
      </c>
      <c r="L248" s="2435" t="str">
        <f t="shared" si="12"/>
        <v>Sangre de Aeon: Phandemonium</v>
      </c>
      <c r="M248" s="2453">
        <f t="shared" si="11"/>
        <v>19</v>
      </c>
      <c r="N248" s="129" t="s">
        <v>3053</v>
      </c>
      <c r="O248" s="506">
        <f>1+IF(Principal!$Y$24="No",1,0)</f>
        <v>1</v>
      </c>
      <c r="P248" s="503">
        <f>COUNTIF(Principal!$C$32:$J$50,Tablas!N248)</f>
        <v>0</v>
      </c>
      <c r="Q248" s="496">
        <f t="shared" si="13"/>
        <v>0</v>
      </c>
      <c r="R248" s="2156" t="s">
        <v>3054</v>
      </c>
      <c r="S248" s="178"/>
      <c r="T248" s="426">
        <v>1</v>
      </c>
      <c r="U248" s="2156"/>
      <c r="V248" s="178"/>
      <c r="W248" s="508"/>
      <c r="X248" s="178"/>
      <c r="Y248" s="178"/>
      <c r="Z248" s="284"/>
      <c r="AB248" s="413"/>
      <c r="AC248" s="2795"/>
    </row>
    <row r="249" spans="1:29" ht="12.75" customHeight="1" thickBot="1" x14ac:dyDescent="0.25">
      <c r="A249" s="2029">
        <v>211</v>
      </c>
      <c r="B249" s="4995"/>
      <c r="C249" s="198"/>
      <c r="D249" s="439"/>
      <c r="E249" s="2313" t="s">
        <v>3189</v>
      </c>
      <c r="F249" s="498">
        <v>1</v>
      </c>
      <c r="G249" s="498">
        <f>COUNTIF(Principal!$C$32:$J$50,Tablas!E249)</f>
        <v>0</v>
      </c>
      <c r="H249" s="499">
        <f t="shared" si="14"/>
        <v>0</v>
      </c>
      <c r="I249" s="1861">
        <v>1</v>
      </c>
      <c r="L249" s="2435" t="str">
        <f t="shared" si="12"/>
        <v>Sangre de Aeon: Ran</v>
      </c>
      <c r="M249" s="2453">
        <f t="shared" si="11"/>
        <v>20</v>
      </c>
      <c r="N249" s="129" t="s">
        <v>3055</v>
      </c>
      <c r="O249" s="506">
        <f>2+IF(Principal!$Y$24="No",1,0)</f>
        <v>2</v>
      </c>
      <c r="P249" s="503">
        <f>COUNTIF(Principal!$C$32:$J$50,Tablas!N249)</f>
        <v>0</v>
      </c>
      <c r="Q249" s="496">
        <f t="shared" si="13"/>
        <v>0</v>
      </c>
      <c r="R249" s="2156" t="s">
        <v>3056</v>
      </c>
      <c r="S249" s="178"/>
      <c r="T249" s="426">
        <v>1</v>
      </c>
      <c r="U249" s="2156"/>
      <c r="V249" s="178"/>
      <c r="W249" s="508"/>
      <c r="X249" s="178"/>
      <c r="Y249" s="178"/>
      <c r="Z249" s="284"/>
      <c r="AB249" s="413"/>
      <c r="AC249" s="2795"/>
    </row>
    <row r="250" spans="1:29" ht="12.75" customHeight="1" thickBot="1" x14ac:dyDescent="0.25">
      <c r="A250" s="2029">
        <v>211</v>
      </c>
      <c r="B250" s="4995"/>
      <c r="H250" s="5200">
        <f>SUM(H241:H249)</f>
        <v>0</v>
      </c>
      <c r="I250" s="1761"/>
      <c r="L250" s="2435" t="str">
        <f t="shared" si="12"/>
        <v>Sangre de Aeon: Rudraksha</v>
      </c>
      <c r="M250" s="2453">
        <f t="shared" si="11"/>
        <v>21</v>
      </c>
      <c r="N250" s="129" t="s">
        <v>3057</v>
      </c>
      <c r="O250" s="506">
        <f>3+IF(Principal!$Y$24="No",1,0)</f>
        <v>3</v>
      </c>
      <c r="P250" s="503">
        <f>COUNTIF(Principal!$C$32:$J$50,Tablas!N250)</f>
        <v>0</v>
      </c>
      <c r="Q250" s="496">
        <f t="shared" si="13"/>
        <v>0</v>
      </c>
      <c r="R250" s="2156" t="s">
        <v>3058</v>
      </c>
      <c r="S250" s="178"/>
      <c r="T250" s="426">
        <v>1</v>
      </c>
      <c r="U250" s="2156"/>
      <c r="V250" s="178"/>
      <c r="W250" s="508"/>
      <c r="X250" s="178"/>
      <c r="Y250" s="178"/>
      <c r="Z250" s="284"/>
      <c r="AB250" s="413"/>
      <c r="AC250" s="2795"/>
    </row>
    <row r="251" spans="1:29" ht="12.75" customHeight="1" thickBot="1" x14ac:dyDescent="0.25">
      <c r="A251" s="2029">
        <v>211</v>
      </c>
      <c r="B251" s="4995"/>
      <c r="H251" s="5200"/>
      <c r="I251" s="1761"/>
      <c r="L251" s="2435" t="str">
        <f t="shared" si="12"/>
        <v>Sangre de Aeon: Shephirah</v>
      </c>
      <c r="M251" s="2453">
        <f t="shared" si="11"/>
        <v>9</v>
      </c>
      <c r="N251" s="129" t="s">
        <v>3059</v>
      </c>
      <c r="O251" s="506">
        <f>2+IF(Principal!$Y$24="No",1,0)</f>
        <v>2</v>
      </c>
      <c r="P251" s="503">
        <f>COUNTIF(Principal!$C$32:$J$50,Tablas!N251)</f>
        <v>0</v>
      </c>
      <c r="Q251" s="496">
        <f t="shared" si="13"/>
        <v>0</v>
      </c>
      <c r="R251" s="2156" t="s">
        <v>3059</v>
      </c>
      <c r="S251" s="178"/>
      <c r="T251" s="426"/>
      <c r="U251" s="2156"/>
      <c r="V251" s="178"/>
      <c r="W251" s="508"/>
      <c r="X251" s="178"/>
      <c r="Y251" s="178"/>
      <c r="Z251" s="284"/>
      <c r="AB251" s="413"/>
      <c r="AC251" s="2795"/>
    </row>
    <row r="252" spans="1:29" ht="12.75" customHeight="1" thickBot="1" x14ac:dyDescent="0.25">
      <c r="A252" s="2029">
        <v>211</v>
      </c>
      <c r="B252" s="4995"/>
      <c r="H252" s="413"/>
      <c r="I252" s="1761"/>
      <c r="L252" s="2435" t="str">
        <f t="shared" si="12"/>
        <v>Sangre de Aeon: Toa</v>
      </c>
      <c r="M252" s="2453">
        <f t="shared" si="11"/>
        <v>24</v>
      </c>
      <c r="N252" s="129" t="s">
        <v>3060</v>
      </c>
      <c r="O252" s="506">
        <f>1+IF(Principal!$Y$24="No",1,0)</f>
        <v>1</v>
      </c>
      <c r="P252" s="503">
        <f>COUNTIF(Principal!$C$32:$J$50,Tablas!N252)</f>
        <v>0</v>
      </c>
      <c r="Q252" s="496">
        <f t="shared" si="13"/>
        <v>0</v>
      </c>
      <c r="R252" s="2156" t="s">
        <v>3061</v>
      </c>
      <c r="S252" s="178"/>
      <c r="T252" s="426"/>
      <c r="U252" s="2156" t="s">
        <v>2293</v>
      </c>
      <c r="V252" s="178"/>
      <c r="W252" s="508"/>
      <c r="X252" s="178"/>
      <c r="Y252" s="178"/>
      <c r="Z252" s="284"/>
      <c r="AB252" s="413"/>
      <c r="AC252" s="2795"/>
    </row>
    <row r="253" spans="1:29" ht="12.75" customHeight="1" x14ac:dyDescent="0.2">
      <c r="A253" s="2029">
        <v>211</v>
      </c>
      <c r="B253" s="4995"/>
      <c r="C253" s="5024" t="s">
        <v>2742</v>
      </c>
      <c r="D253" s="5025"/>
      <c r="E253" s="5025"/>
      <c r="F253" s="5025"/>
      <c r="G253" s="5025"/>
      <c r="H253" s="5025"/>
      <c r="I253" s="5025"/>
      <c r="J253" s="5026"/>
      <c r="L253" s="2435" t="str">
        <f t="shared" si="12"/>
        <v>Sangre de El Dragón</v>
      </c>
      <c r="M253" s="2453">
        <f t="shared" si="11"/>
        <v>4</v>
      </c>
      <c r="N253" s="129" t="s">
        <v>3062</v>
      </c>
      <c r="O253" s="506">
        <f>1+IF(Principal!$Y$24="No",1,0)</f>
        <v>1</v>
      </c>
      <c r="P253" s="503">
        <f>COUNTIF(Principal!$C$32:$J$50,Tablas!N253)</f>
        <v>0</v>
      </c>
      <c r="Q253" s="496">
        <f t="shared" si="13"/>
        <v>0</v>
      </c>
      <c r="R253" s="2156" t="s">
        <v>3063</v>
      </c>
      <c r="S253" s="178"/>
      <c r="T253" s="426"/>
      <c r="U253" s="2156" t="s">
        <v>3064</v>
      </c>
      <c r="V253" s="178"/>
      <c r="W253" s="508"/>
      <c r="X253" s="178"/>
      <c r="Y253" s="178"/>
      <c r="Z253" s="284"/>
      <c r="AB253" s="413"/>
      <c r="AC253" s="2795"/>
    </row>
    <row r="254" spans="1:29" ht="12.75" customHeight="1" x14ac:dyDescent="0.2">
      <c r="A254" s="2029">
        <v>211</v>
      </c>
      <c r="B254" s="4995"/>
      <c r="C254" s="5027"/>
      <c r="D254" s="5001"/>
      <c r="E254" s="5001"/>
      <c r="F254" s="5001"/>
      <c r="G254" s="5001"/>
      <c r="H254" s="5001"/>
      <c r="I254" s="5001"/>
      <c r="J254" s="5028"/>
      <c r="L254" s="2435" t="str">
        <f t="shared" si="12"/>
        <v>Sangre de Grandes Bestias (1)</v>
      </c>
      <c r="M254" s="2453">
        <f t="shared" si="11"/>
        <v>2</v>
      </c>
      <c r="N254" s="129" t="s">
        <v>3065</v>
      </c>
      <c r="O254" s="506">
        <f>2+IF(Principal!$Y$24="No",1,0)</f>
        <v>2</v>
      </c>
      <c r="P254" s="503">
        <f>COUNTIF(Principal!$C$32:$J$50,Tablas!N254)</f>
        <v>0</v>
      </c>
      <c r="Q254" s="496">
        <f t="shared" si="13"/>
        <v>0</v>
      </c>
      <c r="R254" s="2156" t="s">
        <v>3065</v>
      </c>
      <c r="S254" s="178"/>
      <c r="T254" s="426"/>
      <c r="U254" s="2156"/>
      <c r="V254" s="178"/>
      <c r="W254" s="508"/>
      <c r="X254" s="178"/>
      <c r="Y254" s="178"/>
      <c r="Z254" s="284"/>
      <c r="AB254" s="413"/>
      <c r="AC254" s="2795"/>
    </row>
    <row r="255" spans="1:29" ht="12.75" customHeight="1" x14ac:dyDescent="0.2">
      <c r="A255" s="2029">
        <v>211</v>
      </c>
      <c r="B255" s="4995"/>
      <c r="C255" s="5201" t="s">
        <v>8339</v>
      </c>
      <c r="D255" s="5202"/>
      <c r="E255" s="2437" t="s">
        <v>1754</v>
      </c>
      <c r="F255" s="2437" t="s">
        <v>1804</v>
      </c>
      <c r="G255" s="2437" t="s">
        <v>2740</v>
      </c>
      <c r="H255" s="2437" t="s">
        <v>2741</v>
      </c>
      <c r="I255" s="1872" t="s">
        <v>2249</v>
      </c>
      <c r="J255" s="1872" t="s">
        <v>1711</v>
      </c>
      <c r="L255" s="2435" t="str">
        <f t="shared" si="12"/>
        <v>Sangre de Grandes Bestias (2)</v>
      </c>
      <c r="M255" s="2453">
        <f t="shared" si="11"/>
        <v>3</v>
      </c>
      <c r="N255" s="129" t="s">
        <v>3066</v>
      </c>
      <c r="O255" s="506">
        <f>1+IF(Principal!$Y$24="No",1,0)</f>
        <v>1</v>
      </c>
      <c r="P255" s="503">
        <f>COUNTIF(Principal!$C$32:$J$50,Tablas!N255)</f>
        <v>0</v>
      </c>
      <c r="Q255" s="496">
        <f t="shared" si="13"/>
        <v>0</v>
      </c>
      <c r="R255" s="2156" t="s">
        <v>3066</v>
      </c>
      <c r="S255" s="178"/>
      <c r="T255" s="426">
        <v>2</v>
      </c>
      <c r="U255" s="2156"/>
      <c r="V255" s="178"/>
      <c r="W255" s="508"/>
      <c r="X255" s="178"/>
      <c r="Y255" s="178"/>
      <c r="Z255" s="284"/>
      <c r="AB255" s="413"/>
      <c r="AC255" s="2795"/>
    </row>
    <row r="256" spans="1:29" ht="12.75" customHeight="1" x14ac:dyDescent="0.2">
      <c r="A256" s="2029">
        <v>211</v>
      </c>
      <c r="B256" s="4995"/>
      <c r="C256" s="2448" t="str">
        <f>E256</f>
        <v>&gt; VENTAJAS COMUNES</v>
      </c>
      <c r="D256" s="2453"/>
      <c r="E256" s="305" t="s">
        <v>2743</v>
      </c>
      <c r="F256" s="496"/>
      <c r="G256" s="425"/>
      <c r="H256" s="2461"/>
      <c r="I256" s="2465"/>
      <c r="J256" s="2469"/>
      <c r="L256" s="2435" t="str">
        <f t="shared" si="12"/>
        <v>Sangre de Grandes Bestias (3)</v>
      </c>
      <c r="M256" s="2453">
        <f t="shared" si="11"/>
        <v>1</v>
      </c>
      <c r="N256" s="129" t="s">
        <v>3067</v>
      </c>
      <c r="O256" s="506">
        <f>1+IF(Principal!$Y$24="No",1,0)</f>
        <v>1</v>
      </c>
      <c r="P256" s="503">
        <f>COUNTIF(Principal!$C$32:$J$50,Tablas!N256)</f>
        <v>0</v>
      </c>
      <c r="Q256" s="496">
        <f t="shared" si="13"/>
        <v>0</v>
      </c>
      <c r="R256" s="2156" t="s">
        <v>3067</v>
      </c>
      <c r="S256" s="178"/>
      <c r="T256" s="426">
        <v>2</v>
      </c>
      <c r="U256" s="2156"/>
      <c r="V256" s="178"/>
      <c r="W256" s="508"/>
      <c r="X256" s="178"/>
      <c r="Y256" s="178"/>
      <c r="Z256" s="284"/>
      <c r="AB256" s="413"/>
      <c r="AC256" s="2795"/>
    </row>
    <row r="257" spans="1:29" ht="12.75" customHeight="1" x14ac:dyDescent="0.2">
      <c r="A257" s="2029">
        <v>211</v>
      </c>
      <c r="B257" s="4995"/>
      <c r="C257" s="2448" t="str">
        <f t="shared" ref="C257:C288" si="15">VLOOKUP(A1,$D$257:$E$397,2,0)</f>
        <v>Ac. de Ki incrementada (1)</v>
      </c>
      <c r="D257" s="2453">
        <f t="shared" ref="D257:D288" si="16">COUNTIF($E$256:$E$392,"&lt;="&amp;E257)-COUNTIF($E$256:$E$392,"*&gt;*")</f>
        <v>97</v>
      </c>
      <c r="E257" s="305" t="s">
        <v>2744</v>
      </c>
      <c r="F257" s="425">
        <v>1</v>
      </c>
      <c r="G257" s="425">
        <f>COUNTIF(Principal!$C$32:$J$50,Tablas!E257)</f>
        <v>0</v>
      </c>
      <c r="H257" s="2461">
        <f t="shared" ref="H257:H288" si="17">G257*F257</f>
        <v>0</v>
      </c>
      <c r="I257" s="2466"/>
      <c r="J257" s="2470" t="s">
        <v>3412</v>
      </c>
      <c r="L257" s="2435" t="str">
        <f t="shared" si="12"/>
        <v>Sangre de Kami: Genus Loci</v>
      </c>
      <c r="M257" s="2453">
        <f t="shared" si="11"/>
        <v>23</v>
      </c>
      <c r="N257" s="129" t="s">
        <v>3068</v>
      </c>
      <c r="O257" s="506">
        <f>1+IF(Principal!$Y$24="No",1,0)</f>
        <v>1</v>
      </c>
      <c r="P257" s="503">
        <f>COUNTIF(Principal!$C$32:$J$50,Tablas!N257)</f>
        <v>0</v>
      </c>
      <c r="Q257" s="496">
        <f t="shared" si="13"/>
        <v>0</v>
      </c>
      <c r="R257" s="2156" t="s">
        <v>3069</v>
      </c>
      <c r="S257" s="178"/>
      <c r="T257" s="426"/>
      <c r="U257" s="2156" t="s">
        <v>3070</v>
      </c>
      <c r="V257" s="178"/>
      <c r="W257" s="508"/>
      <c r="X257" s="178" t="s">
        <v>3071</v>
      </c>
      <c r="Y257" s="178"/>
      <c r="Z257" s="284"/>
      <c r="AB257" s="413"/>
      <c r="AC257" s="2795"/>
    </row>
    <row r="258" spans="1:29" ht="12.75" customHeight="1" x14ac:dyDescent="0.2">
      <c r="A258" s="2029">
        <v>211</v>
      </c>
      <c r="B258" s="4995"/>
      <c r="C258" s="2448" t="str">
        <f t="shared" si="15"/>
        <v>Ac. de Ki incrementada (2)</v>
      </c>
      <c r="D258" s="2453">
        <f t="shared" si="16"/>
        <v>114</v>
      </c>
      <c r="E258" s="305" t="s">
        <v>2745</v>
      </c>
      <c r="F258" s="425">
        <v>2</v>
      </c>
      <c r="G258" s="425">
        <f>COUNTIF(Principal!$C$32:$J$50,Tablas!E258)</f>
        <v>0</v>
      </c>
      <c r="H258" s="2461">
        <f t="shared" si="17"/>
        <v>0</v>
      </c>
      <c r="I258" s="2466"/>
      <c r="J258" s="2470" t="s">
        <v>3412</v>
      </c>
      <c r="L258" s="2435" t="str">
        <f t="shared" si="12"/>
        <v>Sangre de los Muertos</v>
      </c>
      <c r="M258" s="2453">
        <f t="shared" si="11"/>
        <v>22</v>
      </c>
      <c r="N258" s="129" t="s">
        <v>3072</v>
      </c>
      <c r="O258" s="506">
        <f>1+IF(Principal!$Y$24="No",1,0)</f>
        <v>1</v>
      </c>
      <c r="P258" s="503">
        <f>COUNTIF(Principal!$C$32:$J$50,Tablas!N258)</f>
        <v>0</v>
      </c>
      <c r="Q258" s="496">
        <f t="shared" si="13"/>
        <v>0</v>
      </c>
      <c r="R258" s="2156" t="s">
        <v>3073</v>
      </c>
      <c r="S258" s="178"/>
      <c r="T258" s="426"/>
      <c r="U258" s="2156" t="s">
        <v>3074</v>
      </c>
      <c r="V258" s="178"/>
      <c r="W258" s="508"/>
      <c r="X258" s="178"/>
      <c r="Y258" s="178"/>
      <c r="Z258" s="284"/>
      <c r="AB258" s="413"/>
      <c r="AC258" s="2795"/>
    </row>
    <row r="259" spans="1:29" ht="12.75" customHeight="1" x14ac:dyDescent="0.2">
      <c r="A259" s="2029">
        <v>211</v>
      </c>
      <c r="B259" s="4995"/>
      <c r="C259" s="2448" t="str">
        <f t="shared" si="15"/>
        <v>Acc. psíquico natural (1)</v>
      </c>
      <c r="D259" s="2453">
        <f t="shared" si="16"/>
        <v>98</v>
      </c>
      <c r="E259" s="129" t="s">
        <v>2746</v>
      </c>
      <c r="F259" s="425">
        <v>1</v>
      </c>
      <c r="G259" s="425">
        <f>COUNTIF(Principal!$C$32:$J$50,Tablas!E259)</f>
        <v>0</v>
      </c>
      <c r="H259" s="2461">
        <f t="shared" si="17"/>
        <v>0</v>
      </c>
      <c r="I259" s="2466">
        <v>1</v>
      </c>
      <c r="J259" s="2470" t="s">
        <v>3412</v>
      </c>
      <c r="L259" s="2435" t="str">
        <f t="shared" si="12"/>
        <v>Sangre Eterna</v>
      </c>
      <c r="M259" s="2453">
        <f t="shared" si="11"/>
        <v>25</v>
      </c>
      <c r="N259" s="129" t="s">
        <v>3075</v>
      </c>
      <c r="O259" s="506">
        <f>1+IF(Principal!$Y$24="No",1,0)</f>
        <v>1</v>
      </c>
      <c r="P259" s="503">
        <f>COUNTIF(Principal!$C$32:$J$50,Tablas!N259)</f>
        <v>0</v>
      </c>
      <c r="Q259" s="496">
        <f t="shared" si="13"/>
        <v>0</v>
      </c>
      <c r="R259" s="2156" t="s">
        <v>3073</v>
      </c>
      <c r="S259" s="178"/>
      <c r="T259" s="426"/>
      <c r="U259" s="2156" t="s">
        <v>3076</v>
      </c>
      <c r="V259" s="178"/>
      <c r="W259" s="508"/>
      <c r="X259" s="178"/>
      <c r="Y259" s="178"/>
      <c r="Z259" s="284"/>
      <c r="AB259" s="413"/>
      <c r="AC259" s="2795"/>
    </row>
    <row r="260" spans="1:29" ht="12.75" customHeight="1" x14ac:dyDescent="0.2">
      <c r="A260" s="2029">
        <v>211</v>
      </c>
      <c r="B260" s="4995"/>
      <c r="C260" s="2448" t="str">
        <f t="shared" si="15"/>
        <v>Acc. psíquico natural (2)</v>
      </c>
      <c r="D260" s="2453">
        <f t="shared" si="16"/>
        <v>99</v>
      </c>
      <c r="E260" s="129" t="s">
        <v>2747</v>
      </c>
      <c r="F260" s="425">
        <v>2</v>
      </c>
      <c r="G260" s="425">
        <f>COUNTIF(Principal!$C$32:$J$50,Tablas!E260)</f>
        <v>0</v>
      </c>
      <c r="H260" s="2461">
        <f t="shared" si="17"/>
        <v>0</v>
      </c>
      <c r="I260" s="2466">
        <v>1</v>
      </c>
      <c r="J260" s="2470" t="s">
        <v>3412</v>
      </c>
      <c r="L260" s="2435" t="str">
        <f t="shared" si="12"/>
        <v>Sangre Kami: Sr. de la Guerra</v>
      </c>
      <c r="M260" s="2453">
        <f t="shared" si="11"/>
        <v>18</v>
      </c>
      <c r="N260" s="129" t="s">
        <v>3077</v>
      </c>
      <c r="O260" s="506">
        <f>1+IF(Principal!$Y$24="No",1,0)</f>
        <v>1</v>
      </c>
      <c r="P260" s="503">
        <f>COUNTIF(Principal!$C$32:$J$50,Tablas!N260)</f>
        <v>0</v>
      </c>
      <c r="Q260" s="496">
        <f t="shared" si="13"/>
        <v>0</v>
      </c>
      <c r="R260" s="2156" t="s">
        <v>3077</v>
      </c>
      <c r="S260" s="178"/>
      <c r="T260" s="426"/>
      <c r="U260" s="2156"/>
      <c r="V260" s="178"/>
      <c r="W260" s="508"/>
      <c r="X260" s="178"/>
      <c r="Y260" s="178"/>
      <c r="Z260" s="284"/>
      <c r="AB260" s="413"/>
      <c r="AC260" s="2795"/>
    </row>
    <row r="261" spans="1:29" ht="12.75" customHeight="1" thickBot="1" x14ac:dyDescent="0.25">
      <c r="A261" s="2029">
        <v>211</v>
      </c>
      <c r="B261" s="4995"/>
      <c r="C261" s="2448" t="str">
        <f t="shared" si="15"/>
        <v>Acc. psíquico natural (3)</v>
      </c>
      <c r="D261" s="2453">
        <f t="shared" si="16"/>
        <v>100</v>
      </c>
      <c r="E261" s="129" t="s">
        <v>2748</v>
      </c>
      <c r="F261" s="425">
        <v>1</v>
      </c>
      <c r="G261" s="425">
        <f>COUNTIF(Principal!$C$32:$J$50,Tablas!E261)</f>
        <v>0</v>
      </c>
      <c r="H261" s="2461">
        <f t="shared" si="17"/>
        <v>0</v>
      </c>
      <c r="I261" s="2466">
        <v>1</v>
      </c>
      <c r="J261" s="2470" t="s">
        <v>3412</v>
      </c>
      <c r="L261" s="519" t="str">
        <f t="shared" si="12"/>
        <v>Sangre Latente</v>
      </c>
      <c r="M261" s="2477">
        <f t="shared" si="11"/>
        <v>26</v>
      </c>
      <c r="N261" s="1855" t="s">
        <v>3078</v>
      </c>
      <c r="O261" s="509">
        <f>1+IF(Principal!$Y$24="No",1,0)</f>
        <v>1</v>
      </c>
      <c r="P261" s="504">
        <f>COUNTIF(Principal!$C$32:$J$50,Tablas!N261)</f>
        <v>0</v>
      </c>
      <c r="Q261" s="499">
        <f t="shared" si="13"/>
        <v>0</v>
      </c>
      <c r="R261" s="2155" t="s">
        <v>3078</v>
      </c>
      <c r="S261" s="180"/>
      <c r="T261" s="505">
        <v>1</v>
      </c>
      <c r="U261" s="2155"/>
      <c r="V261" s="180"/>
      <c r="W261" s="511"/>
      <c r="X261" s="180"/>
      <c r="Y261" s="180"/>
      <c r="Z261" s="431"/>
      <c r="AB261" s="413"/>
      <c r="AC261" s="2795"/>
    </row>
    <row r="262" spans="1:29" ht="12.75" customHeight="1" thickBot="1" x14ac:dyDescent="0.25">
      <c r="A262" s="2029">
        <v>211</v>
      </c>
      <c r="B262" s="4995"/>
      <c r="C262" s="2448" t="str">
        <f t="shared" si="15"/>
        <v>Acceso a 1 disciplina psiquica</v>
      </c>
      <c r="D262" s="2453">
        <f t="shared" si="16"/>
        <v>101</v>
      </c>
      <c r="E262" s="129" t="s">
        <v>2749</v>
      </c>
      <c r="F262" s="425">
        <v>2</v>
      </c>
      <c r="G262" s="425">
        <f>COUNTIF(Principal!$C$32:$J$50,Tablas!E262)</f>
        <v>0</v>
      </c>
      <c r="H262" s="2461">
        <f t="shared" si="17"/>
        <v>0</v>
      </c>
      <c r="I262" s="2466">
        <v>1</v>
      </c>
      <c r="J262" s="2470" t="s">
        <v>3412</v>
      </c>
      <c r="N262" s="413"/>
      <c r="Q262" s="5200">
        <f>SUM(Q236:Q261)</f>
        <v>0</v>
      </c>
      <c r="R262" s="2153"/>
      <c r="T262" s="500"/>
      <c r="U262" s="512"/>
      <c r="V262" s="513"/>
      <c r="W262" s="483"/>
      <c r="X262" s="2128"/>
      <c r="AB262" s="413"/>
      <c r="AC262" s="2795"/>
    </row>
    <row r="263" spans="1:29" ht="12.75" customHeight="1" thickBot="1" x14ac:dyDescent="0.25">
      <c r="A263" s="2029">
        <v>211</v>
      </c>
      <c r="B263" s="4995"/>
      <c r="C263" s="2448" t="str">
        <f t="shared" si="15"/>
        <v>Acceso libre a dis. psiquicas</v>
      </c>
      <c r="D263" s="2453">
        <f t="shared" si="16"/>
        <v>102</v>
      </c>
      <c r="E263" s="2447" t="s">
        <v>2750</v>
      </c>
      <c r="F263" s="425">
        <v>1</v>
      </c>
      <c r="G263" s="425">
        <f>COUNTIF(Principal!$C$32:$J$50,Tablas!E263)</f>
        <v>0</v>
      </c>
      <c r="H263" s="2461">
        <f t="shared" si="17"/>
        <v>0</v>
      </c>
      <c r="I263" s="2466">
        <v>1</v>
      </c>
      <c r="J263" s="2470" t="s">
        <v>3412</v>
      </c>
      <c r="N263" s="413"/>
      <c r="Q263" s="5200"/>
      <c r="R263" s="1761"/>
      <c r="X263" s="2112"/>
      <c r="AB263" s="413"/>
      <c r="AC263" s="2795"/>
    </row>
    <row r="264" spans="1:29" ht="12.75" customHeight="1" thickBot="1" x14ac:dyDescent="0.25">
      <c r="A264" s="2029">
        <v>211</v>
      </c>
      <c r="B264" s="4995"/>
      <c r="C264" s="2448" t="str">
        <f t="shared" si="15"/>
        <v>Acumulación plena</v>
      </c>
      <c r="D264" s="2453">
        <f t="shared" si="16"/>
        <v>103</v>
      </c>
      <c r="E264" s="2447" t="s">
        <v>2751</v>
      </c>
      <c r="F264" s="425">
        <v>2</v>
      </c>
      <c r="G264" s="425">
        <f>COUNTIF(Principal!$C$32:$J$50,Tablas!E264)</f>
        <v>0</v>
      </c>
      <c r="H264" s="2461">
        <f t="shared" si="17"/>
        <v>0</v>
      </c>
      <c r="I264" s="2466">
        <v>1</v>
      </c>
      <c r="J264" s="2470" t="s">
        <v>3412</v>
      </c>
      <c r="N264" s="413"/>
      <c r="O264" s="2112"/>
      <c r="AB264" s="413"/>
      <c r="AC264" s="2795"/>
    </row>
    <row r="265" spans="1:29" ht="12.75" customHeight="1" x14ac:dyDescent="0.2">
      <c r="A265" s="2029">
        <v>211</v>
      </c>
      <c r="B265" s="4995"/>
      <c r="C265" s="2448" t="str">
        <f t="shared" si="15"/>
        <v>Afinidad animal</v>
      </c>
      <c r="D265" s="2453">
        <f t="shared" si="16"/>
        <v>6</v>
      </c>
      <c r="E265" s="2436" t="s">
        <v>2752</v>
      </c>
      <c r="F265" s="501">
        <v>1</v>
      </c>
      <c r="G265" s="425">
        <f>COUNTIF(Principal!$C$32:$J$50,Tablas!E265)</f>
        <v>0</v>
      </c>
      <c r="H265" s="2461">
        <f t="shared" si="17"/>
        <v>0</v>
      </c>
      <c r="I265" s="2466"/>
      <c r="J265" s="2470" t="s">
        <v>3412</v>
      </c>
      <c r="L265" s="5024" t="s">
        <v>2987</v>
      </c>
      <c r="M265" s="5025"/>
      <c r="N265" s="5025"/>
      <c r="O265" s="5025"/>
      <c r="P265" s="5025"/>
      <c r="Q265" s="5025"/>
      <c r="R265" s="5025"/>
      <c r="S265" s="5025"/>
      <c r="T265" s="5025"/>
      <c r="U265" s="5025"/>
      <c r="V265" s="5025"/>
      <c r="W265" s="5025"/>
      <c r="X265" s="5025"/>
      <c r="Y265" s="5025"/>
      <c r="Z265" s="5026"/>
      <c r="AB265" s="413"/>
      <c r="AC265" s="2795"/>
    </row>
    <row r="266" spans="1:29" ht="12.75" customHeight="1" x14ac:dyDescent="0.2">
      <c r="A266" s="2029">
        <v>211</v>
      </c>
      <c r="B266" s="4995"/>
      <c r="C266" s="2448" t="str">
        <f t="shared" si="15"/>
        <v>Afinidad de uso</v>
      </c>
      <c r="D266" s="2453">
        <f t="shared" si="16"/>
        <v>7</v>
      </c>
      <c r="E266" s="129" t="s">
        <v>2753</v>
      </c>
      <c r="F266" s="501">
        <v>2</v>
      </c>
      <c r="G266" s="425">
        <f>COUNTIF(Principal!$C$32:$J$50,Tablas!E266)</f>
        <v>0</v>
      </c>
      <c r="H266" s="2461">
        <f t="shared" si="17"/>
        <v>0</v>
      </c>
      <c r="I266" s="2466"/>
      <c r="J266" s="2470" t="s">
        <v>3412</v>
      </c>
      <c r="L266" s="5027"/>
      <c r="M266" s="5001"/>
      <c r="N266" s="5001"/>
      <c r="O266" s="5001"/>
      <c r="P266" s="5001"/>
      <c r="Q266" s="5001"/>
      <c r="R266" s="5001"/>
      <c r="S266" s="5001"/>
      <c r="T266" s="5001"/>
      <c r="U266" s="5001"/>
      <c r="V266" s="5001"/>
      <c r="W266" s="5001"/>
      <c r="X266" s="5001"/>
      <c r="Y266" s="5001"/>
      <c r="Z266" s="5028"/>
      <c r="AB266" s="413"/>
      <c r="AC266" s="2795"/>
    </row>
    <row r="267" spans="1:29" ht="12.75" customHeight="1" x14ac:dyDescent="0.2">
      <c r="A267" s="2029">
        <v>211</v>
      </c>
      <c r="B267" s="4995"/>
      <c r="C267" s="2448" t="str">
        <f t="shared" si="15"/>
        <v>Afortunado</v>
      </c>
      <c r="D267" s="2453">
        <f t="shared" si="16"/>
        <v>9</v>
      </c>
      <c r="E267" s="129" t="s">
        <v>2754</v>
      </c>
      <c r="F267" s="501">
        <v>1</v>
      </c>
      <c r="G267" s="425">
        <f>COUNTIF(Principal!$C$32:$J$50,Tablas!E267)</f>
        <v>0</v>
      </c>
      <c r="H267" s="2461">
        <f t="shared" si="17"/>
        <v>0</v>
      </c>
      <c r="I267" s="2466"/>
      <c r="J267" s="2470" t="s">
        <v>3412</v>
      </c>
      <c r="L267" s="2784"/>
      <c r="M267" s="2694"/>
      <c r="N267" s="5198" t="s">
        <v>1846</v>
      </c>
      <c r="O267" s="5198"/>
      <c r="P267" s="5199" t="s">
        <v>1848</v>
      </c>
      <c r="Q267" s="5199"/>
      <c r="R267" s="5199" t="s">
        <v>1850</v>
      </c>
      <c r="S267" s="5199"/>
      <c r="T267" s="5199" t="s">
        <v>1847</v>
      </c>
      <c r="U267" s="5199"/>
      <c r="V267" s="5199" t="s">
        <v>1849</v>
      </c>
      <c r="W267" s="5199"/>
      <c r="X267" s="5203" t="s">
        <v>1851</v>
      </c>
      <c r="Y267" s="5204"/>
      <c r="Z267" s="5092" t="s">
        <v>9175</v>
      </c>
      <c r="AB267" s="413"/>
      <c r="AC267" s="2795"/>
    </row>
    <row r="268" spans="1:29" ht="13.5" customHeight="1" thickBot="1" x14ac:dyDescent="0.25">
      <c r="A268" s="2029">
        <v>211</v>
      </c>
      <c r="B268" s="4995"/>
      <c r="C268" s="2448" t="str">
        <f t="shared" si="15"/>
        <v>Al límite</v>
      </c>
      <c r="D268" s="2453">
        <f t="shared" si="16"/>
        <v>95</v>
      </c>
      <c r="E268" s="129" t="s">
        <v>2755</v>
      </c>
      <c r="F268" s="501">
        <v>1</v>
      </c>
      <c r="G268" s="425">
        <f>COUNTIF(Principal!$C$32:$J$50,Tablas!E268)</f>
        <v>0</v>
      </c>
      <c r="H268" s="2461">
        <f t="shared" si="17"/>
        <v>0</v>
      </c>
      <c r="I268" s="2466">
        <v>1</v>
      </c>
      <c r="J268" s="2470" t="s">
        <v>3412</v>
      </c>
      <c r="L268" s="2785" t="s">
        <v>1711</v>
      </c>
      <c r="M268" s="2782" t="s">
        <v>1754</v>
      </c>
      <c r="N268" s="2690" t="s">
        <v>1804</v>
      </c>
      <c r="O268" s="2690" t="s">
        <v>2740</v>
      </c>
      <c r="P268" s="502" t="s">
        <v>1804</v>
      </c>
      <c r="Q268" s="2690" t="s">
        <v>2740</v>
      </c>
      <c r="R268" s="502" t="s">
        <v>1804</v>
      </c>
      <c r="S268" s="1846" t="s">
        <v>2740</v>
      </c>
      <c r="T268" s="502" t="s">
        <v>1804</v>
      </c>
      <c r="U268" s="2690" t="s">
        <v>2740</v>
      </c>
      <c r="V268" s="502" t="s">
        <v>1804</v>
      </c>
      <c r="W268" s="2690" t="s">
        <v>2740</v>
      </c>
      <c r="X268" s="502" t="s">
        <v>1804</v>
      </c>
      <c r="Y268" s="2127" t="s">
        <v>2740</v>
      </c>
      <c r="Z268" s="5093"/>
      <c r="AA268" s="1760"/>
      <c r="AB268" s="413"/>
      <c r="AC268" s="2795"/>
    </row>
    <row r="269" spans="1:29" ht="12.75" customHeight="1" x14ac:dyDescent="0.2">
      <c r="A269" s="2029">
        <v>211</v>
      </c>
      <c r="B269" s="4995"/>
      <c r="C269" s="2448" t="str">
        <f t="shared" si="15"/>
        <v>Ambidestría</v>
      </c>
      <c r="D269" s="2453">
        <f t="shared" si="16"/>
        <v>94</v>
      </c>
      <c r="E269" s="129" t="s">
        <v>2756</v>
      </c>
      <c r="F269" s="501">
        <v>2</v>
      </c>
      <c r="G269" s="425">
        <f>COUNTIF(Principal!$C$32:$J$50,Tablas!E269)</f>
        <v>0</v>
      </c>
      <c r="H269" s="2461">
        <f t="shared" si="17"/>
        <v>0</v>
      </c>
      <c r="I269" s="2466">
        <v>1</v>
      </c>
      <c r="J269" s="2470" t="s">
        <v>3412</v>
      </c>
      <c r="L269" s="1585" t="s">
        <v>1716</v>
      </c>
      <c r="M269" s="2783" t="s">
        <v>1717</v>
      </c>
      <c r="N269" s="2695">
        <v>1</v>
      </c>
      <c r="O269" s="2695">
        <f>IF(Personalización!$J$29=M269,1,0)+IF(Personalización!$L$29=M269,1,0)</f>
        <v>0</v>
      </c>
      <c r="P269" s="503">
        <v>2</v>
      </c>
      <c r="Q269" s="2695">
        <f>IF(Personalización!$J$30=M269,1,0)+IF(Personalización!$L$30=M269,1,0)</f>
        <v>0</v>
      </c>
      <c r="R269" s="503">
        <v>3</v>
      </c>
      <c r="S269" s="129">
        <f>IF(Personalización!$J$31=M269,1,0)+IF(Personalización!$L$31=M269,1,0)</f>
        <v>0</v>
      </c>
      <c r="T269" s="503">
        <v>1</v>
      </c>
      <c r="U269" s="2695">
        <f>IF(Personalización!$J$32=M269,1,0)+IF(Personalización!$L$32=M269,1,0)</f>
        <v>0</v>
      </c>
      <c r="V269" s="503">
        <v>2</v>
      </c>
      <c r="W269" s="2695">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5"/>
    </row>
    <row r="270" spans="1:29" ht="12.75" customHeight="1" x14ac:dyDescent="0.2">
      <c r="A270" s="2029">
        <v>211</v>
      </c>
      <c r="B270" s="4995"/>
      <c r="C270" s="2448" t="str">
        <f t="shared" si="15"/>
        <v>Apr. natural (2): Atléticas</v>
      </c>
      <c r="D270" s="2453">
        <f t="shared" si="16"/>
        <v>96</v>
      </c>
      <c r="E270" s="129" t="s">
        <v>2757</v>
      </c>
      <c r="F270" s="425">
        <v>3</v>
      </c>
      <c r="G270" s="425">
        <f>COUNTIF(Principal!$C$32:$J$50,Tablas!E270)</f>
        <v>0</v>
      </c>
      <c r="H270" s="2461">
        <f t="shared" si="17"/>
        <v>0</v>
      </c>
      <c r="I270" s="2466">
        <v>1</v>
      </c>
      <c r="J270" s="2470" t="s">
        <v>3412</v>
      </c>
      <c r="L270" s="1585" t="s">
        <v>1716</v>
      </c>
      <c r="M270" s="2783" t="s">
        <v>1719</v>
      </c>
      <c r="N270" s="2695">
        <v>1</v>
      </c>
      <c r="O270" s="2695">
        <f>IF(Personalización!$J$29=M270,1,0)+IF(Personalización!$L$29=M270,1,0)</f>
        <v>0</v>
      </c>
      <c r="P270" s="503">
        <v>2</v>
      </c>
      <c r="Q270" s="2695">
        <f>IF(Personalización!$J$30=M270,1,0)+IF(Personalización!$L$30=M270,1,0)</f>
        <v>0</v>
      </c>
      <c r="R270" s="503">
        <v>3</v>
      </c>
      <c r="S270" s="129">
        <f>IF(Personalización!$J$31=M270,1,0)+IF(Personalización!$L$31=M270,1,0)</f>
        <v>0</v>
      </c>
      <c r="T270" s="503">
        <v>1</v>
      </c>
      <c r="U270" s="2695">
        <f>IF(Personalización!$J$32=M270,1,0)+IF(Personalización!$L$32=M270,1,0)</f>
        <v>0</v>
      </c>
      <c r="V270" s="503">
        <v>2</v>
      </c>
      <c r="W270" s="2695">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5"/>
    </row>
    <row r="271" spans="1:29" ht="12.75" customHeight="1" x14ac:dyDescent="0.2">
      <c r="A271" s="2029">
        <v>211</v>
      </c>
      <c r="B271" s="4995"/>
      <c r="C271" s="2448" t="str">
        <f t="shared" si="15"/>
        <v>Apr. natural (2): Creativas</v>
      </c>
      <c r="D271" s="2453">
        <f t="shared" si="16"/>
        <v>110</v>
      </c>
      <c r="E271" s="129" t="s">
        <v>2758</v>
      </c>
      <c r="F271" s="425">
        <v>1</v>
      </c>
      <c r="G271" s="425">
        <f>COUNTIF(Principal!$C$32:$J$50,Tablas!E271)</f>
        <v>0</v>
      </c>
      <c r="H271" s="2461">
        <f t="shared" si="17"/>
        <v>0</v>
      </c>
      <c r="I271" s="2466">
        <v>1</v>
      </c>
      <c r="J271" s="2470" t="s">
        <v>3412</v>
      </c>
      <c r="L271" s="1585" t="s">
        <v>1716</v>
      </c>
      <c r="M271" s="2783" t="s">
        <v>1722</v>
      </c>
      <c r="N271" s="2695">
        <v>1</v>
      </c>
      <c r="O271" s="2695">
        <f>IF(Personalización!$J$29=M271,1,0)+IF(Personalización!$L$29=M271,1,0)</f>
        <v>0</v>
      </c>
      <c r="P271" s="503">
        <v>2</v>
      </c>
      <c r="Q271" s="2695">
        <f>IF(Personalización!$J$30=M271,1,0)+IF(Personalización!$L$30=M271,1,0)</f>
        <v>0</v>
      </c>
      <c r="R271" s="503">
        <v>3</v>
      </c>
      <c r="S271" s="129">
        <f>IF(Personalización!$J$31=M271,1,0)+IF(Personalización!$L$31=M271,1,0)</f>
        <v>0</v>
      </c>
      <c r="T271" s="503">
        <v>1</v>
      </c>
      <c r="U271" s="2695">
        <f>IF(Personalización!$J$32=M271,1,0)+IF(Personalización!$L$32=M271,1,0)</f>
        <v>0</v>
      </c>
      <c r="V271" s="503">
        <v>2</v>
      </c>
      <c r="W271" s="2695">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5"/>
    </row>
    <row r="272" spans="1:29" ht="12.75" customHeight="1" x14ac:dyDescent="0.2">
      <c r="A272" s="2029">
        <v>211</v>
      </c>
      <c r="B272" s="4995"/>
      <c r="C272" s="2448" t="str">
        <f t="shared" si="15"/>
        <v>Apr. natural (2): Intelectuales</v>
      </c>
      <c r="D272" s="2453">
        <f t="shared" si="16"/>
        <v>13</v>
      </c>
      <c r="E272" s="129" t="s">
        <v>2759</v>
      </c>
      <c r="F272" s="425">
        <v>1</v>
      </c>
      <c r="G272" s="425">
        <f>COUNTIF(Principal!$C$32:$J$50,Tablas!E272)</f>
        <v>0</v>
      </c>
      <c r="H272" s="2461">
        <f t="shared" si="17"/>
        <v>0</v>
      </c>
      <c r="I272" s="2466">
        <v>1</v>
      </c>
      <c r="J272" s="2470" t="s">
        <v>3412</v>
      </c>
      <c r="L272" s="1585" t="s">
        <v>1716</v>
      </c>
      <c r="M272" s="2783" t="s">
        <v>1726</v>
      </c>
      <c r="N272" s="2695">
        <v>1</v>
      </c>
      <c r="O272" s="2695">
        <f>IF(Personalización!$J$29=M272,1,0)+IF(Personalización!$L$29=M272,1,0)</f>
        <v>0</v>
      </c>
      <c r="P272" s="503">
        <v>2</v>
      </c>
      <c r="Q272" s="2695">
        <f>IF(Personalización!$J$30=M272,1,0)+IF(Personalización!$L$30=M272,1,0)</f>
        <v>0</v>
      </c>
      <c r="R272" s="503">
        <v>3</v>
      </c>
      <c r="S272" s="129">
        <f>IF(Personalización!$J$31=M272,1,0)+IF(Personalización!$L$31=M272,1,0)</f>
        <v>0</v>
      </c>
      <c r="T272" s="503">
        <v>1</v>
      </c>
      <c r="U272" s="2695">
        <f>IF(Personalización!$J$32=M272,1,0)+IF(Personalización!$L$32=M272,1,0)</f>
        <v>0</v>
      </c>
      <c r="V272" s="503">
        <v>2</v>
      </c>
      <c r="W272" s="2695">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5"/>
    </row>
    <row r="273" spans="1:29" ht="12.75" customHeight="1" x14ac:dyDescent="0.2">
      <c r="A273" s="2029">
        <v>211</v>
      </c>
      <c r="B273" s="4995"/>
      <c r="C273" s="2448" t="str">
        <f t="shared" si="15"/>
        <v>Apr. natural (2): Perceptivas</v>
      </c>
      <c r="D273" s="2453">
        <f t="shared" si="16"/>
        <v>57</v>
      </c>
      <c r="E273" s="129" t="s">
        <v>2760</v>
      </c>
      <c r="F273" s="425">
        <v>2</v>
      </c>
      <c r="G273" s="425">
        <f>COUNTIF(Principal!$C$32:$J$50,Tablas!E273)</f>
        <v>0</v>
      </c>
      <c r="H273" s="2461">
        <f t="shared" si="17"/>
        <v>0</v>
      </c>
      <c r="I273" s="2466">
        <v>2</v>
      </c>
      <c r="J273" s="2470" t="s">
        <v>3412</v>
      </c>
      <c r="L273" s="1585" t="s">
        <v>1716</v>
      </c>
      <c r="M273" s="2783" t="s">
        <v>1729</v>
      </c>
      <c r="N273" s="2695">
        <v>1</v>
      </c>
      <c r="O273" s="2695">
        <f>IF(Personalización!$J$29=M273,1,0)+IF(Personalización!$L$29=M273,1,0)</f>
        <v>0</v>
      </c>
      <c r="P273" s="503">
        <v>2</v>
      </c>
      <c r="Q273" s="2695">
        <f>IF(Personalización!$J$30=M273,1,0)+IF(Personalización!$L$30=M273,1,0)</f>
        <v>0</v>
      </c>
      <c r="R273" s="503">
        <v>3</v>
      </c>
      <c r="S273" s="129">
        <f>IF(Personalización!$J$31=M273,1,0)+IF(Personalización!$L$31=M273,1,0)</f>
        <v>0</v>
      </c>
      <c r="T273" s="503">
        <v>1</v>
      </c>
      <c r="U273" s="2695">
        <f>IF(Personalización!$J$32=M273,1,0)+IF(Personalización!$L$32=M273,1,0)</f>
        <v>0</v>
      </c>
      <c r="V273" s="503">
        <v>2</v>
      </c>
      <c r="W273" s="2695">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5"/>
    </row>
    <row r="274" spans="1:29" ht="12.75" customHeight="1" x14ac:dyDescent="0.2">
      <c r="A274" s="2029">
        <v>211</v>
      </c>
      <c r="B274" s="4995"/>
      <c r="C274" s="2448" t="str">
        <f t="shared" si="15"/>
        <v>Apr. natural (2): Sociales</v>
      </c>
      <c r="D274" s="2453">
        <f t="shared" si="16"/>
        <v>132</v>
      </c>
      <c r="E274" s="129" t="s">
        <v>2295</v>
      </c>
      <c r="F274" s="425">
        <v>1</v>
      </c>
      <c r="G274" s="425">
        <f>COUNTIF(Principal!$C$32:$J$50,Tablas!E274)</f>
        <v>0</v>
      </c>
      <c r="H274" s="2461">
        <f t="shared" si="17"/>
        <v>0</v>
      </c>
      <c r="I274" s="2466"/>
      <c r="J274" s="2470" t="s">
        <v>3412</v>
      </c>
      <c r="L274" s="1585" t="s">
        <v>1716</v>
      </c>
      <c r="M274" s="2783" t="s">
        <v>1732</v>
      </c>
      <c r="N274" s="2695">
        <v>1</v>
      </c>
      <c r="O274" s="2695">
        <f>IF(Personalización!$J$29=M274,1,0)+IF(Personalización!$L$29=M274,1,0)</f>
        <v>0</v>
      </c>
      <c r="P274" s="503">
        <v>2</v>
      </c>
      <c r="Q274" s="2695">
        <f>IF(Personalización!$J$30=M274,1,0)+IF(Personalización!$L$30=M274,1,0)</f>
        <v>0</v>
      </c>
      <c r="R274" s="503">
        <v>3</v>
      </c>
      <c r="S274" s="129">
        <f>IF(Personalización!$J$31=M274,1,0)+IF(Personalización!$L$31=M274,1,0)</f>
        <v>0</v>
      </c>
      <c r="T274" s="503">
        <v>1</v>
      </c>
      <c r="U274" s="2695">
        <f>IF(Personalización!$J$32=M274,1,0)+IF(Personalización!$L$32=M274,1,0)</f>
        <v>0</v>
      </c>
      <c r="V274" s="503">
        <v>2</v>
      </c>
      <c r="W274" s="2695">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5"/>
    </row>
    <row r="275" spans="1:29" ht="12.75" customHeight="1" x14ac:dyDescent="0.2">
      <c r="A275" s="2029">
        <v>211</v>
      </c>
      <c r="B275" s="4995"/>
      <c r="C275" s="2448" t="str">
        <f t="shared" si="15"/>
        <v>Apr. natural (2): Subterfugio</v>
      </c>
      <c r="D275" s="2453">
        <f t="shared" si="16"/>
        <v>75</v>
      </c>
      <c r="E275" s="129" t="s">
        <v>2761</v>
      </c>
      <c r="F275" s="425">
        <v>1</v>
      </c>
      <c r="G275" s="425">
        <f>COUNTIF(Principal!$C$32:$J$50,Tablas!E275)</f>
        <v>0</v>
      </c>
      <c r="H275" s="2461">
        <f t="shared" si="17"/>
        <v>0</v>
      </c>
      <c r="I275" s="2466"/>
      <c r="J275" s="2470" t="s">
        <v>3412</v>
      </c>
      <c r="L275" s="1585" t="s">
        <v>1716</v>
      </c>
      <c r="M275" s="2783" t="s">
        <v>8229</v>
      </c>
      <c r="N275" s="2695">
        <v>1</v>
      </c>
      <c r="O275" s="2695">
        <f>IF(Personalización!$J$29=M275,1,0)+IF(Personalización!$L$29=M275,1,0)</f>
        <v>0</v>
      </c>
      <c r="P275" s="503">
        <v>2</v>
      </c>
      <c r="Q275" s="2695">
        <f>IF(Personalización!$J$30=M275,1,0)+IF(Personalización!$L$30=M275,1,0)</f>
        <v>0</v>
      </c>
      <c r="R275" s="503">
        <v>3</v>
      </c>
      <c r="S275" s="129">
        <f>IF(Personalización!$J$31=M275,1,0)+IF(Personalización!$L$31=M275,1,0)</f>
        <v>0</v>
      </c>
      <c r="T275" s="503">
        <v>1</v>
      </c>
      <c r="U275" s="2695">
        <f>IF(Personalización!$J$32=M275,1,0)+IF(Personalización!$L$32=M275,1,0)</f>
        <v>0</v>
      </c>
      <c r="V275" s="503">
        <v>2</v>
      </c>
      <c r="W275" s="2695">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5"/>
    </row>
    <row r="276" spans="1:29" ht="12.75" customHeight="1" x14ac:dyDescent="0.2">
      <c r="A276" s="2029">
        <v>211</v>
      </c>
      <c r="B276" s="4995"/>
      <c r="C276" s="2448" t="str">
        <f t="shared" si="15"/>
        <v>Apr. natural (2): Vigor</v>
      </c>
      <c r="D276" s="2453">
        <f t="shared" si="16"/>
        <v>42</v>
      </c>
      <c r="E276" s="129" t="s">
        <v>1846</v>
      </c>
      <c r="F276" s="425">
        <v>1</v>
      </c>
      <c r="G276" s="425">
        <f>COUNTIF(Principal!$C$32:$J$50,Tablas!E276)</f>
        <v>0</v>
      </c>
      <c r="H276" s="2461">
        <f t="shared" si="17"/>
        <v>0</v>
      </c>
      <c r="I276" s="2466">
        <v>1</v>
      </c>
      <c r="J276" s="2470" t="s">
        <v>3412</v>
      </c>
      <c r="L276" s="1585" t="s">
        <v>1735</v>
      </c>
      <c r="M276" s="2783" t="s">
        <v>1736</v>
      </c>
      <c r="N276" s="2695">
        <v>1</v>
      </c>
      <c r="O276" s="2695">
        <f>IF(Personalización!$J$29=M276,1,0)+IF(Personalización!$L$29=M276,1,0)</f>
        <v>0</v>
      </c>
      <c r="P276" s="503">
        <v>2</v>
      </c>
      <c r="Q276" s="2695">
        <f>IF(Personalización!$J$30=M276,1,0)+IF(Personalización!$L$30=M276,1,0)</f>
        <v>0</v>
      </c>
      <c r="R276" s="503">
        <v>3</v>
      </c>
      <c r="S276" s="129">
        <f>IF(Personalización!$J$31=M276,1,0)+IF(Personalización!$L$31=M276,1,0)</f>
        <v>0</v>
      </c>
      <c r="T276" s="503">
        <v>1</v>
      </c>
      <c r="U276" s="2695">
        <f>IF(Personalización!$J$32=M276,1,0)+IF(Personalización!$L$32=M276,1,0)</f>
        <v>0</v>
      </c>
      <c r="V276" s="503">
        <v>2</v>
      </c>
      <c r="W276" s="2695">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5"/>
    </row>
    <row r="277" spans="1:29" ht="12.75" customHeight="1" x14ac:dyDescent="0.2">
      <c r="A277" s="2029">
        <v>211</v>
      </c>
      <c r="B277" s="4995"/>
      <c r="C277" s="2448" t="str">
        <f t="shared" si="15"/>
        <v>Apr. natural (3): Atléticas</v>
      </c>
      <c r="D277" s="2453">
        <f t="shared" si="16"/>
        <v>43</v>
      </c>
      <c r="E277" s="129" t="s">
        <v>1848</v>
      </c>
      <c r="F277" s="425">
        <v>2</v>
      </c>
      <c r="G277" s="425">
        <f>COUNTIF(Principal!$C$32:$J$50,Tablas!E277)</f>
        <v>0</v>
      </c>
      <c r="H277" s="2461">
        <f t="shared" si="17"/>
        <v>0</v>
      </c>
      <c r="I277" s="2466">
        <v>1</v>
      </c>
      <c r="J277" s="2470" t="s">
        <v>3412</v>
      </c>
      <c r="L277" s="1585" t="s">
        <v>1735</v>
      </c>
      <c r="M277" s="2783" t="s">
        <v>1738</v>
      </c>
      <c r="N277" s="2695">
        <v>1</v>
      </c>
      <c r="O277" s="2695">
        <f>IF(Personalización!$J$29=M277,1,0)+IF(Personalización!$L$29=M277,1,0)</f>
        <v>0</v>
      </c>
      <c r="P277" s="503">
        <v>2</v>
      </c>
      <c r="Q277" s="2695">
        <f>IF(Personalización!$J$30=M277,1,0)+IF(Personalización!$L$30=M277,1,0)</f>
        <v>0</v>
      </c>
      <c r="R277" s="503">
        <v>3</v>
      </c>
      <c r="S277" s="129">
        <f>IF(Personalización!$J$31=M277,1,0)+IF(Personalización!$L$31=M277,1,0)</f>
        <v>0</v>
      </c>
      <c r="T277" s="503">
        <v>1</v>
      </c>
      <c r="U277" s="2695">
        <f>IF(Personalización!$J$32=M277,1,0)+IF(Personalización!$L$32=M277,1,0)</f>
        <v>0</v>
      </c>
      <c r="V277" s="503">
        <v>2</v>
      </c>
      <c r="W277" s="2695">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5"/>
    </row>
    <row r="278" spans="1:29" ht="13.5" customHeight="1" x14ac:dyDescent="0.2">
      <c r="A278" s="2029">
        <v>211</v>
      </c>
      <c r="B278" s="4995"/>
      <c r="C278" s="2448" t="str">
        <f t="shared" si="15"/>
        <v>Apr. natural (3): Creativas</v>
      </c>
      <c r="D278" s="2453">
        <f t="shared" si="16"/>
        <v>44</v>
      </c>
      <c r="E278" s="129" t="s">
        <v>1850</v>
      </c>
      <c r="F278" s="425">
        <v>3</v>
      </c>
      <c r="G278" s="425">
        <f>COUNTIF(Principal!$C$32:$J$50,Tablas!E278)</f>
        <v>0</v>
      </c>
      <c r="H278" s="2461">
        <f t="shared" si="17"/>
        <v>0</v>
      </c>
      <c r="I278" s="2466">
        <v>1</v>
      </c>
      <c r="J278" s="2470" t="s">
        <v>3412</v>
      </c>
      <c r="L278" s="1585" t="s">
        <v>1735</v>
      </c>
      <c r="M278" s="2783" t="s">
        <v>1741</v>
      </c>
      <c r="N278" s="2695">
        <v>1</v>
      </c>
      <c r="O278" s="2695">
        <f>IF(Personalización!$J$29=M278,1,0)+IF(Personalización!$L$29=M278,1,0)</f>
        <v>0</v>
      </c>
      <c r="P278" s="503">
        <v>2</v>
      </c>
      <c r="Q278" s="2695">
        <f>IF(Personalización!$J$30=M278,1,0)+IF(Personalización!$L$30=M278,1,0)</f>
        <v>0</v>
      </c>
      <c r="R278" s="503">
        <v>3</v>
      </c>
      <c r="S278" s="129">
        <f>IF(Personalización!$J$31=M278,1,0)+IF(Personalización!$L$31=M278,1,0)</f>
        <v>0</v>
      </c>
      <c r="T278" s="503">
        <v>1</v>
      </c>
      <c r="U278" s="2695">
        <f>IF(Personalización!$J$32=M278,1,0)+IF(Personalización!$L$32=M278,1,0)</f>
        <v>0</v>
      </c>
      <c r="V278" s="503">
        <v>2</v>
      </c>
      <c r="W278" s="2695">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5"/>
    </row>
    <row r="279" spans="1:29" ht="12.75" customHeight="1" x14ac:dyDescent="0.2">
      <c r="A279" s="2029">
        <v>211</v>
      </c>
      <c r="B279" s="4995"/>
      <c r="C279" s="2448" t="str">
        <f t="shared" si="15"/>
        <v>Apr. natural (3): Intelectuales</v>
      </c>
      <c r="D279" s="2453">
        <f t="shared" si="16"/>
        <v>35</v>
      </c>
      <c r="E279" s="129" t="s">
        <v>2762</v>
      </c>
      <c r="F279" s="425">
        <v>2</v>
      </c>
      <c r="G279" s="425">
        <f>COUNTIF(Principal!$C$32:$J$50,Tablas!E279)</f>
        <v>0</v>
      </c>
      <c r="H279" s="2461">
        <f t="shared" si="17"/>
        <v>0</v>
      </c>
      <c r="I279" s="2466">
        <v>1</v>
      </c>
      <c r="J279" s="2470" t="s">
        <v>3412</v>
      </c>
      <c r="L279" s="1585" t="s">
        <v>1735</v>
      </c>
      <c r="M279" s="2783" t="s">
        <v>1743</v>
      </c>
      <c r="N279" s="2695">
        <v>1</v>
      </c>
      <c r="O279" s="2695">
        <f>IF(Personalización!$J$29=M279,1,0)+IF(Personalización!$L$29=M279,1,0)</f>
        <v>0</v>
      </c>
      <c r="P279" s="503">
        <v>2</v>
      </c>
      <c r="Q279" s="2695">
        <f>IF(Personalización!$J$30=M279,1,0)+IF(Personalización!$L$30=M279,1,0)</f>
        <v>0</v>
      </c>
      <c r="R279" s="503">
        <v>3</v>
      </c>
      <c r="S279" s="129">
        <f>IF(Personalización!$J$31=M279,1,0)+IF(Personalización!$L$31=M279,1,0)</f>
        <v>0</v>
      </c>
      <c r="T279" s="503">
        <v>1</v>
      </c>
      <c r="U279" s="2695">
        <f>IF(Personalización!$J$32=M279,1,0)+IF(Personalización!$L$32=M279,1,0)</f>
        <v>0</v>
      </c>
      <c r="V279" s="503">
        <v>2</v>
      </c>
      <c r="W279" s="2695">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5"/>
    </row>
    <row r="280" spans="1:29" ht="12.75" customHeight="1" x14ac:dyDescent="0.2">
      <c r="A280" s="2029">
        <v>211</v>
      </c>
      <c r="B280" s="4995"/>
      <c r="C280" s="2448" t="str">
        <f t="shared" si="15"/>
        <v>Apr. natural (3): Perceptivas</v>
      </c>
      <c r="D280" s="2453">
        <f t="shared" si="16"/>
        <v>39</v>
      </c>
      <c r="E280" s="129" t="s">
        <v>2763</v>
      </c>
      <c r="F280" s="425">
        <v>2</v>
      </c>
      <c r="G280" s="425">
        <f>COUNTIF(Principal!$C$32:$J$50,Tablas!E280)</f>
        <v>0</v>
      </c>
      <c r="H280" s="2461">
        <f t="shared" si="17"/>
        <v>0</v>
      </c>
      <c r="I280" s="2466">
        <v>1</v>
      </c>
      <c r="J280" s="2470" t="s">
        <v>3412</v>
      </c>
      <c r="L280" s="1585" t="s">
        <v>1735</v>
      </c>
      <c r="M280" s="2783" t="s">
        <v>1088</v>
      </c>
      <c r="N280" s="2695">
        <v>1</v>
      </c>
      <c r="O280" s="2695">
        <f>IF(Personalización!$J$29=M280,1,0)+IF(Personalización!$L$29=M280,1,0)</f>
        <v>0</v>
      </c>
      <c r="P280" s="503">
        <v>2</v>
      </c>
      <c r="Q280" s="2695">
        <f>IF(Personalización!$J$30=M280,1,0)+IF(Personalización!$L$30=M280,1,0)</f>
        <v>0</v>
      </c>
      <c r="R280" s="503">
        <v>3</v>
      </c>
      <c r="S280" s="129">
        <f>IF(Personalización!$J$31=M280,1,0)+IF(Personalización!$L$31=M280,1,0)</f>
        <v>0</v>
      </c>
      <c r="T280" s="503">
        <v>1</v>
      </c>
      <c r="U280" s="2695">
        <f>IF(Personalización!$J$32=M280,1,0)+IF(Personalización!$L$32=M280,1,0)</f>
        <v>0</v>
      </c>
      <c r="V280" s="503">
        <v>2</v>
      </c>
      <c r="W280" s="2695">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5"/>
    </row>
    <row r="281" spans="1:29" ht="12.75" customHeight="1" x14ac:dyDescent="0.2">
      <c r="A281" s="2029">
        <v>211</v>
      </c>
      <c r="B281" s="4995"/>
      <c r="C281" s="2448" t="str">
        <f t="shared" si="15"/>
        <v>Apr. natural (3): Sociales</v>
      </c>
      <c r="D281" s="2453">
        <f t="shared" si="16"/>
        <v>38</v>
      </c>
      <c r="E281" s="129" t="s">
        <v>2764</v>
      </c>
      <c r="F281" s="425">
        <v>2</v>
      </c>
      <c r="G281" s="425">
        <f>COUNTIF(Principal!$C$32:$J$50,Tablas!E281)</f>
        <v>0</v>
      </c>
      <c r="H281" s="2461">
        <f t="shared" si="17"/>
        <v>0</v>
      </c>
      <c r="I281" s="2466">
        <v>1</v>
      </c>
      <c r="J281" s="2470" t="s">
        <v>3412</v>
      </c>
      <c r="L281" s="1585" t="s">
        <v>1735</v>
      </c>
      <c r="M281" s="2783" t="s">
        <v>1089</v>
      </c>
      <c r="N281" s="2695">
        <v>1</v>
      </c>
      <c r="O281" s="2695">
        <f>IF(Personalización!$J$29=M281,1,0)+IF(Personalización!$L$29=M281,1,0)</f>
        <v>0</v>
      </c>
      <c r="P281" s="503">
        <v>2</v>
      </c>
      <c r="Q281" s="2695">
        <f>IF(Personalización!$J$30=M281,1,0)+IF(Personalización!$L$30=M281,1,0)</f>
        <v>0</v>
      </c>
      <c r="R281" s="503">
        <v>3</v>
      </c>
      <c r="S281" s="129">
        <f>IF(Personalización!$J$31=M281,1,0)+IF(Personalización!$L$31=M281,1,0)</f>
        <v>0</v>
      </c>
      <c r="T281" s="503">
        <v>1</v>
      </c>
      <c r="U281" s="2695">
        <f>IF(Personalización!$J$32=M281,1,0)+IF(Personalización!$L$32=M281,1,0)</f>
        <v>0</v>
      </c>
      <c r="V281" s="503">
        <v>2</v>
      </c>
      <c r="W281" s="2695">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5"/>
    </row>
    <row r="282" spans="1:29" ht="12.75" customHeight="1" x14ac:dyDescent="0.2">
      <c r="A282" s="2029">
        <v>211</v>
      </c>
      <c r="B282" s="4995"/>
      <c r="C282" s="2448" t="str">
        <f t="shared" si="15"/>
        <v>Apr. natural (3): Subterfugio</v>
      </c>
      <c r="D282" s="2453">
        <f t="shared" si="16"/>
        <v>37</v>
      </c>
      <c r="E282" s="129" t="s">
        <v>2765</v>
      </c>
      <c r="F282" s="425">
        <v>2</v>
      </c>
      <c r="G282" s="425">
        <f>COUNTIF(Principal!$C$32:$J$50,Tablas!E282)</f>
        <v>0</v>
      </c>
      <c r="H282" s="2461">
        <f t="shared" si="17"/>
        <v>0</v>
      </c>
      <c r="I282" s="2466">
        <v>1</v>
      </c>
      <c r="J282" s="2470" t="s">
        <v>3412</v>
      </c>
      <c r="L282" s="1585" t="s">
        <v>1735</v>
      </c>
      <c r="M282" s="2783" t="s">
        <v>1090</v>
      </c>
      <c r="N282" s="2695">
        <v>1</v>
      </c>
      <c r="O282" s="2695">
        <f>IF(Personalización!$J$29=M282,1,0)+IF(Personalización!$L$29=M282,1,0)</f>
        <v>0</v>
      </c>
      <c r="P282" s="503">
        <v>2</v>
      </c>
      <c r="Q282" s="2695">
        <f>IF(Personalización!$J$30=M282,1,0)+IF(Personalización!$L$30=M282,1,0)</f>
        <v>0</v>
      </c>
      <c r="R282" s="503">
        <v>3</v>
      </c>
      <c r="S282" s="129">
        <f>IF(Personalización!$J$31=M282,1,0)+IF(Personalización!$L$31=M282,1,0)</f>
        <v>0</v>
      </c>
      <c r="T282" s="503">
        <v>1</v>
      </c>
      <c r="U282" s="2695">
        <f>IF(Personalización!$J$32=M282,1,0)+IF(Personalización!$L$32=M282,1,0)</f>
        <v>0</v>
      </c>
      <c r="V282" s="503">
        <v>2</v>
      </c>
      <c r="W282" s="2695">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5"/>
    </row>
    <row r="283" spans="1:29" ht="12.75" customHeight="1" x14ac:dyDescent="0.2">
      <c r="A283" s="2029">
        <v>211</v>
      </c>
      <c r="B283" s="4995"/>
      <c r="C283" s="2448" t="str">
        <f t="shared" si="15"/>
        <v>Apr. natural (3): Vigor</v>
      </c>
      <c r="D283" s="2453">
        <f t="shared" si="16"/>
        <v>41</v>
      </c>
      <c r="E283" s="129" t="s">
        <v>2766</v>
      </c>
      <c r="F283" s="425">
        <v>2</v>
      </c>
      <c r="G283" s="425">
        <f>COUNTIF(Principal!$C$32:$J$50,Tablas!E283)</f>
        <v>0</v>
      </c>
      <c r="H283" s="2461">
        <f t="shared" si="17"/>
        <v>0</v>
      </c>
      <c r="I283" s="2466">
        <v>1</v>
      </c>
      <c r="J283" s="2470" t="s">
        <v>3412</v>
      </c>
      <c r="L283" s="1585" t="s">
        <v>9174</v>
      </c>
      <c r="M283" s="2783" t="s">
        <v>1745</v>
      </c>
      <c r="N283" s="2695">
        <v>1</v>
      </c>
      <c r="O283" s="2695">
        <f>IF(Personalización!$J$29=M283,1,0)+IF(Personalización!$L$29=M283,1,0)</f>
        <v>0</v>
      </c>
      <c r="P283" s="503">
        <v>2</v>
      </c>
      <c r="Q283" s="2695">
        <f>IF(Personalización!$J$30=M283,1,0)+IF(Personalización!$L$30=M283,1,0)</f>
        <v>0</v>
      </c>
      <c r="R283" s="503">
        <v>3</v>
      </c>
      <c r="S283" s="129">
        <f>IF(Personalización!$J$31=M283,1,0)+IF(Personalización!$L$31=M283,1,0)</f>
        <v>0</v>
      </c>
      <c r="T283" s="503">
        <v>1</v>
      </c>
      <c r="U283" s="2695">
        <f>IF(Personalización!$J$32=M283,1,0)+IF(Personalización!$L$32=M283,1,0)</f>
        <v>0</v>
      </c>
      <c r="V283" s="503">
        <v>2</v>
      </c>
      <c r="W283" s="2695">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5"/>
    </row>
    <row r="284" spans="1:29" ht="12.75" customHeight="1" x14ac:dyDescent="0.2">
      <c r="A284" s="2029">
        <v>211</v>
      </c>
      <c r="B284" s="4995"/>
      <c r="C284" s="2448" t="str">
        <f t="shared" si="15"/>
        <v>Aprendizaje (1)</v>
      </c>
      <c r="D284" s="2453">
        <f t="shared" si="16"/>
        <v>40</v>
      </c>
      <c r="E284" s="129" t="s">
        <v>2767</v>
      </c>
      <c r="F284" s="425">
        <v>2</v>
      </c>
      <c r="G284" s="425">
        <f>COUNTIF(Principal!$C$32:$J$50,Tablas!E284)</f>
        <v>0</v>
      </c>
      <c r="H284" s="2461">
        <f t="shared" si="17"/>
        <v>0</v>
      </c>
      <c r="I284" s="2466">
        <v>1</v>
      </c>
      <c r="J284" s="2470" t="s">
        <v>3412</v>
      </c>
      <c r="L284" s="1585" t="s">
        <v>9174</v>
      </c>
      <c r="M284" s="2783" t="s">
        <v>1746</v>
      </c>
      <c r="N284" s="2695">
        <v>1</v>
      </c>
      <c r="O284" s="2695">
        <f>IF(Personalización!$J$29=M284,1,0)+IF(Personalización!$L$29=M284,1,0)</f>
        <v>0</v>
      </c>
      <c r="P284" s="503">
        <v>2</v>
      </c>
      <c r="Q284" s="2695">
        <f>IF(Personalización!$J$30=M284,1,0)+IF(Personalización!$L$30=M284,1,0)</f>
        <v>0</v>
      </c>
      <c r="R284" s="503">
        <v>3</v>
      </c>
      <c r="S284" s="129">
        <f>IF(Personalización!$J$31=M284,1,0)+IF(Personalización!$L$31=M284,1,0)</f>
        <v>0</v>
      </c>
      <c r="T284" s="503">
        <v>1</v>
      </c>
      <c r="U284" s="2695">
        <f>IF(Personalización!$J$32=M284,1,0)+IF(Personalización!$L$32=M284,1,0)</f>
        <v>0</v>
      </c>
      <c r="V284" s="503">
        <v>2</v>
      </c>
      <c r="W284" s="2695">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5"/>
    </row>
    <row r="285" spans="1:29" ht="12.75" customHeight="1" x14ac:dyDescent="0.2">
      <c r="A285" s="2029">
        <v>211</v>
      </c>
      <c r="B285" s="4995"/>
      <c r="C285" s="2448" t="str">
        <f t="shared" si="15"/>
        <v>Aprendizaje (2)</v>
      </c>
      <c r="D285" s="2453">
        <f t="shared" si="16"/>
        <v>36</v>
      </c>
      <c r="E285" s="129" t="s">
        <v>2768</v>
      </c>
      <c r="F285" s="425">
        <v>2</v>
      </c>
      <c r="G285" s="425">
        <f>COUNTIF(Principal!$C$32:$J$50,Tablas!E285)</f>
        <v>0</v>
      </c>
      <c r="H285" s="2461">
        <f t="shared" si="17"/>
        <v>0</v>
      </c>
      <c r="I285" s="2466">
        <v>1</v>
      </c>
      <c r="J285" s="2470" t="s">
        <v>3412</v>
      </c>
      <c r="L285" s="1585" t="s">
        <v>9174</v>
      </c>
      <c r="M285" s="2783" t="s">
        <v>1747</v>
      </c>
      <c r="N285" s="2695">
        <v>1</v>
      </c>
      <c r="O285" s="2695">
        <f>IF(Personalización!$J$29=M285,1,0)+IF(Personalización!$L$29=M285,1,0)</f>
        <v>0</v>
      </c>
      <c r="P285" s="503">
        <v>2</v>
      </c>
      <c r="Q285" s="2695">
        <f>IF(Personalización!$J$30=M285,1,0)+IF(Personalización!$L$30=M285,1,0)</f>
        <v>0</v>
      </c>
      <c r="R285" s="503">
        <v>3</v>
      </c>
      <c r="S285" s="129">
        <f>IF(Personalización!$J$31=M285,1,0)+IF(Personalización!$L$31=M285,1,0)</f>
        <v>0</v>
      </c>
      <c r="T285" s="503">
        <v>1</v>
      </c>
      <c r="U285" s="2695">
        <f>IF(Personalización!$J$32=M285,1,0)+IF(Personalización!$L$32=M285,1,0)</f>
        <v>0</v>
      </c>
      <c r="V285" s="503">
        <v>2</v>
      </c>
      <c r="W285" s="2695">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5"/>
    </row>
    <row r="286" spans="1:29" ht="12.75" customHeight="1" x14ac:dyDescent="0.2">
      <c r="A286" s="2029">
        <v>211</v>
      </c>
      <c r="B286" s="4995"/>
      <c r="C286" s="2448" t="str">
        <f t="shared" si="15"/>
        <v>Aprendizaje (3)</v>
      </c>
      <c r="D286" s="2453">
        <f t="shared" si="16"/>
        <v>32</v>
      </c>
      <c r="E286" s="129" t="s">
        <v>1847</v>
      </c>
      <c r="F286" s="425">
        <v>1</v>
      </c>
      <c r="G286" s="425">
        <f>COUNTIF(Principal!$C$32:$J$50,Tablas!E286)</f>
        <v>0</v>
      </c>
      <c r="H286" s="2461">
        <f t="shared" si="17"/>
        <v>0</v>
      </c>
      <c r="I286" s="2466">
        <v>1</v>
      </c>
      <c r="J286" s="2470" t="s">
        <v>3412</v>
      </c>
      <c r="L286" s="1585" t="s">
        <v>1748</v>
      </c>
      <c r="M286" s="2783" t="s">
        <v>1749</v>
      </c>
      <c r="N286" s="2695">
        <v>1</v>
      </c>
      <c r="O286" s="2695">
        <f>IF(Personalización!$J$29=M286,1,0)+IF(Personalización!$L$29=M286,1,0)</f>
        <v>0</v>
      </c>
      <c r="P286" s="503">
        <v>2</v>
      </c>
      <c r="Q286" s="2695">
        <f>IF(Personalización!$J$30=M286,1,0)+IF(Personalización!$L$30=M286,1,0)</f>
        <v>0</v>
      </c>
      <c r="R286" s="503">
        <v>3</v>
      </c>
      <c r="S286" s="129">
        <f>IF(Personalización!$J$31=M286,1,0)+IF(Personalización!$L$31=M286,1,0)</f>
        <v>0</v>
      </c>
      <c r="T286" s="503">
        <v>1</v>
      </c>
      <c r="U286" s="2695">
        <f>IF(Personalización!$J$32=M286,1,0)+IF(Personalización!$L$32=M286,1,0)</f>
        <v>0</v>
      </c>
      <c r="V286" s="503">
        <v>2</v>
      </c>
      <c r="W286" s="2695">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5"/>
    </row>
    <row r="287" spans="1:29" ht="12.75" customHeight="1" x14ac:dyDescent="0.2">
      <c r="A287" s="2029">
        <v>211</v>
      </c>
      <c r="B287" s="4995"/>
      <c r="C287" s="2448" t="str">
        <f t="shared" si="15"/>
        <v>Aprendizaje marcial</v>
      </c>
      <c r="D287" s="2453">
        <f t="shared" si="16"/>
        <v>33</v>
      </c>
      <c r="E287" s="129" t="s">
        <v>1849</v>
      </c>
      <c r="F287" s="425">
        <v>2</v>
      </c>
      <c r="G287" s="425">
        <f>COUNTIF(Principal!$C$32:$J$50,Tablas!E287)</f>
        <v>0</v>
      </c>
      <c r="H287" s="2461">
        <f t="shared" si="17"/>
        <v>0</v>
      </c>
      <c r="I287" s="2466">
        <v>1</v>
      </c>
      <c r="J287" s="2470" t="s">
        <v>3412</v>
      </c>
      <c r="L287" s="1585" t="s">
        <v>1748</v>
      </c>
      <c r="M287" s="2783" t="s">
        <v>1750</v>
      </c>
      <c r="N287" s="2695">
        <v>1</v>
      </c>
      <c r="O287" s="2695">
        <f>IF(Personalización!$J$29=M287,1,0)+IF(Personalización!$L$29=M287,1,0)</f>
        <v>0</v>
      </c>
      <c r="P287" s="503">
        <v>2</v>
      </c>
      <c r="Q287" s="2695">
        <f>IF(Personalización!$J$30=M287,1,0)+IF(Personalización!$L$30=M287,1,0)</f>
        <v>0</v>
      </c>
      <c r="R287" s="503">
        <v>3</v>
      </c>
      <c r="S287" s="129">
        <f>IF(Personalización!$J$31=M287,1,0)+IF(Personalización!$L$31=M287,1,0)</f>
        <v>0</v>
      </c>
      <c r="T287" s="503">
        <v>1</v>
      </c>
      <c r="U287" s="2695">
        <f>IF(Personalización!$J$32=M287,1,0)+IF(Personalización!$L$32=M287,1,0)</f>
        <v>0</v>
      </c>
      <c r="V287" s="503">
        <v>2</v>
      </c>
      <c r="W287" s="2695">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5"/>
    </row>
    <row r="288" spans="1:29" ht="12.75" customHeight="1" x14ac:dyDescent="0.2">
      <c r="A288" s="2029">
        <v>211</v>
      </c>
      <c r="B288" s="4995"/>
      <c r="C288" s="2448" t="str">
        <f t="shared" si="15"/>
        <v>Aprendizaje natural (1)</v>
      </c>
      <c r="D288" s="2453">
        <f t="shared" si="16"/>
        <v>34</v>
      </c>
      <c r="E288" s="129" t="s">
        <v>1851</v>
      </c>
      <c r="F288" s="425">
        <v>3</v>
      </c>
      <c r="G288" s="425">
        <f>COUNTIF(Principal!$C$32:$J$50,Tablas!E288)</f>
        <v>0</v>
      </c>
      <c r="H288" s="2461">
        <f t="shared" si="17"/>
        <v>0</v>
      </c>
      <c r="I288" s="2466">
        <v>1</v>
      </c>
      <c r="J288" s="2470" t="s">
        <v>3412</v>
      </c>
      <c r="L288" s="1585" t="s">
        <v>1748</v>
      </c>
      <c r="M288" s="2783" t="s">
        <v>3126</v>
      </c>
      <c r="N288" s="2695">
        <v>1</v>
      </c>
      <c r="O288" s="2695">
        <f>IF(Personalización!$J$29=M288,1,0)+IF(Personalización!$L$29=M288,1,0)</f>
        <v>0</v>
      </c>
      <c r="P288" s="503">
        <v>2</v>
      </c>
      <c r="Q288" s="2695">
        <f>IF(Personalización!$J$30=M288,1,0)+IF(Personalización!$L$30=M288,1,0)</f>
        <v>0</v>
      </c>
      <c r="R288" s="503">
        <v>3</v>
      </c>
      <c r="S288" s="129">
        <f>IF(Personalización!$J$31=M288,1,0)+IF(Personalización!$L$31=M288,1,0)</f>
        <v>0</v>
      </c>
      <c r="T288" s="503">
        <v>1</v>
      </c>
      <c r="U288" s="2695">
        <f>IF(Personalización!$J$32=M288,1,0)+IF(Personalización!$L$32=M288,1,0)</f>
        <v>0</v>
      </c>
      <c r="V288" s="503">
        <v>2</v>
      </c>
      <c r="W288" s="2695">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5"/>
    </row>
    <row r="289" spans="1:39" ht="12.75" customHeight="1" x14ac:dyDescent="0.2">
      <c r="A289" s="2029">
        <v>211</v>
      </c>
      <c r="B289" s="4995"/>
      <c r="C289" s="2448" t="str">
        <f t="shared" ref="C289:C320" si="18">VLOOKUP(A33,$D$257:$E$397,2,0)</f>
        <v>Aprendizaje natural (2)</v>
      </c>
      <c r="D289" s="2453">
        <f t="shared" ref="D289:D320" si="19">COUNTIF($E$256:$E$392,"&lt;="&amp;E289)-COUNTIF($E$256:$E$392,"*&gt;*")</f>
        <v>14</v>
      </c>
      <c r="E289" s="129" t="s">
        <v>2769</v>
      </c>
      <c r="F289" s="425">
        <v>2</v>
      </c>
      <c r="G289" s="425">
        <f>COUNTIF(Principal!$C$32:$J$50,Tablas!E289)</f>
        <v>0</v>
      </c>
      <c r="H289" s="2461">
        <f t="shared" ref="H289:H320" si="20">G289*F289</f>
        <v>0</v>
      </c>
      <c r="I289" s="2466">
        <v>1</v>
      </c>
      <c r="J289" s="2470" t="s">
        <v>3412</v>
      </c>
      <c r="L289" s="1585" t="s">
        <v>1748</v>
      </c>
      <c r="M289" s="2783" t="s">
        <v>1751</v>
      </c>
      <c r="N289" s="2695">
        <v>1</v>
      </c>
      <c r="O289" s="2695">
        <f>IF(Personalización!$J$29=M289,1,0)+IF(Personalización!$L$29=M289,1,0)</f>
        <v>0</v>
      </c>
      <c r="P289" s="503">
        <v>2</v>
      </c>
      <c r="Q289" s="2695">
        <f>IF(Personalización!$J$30=M289,1,0)+IF(Personalización!$L$30=M289,1,0)</f>
        <v>0</v>
      </c>
      <c r="R289" s="503">
        <v>3</v>
      </c>
      <c r="S289" s="129">
        <f>IF(Personalización!$J$31=M289,1,0)+IF(Personalización!$L$31=M289,1,0)</f>
        <v>0</v>
      </c>
      <c r="T289" s="503">
        <v>1</v>
      </c>
      <c r="U289" s="2695">
        <f>IF(Personalización!$J$32=M289,1,0)+IF(Personalización!$L$32=M289,1,0)</f>
        <v>0</v>
      </c>
      <c r="V289" s="503">
        <v>2</v>
      </c>
      <c r="W289" s="2695">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5"/>
    </row>
    <row r="290" spans="1:39" ht="12.75" customHeight="1" x14ac:dyDescent="0.2">
      <c r="A290" s="2029">
        <v>211</v>
      </c>
      <c r="B290" s="4995"/>
      <c r="C290" s="2448" t="str">
        <f t="shared" si="18"/>
        <v>Aprendizaje natural (3)</v>
      </c>
      <c r="D290" s="2453">
        <f t="shared" si="19"/>
        <v>18</v>
      </c>
      <c r="E290" s="129" t="s">
        <v>2770</v>
      </c>
      <c r="F290" s="425">
        <v>2</v>
      </c>
      <c r="G290" s="425">
        <f>COUNTIF(Principal!$C$32:$J$50,Tablas!E290)</f>
        <v>0</v>
      </c>
      <c r="H290" s="2461">
        <f t="shared" si="20"/>
        <v>0</v>
      </c>
      <c r="I290" s="2466">
        <v>1</v>
      </c>
      <c r="J290" s="2470" t="s">
        <v>3412</v>
      </c>
      <c r="L290" s="1585" t="s">
        <v>1748</v>
      </c>
      <c r="M290" s="2783" t="s">
        <v>1753</v>
      </c>
      <c r="N290" s="2695">
        <v>1</v>
      </c>
      <c r="O290" s="2695">
        <f>IF(Personalización!$J$29=M290,1,0)+IF(Personalización!$L$29=M290,1,0)</f>
        <v>0</v>
      </c>
      <c r="P290" s="503">
        <v>2</v>
      </c>
      <c r="Q290" s="2695">
        <f>IF(Personalización!$J$30=M290,1,0)+IF(Personalización!$L$30=M290,1,0)</f>
        <v>0</v>
      </c>
      <c r="R290" s="503">
        <v>3</v>
      </c>
      <c r="S290" s="129">
        <f>IF(Personalización!$J$31=M290,1,0)+IF(Personalización!$L$31=M290,1,0)</f>
        <v>0</v>
      </c>
      <c r="T290" s="503">
        <v>1</v>
      </c>
      <c r="U290" s="2695">
        <f>IF(Personalización!$J$32=M290,1,0)+IF(Personalización!$L$32=M290,1,0)</f>
        <v>0</v>
      </c>
      <c r="V290" s="503">
        <v>2</v>
      </c>
      <c r="W290" s="2695">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5"/>
      <c r="AG290" s="1761"/>
      <c r="AM290" s="2112"/>
    </row>
    <row r="291" spans="1:39" ht="12.75" customHeight="1" x14ac:dyDescent="0.2">
      <c r="A291" s="2029">
        <v>211</v>
      </c>
      <c r="B291" s="4995"/>
      <c r="C291" s="2448" t="str">
        <f t="shared" si="18"/>
        <v>Apto en campo: Atléticas</v>
      </c>
      <c r="D291" s="2453">
        <f t="shared" si="19"/>
        <v>17</v>
      </c>
      <c r="E291" s="129" t="s">
        <v>2771</v>
      </c>
      <c r="F291" s="425">
        <v>2</v>
      </c>
      <c r="G291" s="425">
        <f>COUNTIF(Principal!$C$32:$J$50,Tablas!E291)</f>
        <v>0</v>
      </c>
      <c r="H291" s="2461">
        <f t="shared" si="20"/>
        <v>0</v>
      </c>
      <c r="I291" s="2466">
        <v>1</v>
      </c>
      <c r="J291" s="2470" t="s">
        <v>3412</v>
      </c>
      <c r="L291" s="1585" t="s">
        <v>1748</v>
      </c>
      <c r="M291" s="2783" t="s">
        <v>1091</v>
      </c>
      <c r="N291" s="2695">
        <v>1</v>
      </c>
      <c r="O291" s="2695">
        <f>IF(Personalización!$J$29=M291,1,0)+IF(Personalización!$L$29=M291,1,0)</f>
        <v>0</v>
      </c>
      <c r="P291" s="503">
        <v>2</v>
      </c>
      <c r="Q291" s="2695">
        <f>IF(Personalización!$J$30=M291,1,0)+IF(Personalización!$L$30=M291,1,0)</f>
        <v>0</v>
      </c>
      <c r="R291" s="503">
        <v>3</v>
      </c>
      <c r="S291" s="129">
        <f>IF(Personalización!$J$31=M291,1,0)+IF(Personalización!$L$31=M291,1,0)</f>
        <v>0</v>
      </c>
      <c r="T291" s="503">
        <v>1</v>
      </c>
      <c r="U291" s="2695">
        <f>IF(Personalización!$J$32=M291,1,0)+IF(Personalización!$L$32=M291,1,0)</f>
        <v>0</v>
      </c>
      <c r="V291" s="503">
        <v>2</v>
      </c>
      <c r="W291" s="2695">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5"/>
      <c r="AM291" s="2478"/>
    </row>
    <row r="292" spans="1:39" ht="12.75" customHeight="1" x14ac:dyDescent="0.2">
      <c r="A292" s="2029">
        <v>211</v>
      </c>
      <c r="B292" s="4995"/>
      <c r="C292" s="2448" t="str">
        <f t="shared" si="18"/>
        <v>Apto en campo: Creativas</v>
      </c>
      <c r="D292" s="2453">
        <f t="shared" si="19"/>
        <v>16</v>
      </c>
      <c r="E292" s="129" t="s">
        <v>2772</v>
      </c>
      <c r="F292" s="425">
        <v>2</v>
      </c>
      <c r="G292" s="425">
        <f>COUNTIF(Principal!$C$32:$J$50,Tablas!E292)</f>
        <v>0</v>
      </c>
      <c r="H292" s="2461">
        <f t="shared" si="20"/>
        <v>0</v>
      </c>
      <c r="I292" s="2466">
        <v>1</v>
      </c>
      <c r="J292" s="2470" t="s">
        <v>3412</v>
      </c>
      <c r="L292" s="1585" t="s">
        <v>1748</v>
      </c>
      <c r="M292" s="2783" t="s">
        <v>1756</v>
      </c>
      <c r="N292" s="2695">
        <v>1</v>
      </c>
      <c r="O292" s="2695">
        <f>IF(Personalización!$J$29=M292,1,0)+IF(Personalización!$L$29=M292,1,0)</f>
        <v>0</v>
      </c>
      <c r="P292" s="503">
        <v>2</v>
      </c>
      <c r="Q292" s="2695">
        <f>IF(Personalización!$J$30=M292,1,0)+IF(Personalización!$L$30=M292,1,0)</f>
        <v>0</v>
      </c>
      <c r="R292" s="503">
        <v>3</v>
      </c>
      <c r="S292" s="129">
        <f>IF(Personalización!$J$31=M292,1,0)+IF(Personalización!$L$31=M292,1,0)</f>
        <v>0</v>
      </c>
      <c r="T292" s="503">
        <v>1</v>
      </c>
      <c r="U292" s="2695">
        <f>IF(Personalización!$J$32=M292,1,0)+IF(Personalización!$L$32=M292,1,0)</f>
        <v>0</v>
      </c>
      <c r="V292" s="503">
        <v>2</v>
      </c>
      <c r="W292" s="2695">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5"/>
      <c r="AM292" s="2478"/>
    </row>
    <row r="293" spans="1:39" ht="12.75" customHeight="1" x14ac:dyDescent="0.2">
      <c r="A293" s="2029">
        <v>211</v>
      </c>
      <c r="B293" s="4995"/>
      <c r="C293" s="2448" t="str">
        <f t="shared" si="18"/>
        <v>Apto en campo: Intelectuales</v>
      </c>
      <c r="D293" s="2453">
        <f t="shared" si="19"/>
        <v>20</v>
      </c>
      <c r="E293" s="129" t="s">
        <v>2773</v>
      </c>
      <c r="F293" s="425">
        <v>2</v>
      </c>
      <c r="G293" s="425">
        <f>COUNTIF(Principal!$C$32:$J$50,Tablas!E293)</f>
        <v>0</v>
      </c>
      <c r="H293" s="2461">
        <f t="shared" si="20"/>
        <v>0</v>
      </c>
      <c r="I293" s="2466">
        <v>1</v>
      </c>
      <c r="J293" s="2470" t="s">
        <v>3412</v>
      </c>
      <c r="L293" s="1585" t="s">
        <v>1748</v>
      </c>
      <c r="M293" s="2783" t="s">
        <v>1757</v>
      </c>
      <c r="N293" s="2695">
        <v>1</v>
      </c>
      <c r="O293" s="2695">
        <f>IF(Personalización!$J$29=M293,1,0)+IF(Personalización!$L$29=M293,1,0)</f>
        <v>0</v>
      </c>
      <c r="P293" s="503">
        <v>2</v>
      </c>
      <c r="Q293" s="2695">
        <f>IF(Personalización!$J$30=M293,1,0)+IF(Personalización!$L$30=M293,1,0)</f>
        <v>0</v>
      </c>
      <c r="R293" s="503">
        <v>3</v>
      </c>
      <c r="S293" s="129">
        <f>IF(Personalización!$J$31=M293,1,0)+IF(Personalización!$L$31=M293,1,0)</f>
        <v>0</v>
      </c>
      <c r="T293" s="503">
        <v>1</v>
      </c>
      <c r="U293" s="2695">
        <f>IF(Personalización!$J$32=M293,1,0)+IF(Personalización!$L$32=M293,1,0)</f>
        <v>0</v>
      </c>
      <c r="V293" s="503">
        <v>2</v>
      </c>
      <c r="W293" s="2695">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5"/>
      <c r="AM293" s="2478"/>
    </row>
    <row r="294" spans="1:39" ht="12.75" customHeight="1" x14ac:dyDescent="0.2">
      <c r="A294" s="2029">
        <v>211</v>
      </c>
      <c r="B294" s="4995"/>
      <c r="C294" s="2448" t="str">
        <f t="shared" si="18"/>
        <v>Apto en campo: Perceptivas</v>
      </c>
      <c r="D294" s="2453">
        <f t="shared" si="19"/>
        <v>19</v>
      </c>
      <c r="E294" s="129" t="s">
        <v>2774</v>
      </c>
      <c r="F294" s="425">
        <v>2</v>
      </c>
      <c r="G294" s="425">
        <f>COUNTIF(Principal!$C$32:$J$50,Tablas!E294)</f>
        <v>0</v>
      </c>
      <c r="H294" s="2461">
        <f t="shared" si="20"/>
        <v>0</v>
      </c>
      <c r="I294" s="2466">
        <v>1</v>
      </c>
      <c r="J294" s="2470" t="s">
        <v>3412</v>
      </c>
      <c r="L294" s="1585" t="s">
        <v>1748</v>
      </c>
      <c r="M294" s="2783" t="s">
        <v>1758</v>
      </c>
      <c r="N294" s="2695">
        <v>1</v>
      </c>
      <c r="O294" s="2695">
        <f>IF(Personalización!$J$29=M294,1,0)+IF(Personalización!$L$29=M294,1,0)</f>
        <v>0</v>
      </c>
      <c r="P294" s="503">
        <v>2</v>
      </c>
      <c r="Q294" s="2695">
        <f>IF(Personalización!$J$30=M294,1,0)+IF(Personalización!$L$30=M294,1,0)</f>
        <v>0</v>
      </c>
      <c r="R294" s="503">
        <v>3</v>
      </c>
      <c r="S294" s="129">
        <f>IF(Personalización!$J$31=M294,1,0)+IF(Personalización!$L$31=M294,1,0)</f>
        <v>0</v>
      </c>
      <c r="T294" s="503">
        <v>1</v>
      </c>
      <c r="U294" s="2695">
        <f>IF(Personalización!$J$32=M294,1,0)+IF(Personalización!$L$32=M294,1,0)</f>
        <v>0</v>
      </c>
      <c r="V294" s="503">
        <v>2</v>
      </c>
      <c r="W294" s="2695">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5"/>
      <c r="AM294" s="2478"/>
    </row>
    <row r="295" spans="1:39" ht="12.75" customHeight="1" x14ac:dyDescent="0.2">
      <c r="A295" s="2029">
        <v>211</v>
      </c>
      <c r="B295" s="4995"/>
      <c r="C295" s="2448" t="str">
        <f t="shared" si="18"/>
        <v>Apto en campo: Sociales</v>
      </c>
      <c r="D295" s="2453">
        <f t="shared" si="19"/>
        <v>15</v>
      </c>
      <c r="E295" s="129" t="s">
        <v>2775</v>
      </c>
      <c r="F295" s="425">
        <v>2</v>
      </c>
      <c r="G295" s="425">
        <f>COUNTIF(Principal!$C$32:$J$50,Tablas!E295)</f>
        <v>0</v>
      </c>
      <c r="H295" s="2461">
        <f t="shared" si="20"/>
        <v>0</v>
      </c>
      <c r="I295" s="2466">
        <v>1</v>
      </c>
      <c r="J295" s="2470" t="s">
        <v>3412</v>
      </c>
      <c r="L295" s="1585" t="s">
        <v>1748</v>
      </c>
      <c r="M295" s="2783" t="s">
        <v>1759</v>
      </c>
      <c r="N295" s="2695">
        <v>1</v>
      </c>
      <c r="O295" s="2695">
        <f>IF(Personalización!$J$29=M295,1,0)+IF(Personalización!$L$29=M295,1,0)</f>
        <v>0</v>
      </c>
      <c r="P295" s="503">
        <v>2</v>
      </c>
      <c r="Q295" s="2695">
        <f>IF(Personalización!$J$30=M295,1,0)+IF(Personalización!$L$30=M295,1,0)</f>
        <v>0</v>
      </c>
      <c r="R295" s="503">
        <v>3</v>
      </c>
      <c r="S295" s="129">
        <f>IF(Personalización!$J$31=M295,1,0)+IF(Personalización!$L$31=M295,1,0)</f>
        <v>0</v>
      </c>
      <c r="T295" s="503">
        <v>1</v>
      </c>
      <c r="U295" s="2695">
        <f>IF(Personalización!$J$32=M295,1,0)+IF(Personalización!$L$32=M295,1,0)</f>
        <v>0</v>
      </c>
      <c r="V295" s="503">
        <v>2</v>
      </c>
      <c r="W295" s="2695">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5"/>
      <c r="AM295" s="2478"/>
    </row>
    <row r="296" spans="1:39" ht="12.75" customHeight="1" x14ac:dyDescent="0.2">
      <c r="A296" s="2029">
        <v>211</v>
      </c>
      <c r="B296" s="4995"/>
      <c r="C296" s="2448" t="str">
        <f t="shared" si="18"/>
        <v>Apto en campo: Subterfugio</v>
      </c>
      <c r="D296" s="2453">
        <f t="shared" si="19"/>
        <v>21</v>
      </c>
      <c r="E296" s="129" t="s">
        <v>2776</v>
      </c>
      <c r="F296" s="425">
        <v>3</v>
      </c>
      <c r="G296" s="425">
        <f>COUNTIF(Principal!$C$32:$J$50,Tablas!E296)</f>
        <v>0</v>
      </c>
      <c r="H296" s="2461">
        <f t="shared" si="20"/>
        <v>0</v>
      </c>
      <c r="I296" s="2466">
        <v>1</v>
      </c>
      <c r="J296" s="2470" t="s">
        <v>3412</v>
      </c>
      <c r="L296" s="1585" t="s">
        <v>1748</v>
      </c>
      <c r="M296" s="2783" t="s">
        <v>1760</v>
      </c>
      <c r="N296" s="2695">
        <v>1</v>
      </c>
      <c r="O296" s="2695">
        <f>IF(Personalización!$J$29=M296,1,0)+IF(Personalización!$L$29=M296,1,0)</f>
        <v>0</v>
      </c>
      <c r="P296" s="503">
        <v>2</v>
      </c>
      <c r="Q296" s="2695">
        <f>IF(Personalización!$J$30=M296,1,0)+IF(Personalización!$L$30=M296,1,0)</f>
        <v>0</v>
      </c>
      <c r="R296" s="503">
        <v>3</v>
      </c>
      <c r="S296" s="129">
        <f>IF(Personalización!$J$31=M296,1,0)+IF(Personalización!$L$31=M296,1,0)</f>
        <v>0</v>
      </c>
      <c r="T296" s="503">
        <v>1</v>
      </c>
      <c r="U296" s="2695">
        <f>IF(Personalización!$J$32=M296,1,0)+IF(Personalización!$L$32=M296,1,0)</f>
        <v>0</v>
      </c>
      <c r="V296" s="503">
        <v>2</v>
      </c>
      <c r="W296" s="2695">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5"/>
      <c r="AM296" s="2478"/>
    </row>
    <row r="297" spans="1:39" ht="12.75" customHeight="1" x14ac:dyDescent="0.2">
      <c r="A297" s="2029">
        <v>211</v>
      </c>
      <c r="B297" s="4995"/>
      <c r="C297" s="2448" t="str">
        <f t="shared" si="18"/>
        <v>Apto en campo: Vigor</v>
      </c>
      <c r="D297" s="2453">
        <f t="shared" si="19"/>
        <v>25</v>
      </c>
      <c r="E297" s="129" t="s">
        <v>2777</v>
      </c>
      <c r="F297" s="425">
        <v>3</v>
      </c>
      <c r="G297" s="425">
        <f>COUNTIF(Principal!$C$32:$J$50,Tablas!E297)</f>
        <v>0</v>
      </c>
      <c r="H297" s="2461">
        <f t="shared" si="20"/>
        <v>0</v>
      </c>
      <c r="I297" s="2466">
        <v>1</v>
      </c>
      <c r="J297" s="2470" t="s">
        <v>3412</v>
      </c>
      <c r="L297" s="1585" t="s">
        <v>1748</v>
      </c>
      <c r="M297" s="2783" t="s">
        <v>1761</v>
      </c>
      <c r="N297" s="2695">
        <v>1</v>
      </c>
      <c r="O297" s="2695">
        <f>IF(Personalización!$J$29=M297,1,0)+IF(Personalización!$L$29=M297,1,0)</f>
        <v>0</v>
      </c>
      <c r="P297" s="503">
        <v>2</v>
      </c>
      <c r="Q297" s="2695">
        <f>IF(Personalización!$J$30=M297,1,0)+IF(Personalización!$L$30=M297,1,0)</f>
        <v>0</v>
      </c>
      <c r="R297" s="503">
        <v>3</v>
      </c>
      <c r="S297" s="129">
        <f>IF(Personalización!$J$31=M297,1,0)+IF(Personalización!$L$31=M297,1,0)</f>
        <v>0</v>
      </c>
      <c r="T297" s="503">
        <v>1</v>
      </c>
      <c r="U297" s="2695">
        <f>IF(Personalización!$J$32=M297,1,0)+IF(Personalización!$L$32=M297,1,0)</f>
        <v>0</v>
      </c>
      <c r="V297" s="503">
        <v>2</v>
      </c>
      <c r="W297" s="2695">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5"/>
      <c r="AM297" s="2478"/>
    </row>
    <row r="298" spans="1:39" ht="12.75" customHeight="1" x14ac:dyDescent="0.2">
      <c r="A298" s="2029">
        <v>211</v>
      </c>
      <c r="B298" s="4995"/>
      <c r="C298" s="2448" t="str">
        <f t="shared" si="18"/>
        <v>Apto en una materia (1)</v>
      </c>
      <c r="D298" s="2453">
        <f t="shared" si="19"/>
        <v>24</v>
      </c>
      <c r="E298" s="129" t="s">
        <v>2778</v>
      </c>
      <c r="F298" s="425">
        <v>3</v>
      </c>
      <c r="G298" s="425">
        <f>COUNTIF(Principal!$C$32:$J$50,Tablas!E298)</f>
        <v>0</v>
      </c>
      <c r="H298" s="2461">
        <f t="shared" si="20"/>
        <v>0</v>
      </c>
      <c r="I298" s="2466">
        <v>1</v>
      </c>
      <c r="J298" s="2470" t="s">
        <v>3412</v>
      </c>
      <c r="L298" s="1585" t="s">
        <v>1762</v>
      </c>
      <c r="M298" s="2783" t="s">
        <v>1763</v>
      </c>
      <c r="N298" s="2695">
        <v>1</v>
      </c>
      <c r="O298" s="2695">
        <f>IF(Personalización!$J$29=M298,1,0)+IF(Personalización!$L$29=M298,1,0)</f>
        <v>0</v>
      </c>
      <c r="P298" s="503">
        <v>2</v>
      </c>
      <c r="Q298" s="2695">
        <f>IF(Personalización!$J$30=M298,1,0)+IF(Personalización!$L$30=M298,1,0)</f>
        <v>0</v>
      </c>
      <c r="R298" s="503">
        <v>3</v>
      </c>
      <c r="S298" s="129">
        <f>IF(Personalización!$J$31=M298,1,0)+IF(Personalización!$L$31=M298,1,0)</f>
        <v>0</v>
      </c>
      <c r="T298" s="503">
        <v>1</v>
      </c>
      <c r="U298" s="2695">
        <f>IF(Personalización!$J$32=M298,1,0)+IF(Personalización!$L$32=M298,1,0)</f>
        <v>0</v>
      </c>
      <c r="V298" s="503">
        <v>2</v>
      </c>
      <c r="W298" s="2695">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5"/>
      <c r="AM298" s="2478"/>
    </row>
    <row r="299" spans="1:39" ht="12.75" customHeight="1" x14ac:dyDescent="0.2">
      <c r="A299" s="2029">
        <v>211</v>
      </c>
      <c r="B299" s="4995"/>
      <c r="C299" s="2448" t="str">
        <f t="shared" si="18"/>
        <v>Apto en una materia (2)</v>
      </c>
      <c r="D299" s="2453">
        <f t="shared" si="19"/>
        <v>23</v>
      </c>
      <c r="E299" s="129" t="s">
        <v>2779</v>
      </c>
      <c r="F299" s="425">
        <v>3</v>
      </c>
      <c r="G299" s="425">
        <f>COUNTIF(Principal!$C$32:$J$50,Tablas!E299)</f>
        <v>0</v>
      </c>
      <c r="H299" s="2461">
        <f t="shared" si="20"/>
        <v>0</v>
      </c>
      <c r="I299" s="2466">
        <v>1</v>
      </c>
      <c r="J299" s="2470" t="s">
        <v>3412</v>
      </c>
      <c r="L299" s="1585" t="s">
        <v>1762</v>
      </c>
      <c r="M299" s="2783" t="s">
        <v>1764</v>
      </c>
      <c r="N299" s="2695">
        <v>1</v>
      </c>
      <c r="O299" s="2695">
        <f>IF(Personalización!$J$29=M299,1,0)+IF(Personalización!$L$29=M299,1,0)</f>
        <v>0</v>
      </c>
      <c r="P299" s="503">
        <v>2</v>
      </c>
      <c r="Q299" s="2695">
        <f>IF(Personalización!$J$30=M299,1,0)+IF(Personalización!$L$30=M299,1,0)</f>
        <v>0</v>
      </c>
      <c r="R299" s="503">
        <v>3</v>
      </c>
      <c r="S299" s="129">
        <f>IF(Personalización!$J$31=M299,1,0)+IF(Personalización!$L$31=M299,1,0)</f>
        <v>0</v>
      </c>
      <c r="T299" s="503">
        <v>1</v>
      </c>
      <c r="U299" s="2695">
        <f>IF(Personalización!$J$32=M299,1,0)+IF(Personalización!$L$32=M299,1,0)</f>
        <v>0</v>
      </c>
      <c r="V299" s="503">
        <v>2</v>
      </c>
      <c r="W299" s="2695">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5"/>
      <c r="AM299" s="2478"/>
    </row>
    <row r="300" spans="1:39" ht="12.75" customHeight="1" x14ac:dyDescent="0.2">
      <c r="A300" s="2029">
        <v>211</v>
      </c>
      <c r="B300" s="4995"/>
      <c r="C300" s="2448" t="str">
        <f t="shared" si="18"/>
        <v>Apto en una materia (3)</v>
      </c>
      <c r="D300" s="2453">
        <f t="shared" si="19"/>
        <v>27</v>
      </c>
      <c r="E300" s="129" t="s">
        <v>2780</v>
      </c>
      <c r="F300" s="425">
        <v>3</v>
      </c>
      <c r="G300" s="425">
        <f>COUNTIF(Principal!$C$32:$J$50,Tablas!E300)</f>
        <v>0</v>
      </c>
      <c r="H300" s="2461">
        <f t="shared" si="20"/>
        <v>0</v>
      </c>
      <c r="I300" s="2466">
        <v>1</v>
      </c>
      <c r="J300" s="2470" t="s">
        <v>3412</v>
      </c>
      <c r="L300" s="1585" t="s">
        <v>1762</v>
      </c>
      <c r="M300" s="2783" t="s">
        <v>1767</v>
      </c>
      <c r="N300" s="2695">
        <v>1</v>
      </c>
      <c r="O300" s="2695">
        <f>IF(Personalización!$J$29=M300,1,0)+IF(Personalización!$L$29=M300,1,0)</f>
        <v>0</v>
      </c>
      <c r="P300" s="503">
        <v>2</v>
      </c>
      <c r="Q300" s="2695">
        <f>IF(Personalización!$J$30=M300,1,0)+IF(Personalización!$L$30=M300,1,0)</f>
        <v>0</v>
      </c>
      <c r="R300" s="503">
        <v>3</v>
      </c>
      <c r="S300" s="129">
        <f>IF(Personalización!$J$31=M300,1,0)+IF(Personalización!$L$31=M300,1,0)</f>
        <v>0</v>
      </c>
      <c r="T300" s="503">
        <v>1</v>
      </c>
      <c r="U300" s="2695">
        <f>IF(Personalización!$J$32=M300,1,0)+IF(Personalización!$L$32=M300,1,0)</f>
        <v>0</v>
      </c>
      <c r="V300" s="503">
        <v>2</v>
      </c>
      <c r="W300" s="2695">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5"/>
      <c r="AM300" s="2478"/>
    </row>
    <row r="301" spans="1:39" ht="12.75" customHeight="1" x14ac:dyDescent="0.2">
      <c r="A301" s="2029">
        <v>211</v>
      </c>
      <c r="B301" s="4995"/>
      <c r="C301" s="2448" t="str">
        <f t="shared" si="18"/>
        <v>Armadura mística</v>
      </c>
      <c r="D301" s="2453">
        <f t="shared" si="19"/>
        <v>26</v>
      </c>
      <c r="E301" s="129" t="s">
        <v>2781</v>
      </c>
      <c r="F301" s="425">
        <v>3</v>
      </c>
      <c r="G301" s="425">
        <f>COUNTIF(Principal!$C$32:$J$50,Tablas!E301)</f>
        <v>0</v>
      </c>
      <c r="H301" s="2461">
        <f t="shared" si="20"/>
        <v>0</v>
      </c>
      <c r="I301" s="2466">
        <v>1</v>
      </c>
      <c r="J301" s="2470" t="s">
        <v>3412</v>
      </c>
      <c r="L301" s="1585" t="s">
        <v>1770</v>
      </c>
      <c r="M301" s="2783" t="s">
        <v>1771</v>
      </c>
      <c r="N301" s="2695">
        <v>1</v>
      </c>
      <c r="O301" s="2695">
        <f>IF(Personalización!$J$29=M301,1,0)+IF(Personalización!$L$29=M301,1,0)</f>
        <v>0</v>
      </c>
      <c r="P301" s="503">
        <v>2</v>
      </c>
      <c r="Q301" s="2695">
        <f>IF(Personalización!$J$30=M301,1,0)+IF(Personalización!$L$30=M301,1,0)</f>
        <v>0</v>
      </c>
      <c r="R301" s="503">
        <v>3</v>
      </c>
      <c r="S301" s="129">
        <f>IF(Personalización!$J$31=M301,1,0)+IF(Personalización!$L$31=M301,1,0)</f>
        <v>0</v>
      </c>
      <c r="T301" s="503">
        <v>1</v>
      </c>
      <c r="U301" s="2695">
        <f>IF(Personalización!$J$32=M301,1,0)+IF(Personalización!$L$32=M301,1,0)</f>
        <v>0</v>
      </c>
      <c r="V301" s="503">
        <v>2</v>
      </c>
      <c r="W301" s="2695">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5"/>
      <c r="AM301" s="2478"/>
    </row>
    <row r="302" spans="1:39" ht="12.75" customHeight="1" x14ac:dyDescent="0.2">
      <c r="A302" s="2029">
        <v>211</v>
      </c>
      <c r="B302" s="4995"/>
      <c r="C302" s="2448" t="str">
        <f t="shared" si="18"/>
        <v>Armadura natural</v>
      </c>
      <c r="D302" s="2453">
        <f t="shared" si="19"/>
        <v>22</v>
      </c>
      <c r="E302" s="129" t="s">
        <v>2782</v>
      </c>
      <c r="F302" s="425">
        <v>3</v>
      </c>
      <c r="G302" s="425">
        <f>COUNTIF(Principal!$C$32:$J$50,Tablas!E302)</f>
        <v>0</v>
      </c>
      <c r="H302" s="2461">
        <f t="shared" si="20"/>
        <v>0</v>
      </c>
      <c r="I302" s="2466">
        <v>1</v>
      </c>
      <c r="J302" s="2470" t="s">
        <v>3412</v>
      </c>
      <c r="L302" s="1585" t="s">
        <v>1770</v>
      </c>
      <c r="M302" s="2783" t="s">
        <v>1773</v>
      </c>
      <c r="N302" s="2695">
        <v>1</v>
      </c>
      <c r="O302" s="2695">
        <f>IF(Personalización!$J$29=M302,1,0)+IF(Personalización!$L$29=M302,1,0)</f>
        <v>0</v>
      </c>
      <c r="P302" s="503">
        <v>2</v>
      </c>
      <c r="Q302" s="2695">
        <f>IF(Personalización!$J$30=M302,1,0)+IF(Personalización!$L$30=M302,1,0)</f>
        <v>0</v>
      </c>
      <c r="R302" s="503">
        <v>3</v>
      </c>
      <c r="S302" s="129">
        <f>IF(Personalización!$J$31=M302,1,0)+IF(Personalización!$L$31=M302,1,0)</f>
        <v>0</v>
      </c>
      <c r="T302" s="503">
        <v>1</v>
      </c>
      <c r="U302" s="2695">
        <f>IF(Personalización!$J$32=M302,1,0)+IF(Personalización!$L$32=M302,1,0)</f>
        <v>0</v>
      </c>
      <c r="V302" s="503">
        <v>2</v>
      </c>
      <c r="W302" s="2695">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5"/>
      <c r="AM302" s="2478"/>
    </row>
    <row r="303" spans="1:39" ht="12.75" customHeight="1" x14ac:dyDescent="0.2">
      <c r="A303" s="2029">
        <v>211</v>
      </c>
      <c r="B303" s="4995"/>
      <c r="C303" s="2448" t="str">
        <f t="shared" si="18"/>
        <v>Bono natural incrementado</v>
      </c>
      <c r="D303" s="2453">
        <f t="shared" si="19"/>
        <v>49</v>
      </c>
      <c r="E303" s="129" t="s">
        <v>2783</v>
      </c>
      <c r="F303" s="425">
        <v>2</v>
      </c>
      <c r="G303" s="425">
        <f>COUNTIF(Principal!$C$32:$J$50,Tablas!E303)</f>
        <v>0</v>
      </c>
      <c r="H303" s="2461">
        <f t="shared" si="20"/>
        <v>0</v>
      </c>
      <c r="I303" s="2466">
        <v>1</v>
      </c>
      <c r="J303" s="2470" t="s">
        <v>3412</v>
      </c>
      <c r="L303" s="1585" t="s">
        <v>1770</v>
      </c>
      <c r="M303" s="2783" t="s">
        <v>1775</v>
      </c>
      <c r="N303" s="2695">
        <v>1</v>
      </c>
      <c r="O303" s="2695">
        <f>IF(Personalización!$J$29=M303,1,0)+IF(Personalización!$L$29=M303,1,0)</f>
        <v>0</v>
      </c>
      <c r="P303" s="503">
        <v>2</v>
      </c>
      <c r="Q303" s="2695">
        <f>IF(Personalización!$J$30=M303,1,0)+IF(Personalización!$L$30=M303,1,0)</f>
        <v>0</v>
      </c>
      <c r="R303" s="503">
        <v>3</v>
      </c>
      <c r="S303" s="129">
        <f>IF(Personalización!$J$31=M303,1,0)+IF(Personalización!$L$31=M303,1,0)</f>
        <v>0</v>
      </c>
      <c r="T303" s="503">
        <v>1</v>
      </c>
      <c r="U303" s="2695">
        <f>IF(Personalización!$J$32=M303,1,0)+IF(Personalización!$L$32=M303,1,0)</f>
        <v>0</v>
      </c>
      <c r="V303" s="503">
        <v>2</v>
      </c>
      <c r="W303" s="2695">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5"/>
      <c r="AG303" s="1761"/>
      <c r="AM303" s="2478"/>
    </row>
    <row r="304" spans="1:39" ht="12.75" customHeight="1" x14ac:dyDescent="0.2">
      <c r="A304" s="2029">
        <v>211</v>
      </c>
      <c r="B304" s="4995"/>
      <c r="C304" s="2448" t="str">
        <f t="shared" si="18"/>
        <v>Buena suerte</v>
      </c>
      <c r="D304" s="2453">
        <f t="shared" si="19"/>
        <v>112</v>
      </c>
      <c r="E304" s="129" t="s">
        <v>2784</v>
      </c>
      <c r="F304" s="425">
        <v>1</v>
      </c>
      <c r="G304" s="425">
        <f>COUNTIF(Principal!$C$32:$J$50,Tablas!E304)</f>
        <v>0</v>
      </c>
      <c r="H304" s="2461">
        <f t="shared" si="20"/>
        <v>0</v>
      </c>
      <c r="I304" s="2466"/>
      <c r="J304" s="2470" t="s">
        <v>3412</v>
      </c>
      <c r="L304" s="1585" t="s">
        <v>1770</v>
      </c>
      <c r="M304" s="2783" t="s">
        <v>1777</v>
      </c>
      <c r="N304" s="2695">
        <v>1</v>
      </c>
      <c r="O304" s="2695">
        <f>IF(Personalización!$J$29=M304,1,0)+IF(Personalización!$L$29=M304,1,0)</f>
        <v>0</v>
      </c>
      <c r="P304" s="503">
        <v>2</v>
      </c>
      <c r="Q304" s="2695">
        <f>IF(Personalización!$J$30=M304,1,0)+IF(Personalización!$L$30=M304,1,0)</f>
        <v>0</v>
      </c>
      <c r="R304" s="503">
        <v>3</v>
      </c>
      <c r="S304" s="129">
        <f>IF(Personalización!$J$31=M304,1,0)+IF(Personalización!$L$31=M304,1,0)</f>
        <v>0</v>
      </c>
      <c r="T304" s="503">
        <v>1</v>
      </c>
      <c r="U304" s="2695">
        <f>IF(Personalización!$J$32=M304,1,0)+IF(Personalización!$L$32=M304,1,0)</f>
        <v>0</v>
      </c>
      <c r="V304" s="503">
        <v>2</v>
      </c>
      <c r="W304" s="2695">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5"/>
      <c r="AG304" s="1761"/>
      <c r="AM304" s="2478"/>
    </row>
    <row r="305" spans="1:39" ht="12.75" customHeight="1" x14ac:dyDescent="0.2">
      <c r="A305" s="2029">
        <v>211</v>
      </c>
      <c r="B305" s="4995"/>
      <c r="C305" s="2448" t="str">
        <f t="shared" si="18"/>
        <v>Con. de todas las materias</v>
      </c>
      <c r="D305" s="2453">
        <f t="shared" si="19"/>
        <v>62</v>
      </c>
      <c r="E305" s="129" t="s">
        <v>2785</v>
      </c>
      <c r="F305" s="425">
        <v>1</v>
      </c>
      <c r="G305" s="425">
        <f>COUNTIF(Principal!$C$32:$J$50,Tablas!E305)</f>
        <v>0</v>
      </c>
      <c r="H305" s="2461">
        <f t="shared" si="20"/>
        <v>0</v>
      </c>
      <c r="I305" s="2466"/>
      <c r="J305" s="2470" t="s">
        <v>3412</v>
      </c>
      <c r="L305" s="1585" t="s">
        <v>1770</v>
      </c>
      <c r="M305" s="2783" t="s">
        <v>1779</v>
      </c>
      <c r="N305" s="2695">
        <v>1</v>
      </c>
      <c r="O305" s="2695">
        <f>IF(Personalización!$J$29=M305,1,0)+IF(Personalización!$L$29=M305,1,0)</f>
        <v>0</v>
      </c>
      <c r="P305" s="503">
        <v>2</v>
      </c>
      <c r="Q305" s="2695">
        <f>IF(Personalización!$J$30=M305,1,0)+IF(Personalización!$L$30=M305,1,0)</f>
        <v>0</v>
      </c>
      <c r="R305" s="503">
        <v>3</v>
      </c>
      <c r="S305" s="129">
        <f>IF(Personalización!$J$31=M305,1,0)+IF(Personalización!$L$31=M305,1,0)</f>
        <v>0</v>
      </c>
      <c r="T305" s="503">
        <v>1</v>
      </c>
      <c r="U305" s="2695">
        <f>IF(Personalización!$J$32=M305,1,0)+IF(Personalización!$L$32=M305,1,0)</f>
        <v>0</v>
      </c>
      <c r="V305" s="503">
        <v>2</v>
      </c>
      <c r="W305" s="2695">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5"/>
      <c r="AG305" s="1761"/>
      <c r="AM305" s="2478"/>
    </row>
    <row r="306" spans="1:39" ht="12.75" customHeight="1" x14ac:dyDescent="0.2">
      <c r="A306" s="2029">
        <v>211</v>
      </c>
      <c r="B306" s="4995"/>
      <c r="C306" s="2448" t="str">
        <f t="shared" si="18"/>
        <v>Convocador de masas (1)</v>
      </c>
      <c r="D306" s="2453">
        <f t="shared" si="19"/>
        <v>48</v>
      </c>
      <c r="E306" s="129" t="s">
        <v>2786</v>
      </c>
      <c r="F306" s="425">
        <v>1</v>
      </c>
      <c r="G306" s="425">
        <f>COUNTIF(Principal!$C$32:$J$50,Tablas!E306)</f>
        <v>0</v>
      </c>
      <c r="H306" s="2461">
        <f t="shared" si="20"/>
        <v>0</v>
      </c>
      <c r="I306" s="2466"/>
      <c r="J306" s="2470" t="s">
        <v>3412</v>
      </c>
      <c r="L306" s="1585" t="s">
        <v>1770</v>
      </c>
      <c r="M306" s="2783" t="s">
        <v>1781</v>
      </c>
      <c r="N306" s="2695">
        <v>1</v>
      </c>
      <c r="O306" s="2695">
        <f>IF(Personalización!$J$29=M306,1,0)+IF(Personalización!$L$29=M306,1,0)</f>
        <v>0</v>
      </c>
      <c r="P306" s="503">
        <v>2</v>
      </c>
      <c r="Q306" s="2695">
        <f>IF(Personalización!$J$30=M306,1,0)+IF(Personalización!$L$30=M306,1,0)</f>
        <v>0</v>
      </c>
      <c r="R306" s="503">
        <v>3</v>
      </c>
      <c r="S306" s="129">
        <f>IF(Personalización!$J$31=M306,1,0)+IF(Personalización!$L$31=M306,1,0)</f>
        <v>0</v>
      </c>
      <c r="T306" s="503">
        <v>1</v>
      </c>
      <c r="U306" s="2695">
        <f>IF(Personalización!$J$32=M306,1,0)+IF(Personalización!$L$32=M306,1,0)</f>
        <v>0</v>
      </c>
      <c r="V306" s="503">
        <v>2</v>
      </c>
      <c r="W306" s="2695">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5"/>
      <c r="AG306" s="1761"/>
      <c r="AM306" s="2478"/>
    </row>
    <row r="307" spans="1:39" ht="12.75" customHeight="1" x14ac:dyDescent="0.2">
      <c r="A307" s="2029">
        <v>211</v>
      </c>
      <c r="B307" s="4995"/>
      <c r="C307" s="2448" t="str">
        <f t="shared" si="18"/>
        <v>Convocador de masas (2)</v>
      </c>
      <c r="D307" s="2453">
        <f t="shared" si="19"/>
        <v>11</v>
      </c>
      <c r="E307" s="129" t="s">
        <v>2787</v>
      </c>
      <c r="F307" s="425">
        <v>1</v>
      </c>
      <c r="G307" s="425">
        <f>COUNTIF(Principal!$C$32:$J$50,Tablas!E307)</f>
        <v>0</v>
      </c>
      <c r="H307" s="2461">
        <f t="shared" si="20"/>
        <v>0</v>
      </c>
      <c r="I307" s="2466"/>
      <c r="J307" s="2470" t="s">
        <v>3412</v>
      </c>
      <c r="L307" s="1585" t="s">
        <v>1770</v>
      </c>
      <c r="M307" s="2783" t="s">
        <v>1782</v>
      </c>
      <c r="N307" s="2695">
        <v>1</v>
      </c>
      <c r="O307" s="2695">
        <f>IF(Personalización!$J$29=M307,1,0)+IF(Personalización!$L$29=M307,1,0)</f>
        <v>0</v>
      </c>
      <c r="P307" s="503">
        <v>2</v>
      </c>
      <c r="Q307" s="2695">
        <f>IF(Personalización!$J$30=M307,1,0)+IF(Personalización!$L$30=M307,1,0)</f>
        <v>0</v>
      </c>
      <c r="R307" s="503">
        <v>3</v>
      </c>
      <c r="S307" s="129">
        <f>IF(Personalización!$J$31=M307,1,0)+IF(Personalización!$L$31=M307,1,0)</f>
        <v>0</v>
      </c>
      <c r="T307" s="503">
        <v>1</v>
      </c>
      <c r="U307" s="2695">
        <f>IF(Personalización!$J$32=M307,1,0)+IF(Personalización!$L$32=M307,1,0)</f>
        <v>0</v>
      </c>
      <c r="V307" s="503">
        <v>2</v>
      </c>
      <c r="W307" s="2695">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5"/>
      <c r="AG307" s="1761"/>
      <c r="AM307" s="2478"/>
    </row>
    <row r="308" spans="1:39" ht="12.75" customHeight="1" x14ac:dyDescent="0.2">
      <c r="A308" s="2029">
        <v>211</v>
      </c>
      <c r="B308" s="4995"/>
      <c r="C308" s="2448" t="str">
        <f t="shared" si="18"/>
        <v>Convocador de masas (3)</v>
      </c>
      <c r="D308" s="2453">
        <f t="shared" si="19"/>
        <v>91</v>
      </c>
      <c r="E308" s="129" t="s">
        <v>2788</v>
      </c>
      <c r="F308" s="425">
        <v>1</v>
      </c>
      <c r="G308" s="425">
        <f>COUNTIF(Principal!$C$32:$J$50,Tablas!E308)</f>
        <v>0</v>
      </c>
      <c r="H308" s="2461">
        <f t="shared" si="20"/>
        <v>0</v>
      </c>
      <c r="I308" s="2466">
        <v>1</v>
      </c>
      <c r="J308" s="2470" t="s">
        <v>3412</v>
      </c>
      <c r="L308" s="1585" t="s">
        <v>1783</v>
      </c>
      <c r="M308" s="2783" t="s">
        <v>1784</v>
      </c>
      <c r="N308" s="2695">
        <v>1</v>
      </c>
      <c r="O308" s="2695">
        <f>IF(Personalización!$J$29=M308,1,0)+IF(Personalización!$L$29=M308,1,0)</f>
        <v>0</v>
      </c>
      <c r="P308" s="503">
        <v>2</v>
      </c>
      <c r="Q308" s="2695">
        <f>IF(Personalización!$J$30=M308,1,0)+IF(Personalización!$L$30=M308,1,0)</f>
        <v>0</v>
      </c>
      <c r="R308" s="503">
        <v>3</v>
      </c>
      <c r="S308" s="129">
        <f>IF(Personalización!$J$31=M308,1,0)+IF(Personalización!$L$31=M308,1,0)</f>
        <v>0</v>
      </c>
      <c r="T308" s="503">
        <v>1</v>
      </c>
      <c r="U308" s="2695">
        <f>IF(Personalización!$J$32=M308,1,0)+IF(Personalización!$L$32=M308,1,0)</f>
        <v>0</v>
      </c>
      <c r="V308" s="503">
        <v>2</v>
      </c>
      <c r="W308" s="2695">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5"/>
      <c r="AG308" s="1761"/>
      <c r="AM308" s="2478"/>
    </row>
    <row r="309" spans="1:39" ht="12.75" customHeight="1" x14ac:dyDescent="0.2">
      <c r="A309" s="2029">
        <v>211</v>
      </c>
      <c r="B309" s="4995"/>
      <c r="C309" s="2448" t="str">
        <f t="shared" si="18"/>
        <v>Desplazamiento rápido</v>
      </c>
      <c r="D309" s="2453">
        <f t="shared" si="19"/>
        <v>92</v>
      </c>
      <c r="E309" s="129" t="s">
        <v>2789</v>
      </c>
      <c r="F309" s="425">
        <v>2</v>
      </c>
      <c r="G309" s="425">
        <f>COUNTIF(Principal!$C$32:$J$50,Tablas!E309)</f>
        <v>0</v>
      </c>
      <c r="H309" s="2461">
        <f t="shared" si="20"/>
        <v>0</v>
      </c>
      <c r="I309" s="2466">
        <v>1</v>
      </c>
      <c r="J309" s="2470" t="s">
        <v>3412</v>
      </c>
      <c r="L309" s="1585" t="s">
        <v>1783</v>
      </c>
      <c r="M309" s="2783" t="s">
        <v>1785</v>
      </c>
      <c r="N309" s="2695">
        <v>1</v>
      </c>
      <c r="O309" s="2695">
        <f>IF(Personalización!$J$29=M309,1,0)+IF(Personalización!$L$29=M309,1,0)</f>
        <v>0</v>
      </c>
      <c r="P309" s="503">
        <v>2</v>
      </c>
      <c r="Q309" s="2695">
        <f>IF(Personalización!$J$30=M309,1,0)+IF(Personalización!$L$30=M309,1,0)</f>
        <v>0</v>
      </c>
      <c r="R309" s="503">
        <v>3</v>
      </c>
      <c r="S309" s="129">
        <f>IF(Personalización!$J$31=M309,1,0)+IF(Personalización!$L$31=M309,1,0)</f>
        <v>0</v>
      </c>
      <c r="T309" s="503">
        <v>1</v>
      </c>
      <c r="U309" s="2695">
        <f>IF(Personalización!$J$32=M309,1,0)+IF(Personalización!$L$32=M309,1,0)</f>
        <v>0</v>
      </c>
      <c r="V309" s="503">
        <v>2</v>
      </c>
      <c r="W309" s="2695">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5"/>
      <c r="AG309" s="1761"/>
      <c r="AM309" s="2478"/>
    </row>
    <row r="310" spans="1:39" ht="12.75" customHeight="1" x14ac:dyDescent="0.2">
      <c r="A310" s="2029">
        <v>211</v>
      </c>
      <c r="B310" s="4995"/>
      <c r="C310" s="2448" t="str">
        <f t="shared" si="18"/>
        <v>Difícil de matar (1)</v>
      </c>
      <c r="D310" s="2453">
        <f t="shared" si="19"/>
        <v>93</v>
      </c>
      <c r="E310" s="129" t="s">
        <v>2790</v>
      </c>
      <c r="F310" s="425">
        <v>3</v>
      </c>
      <c r="G310" s="425">
        <f>COUNTIF(Principal!$C$32:$J$50,Tablas!E310)</f>
        <v>0</v>
      </c>
      <c r="H310" s="2461">
        <f t="shared" si="20"/>
        <v>0</v>
      </c>
      <c r="I310" s="2466">
        <v>1</v>
      </c>
      <c r="J310" s="2470" t="s">
        <v>3412</v>
      </c>
      <c r="L310" s="1585" t="s">
        <v>1783</v>
      </c>
      <c r="M310" s="2783" t="s">
        <v>1786</v>
      </c>
      <c r="N310" s="2695">
        <v>1</v>
      </c>
      <c r="O310" s="2695">
        <f>IF(Personalización!$J$29=M310,1,0)+IF(Personalización!$L$29=M310,1,0)</f>
        <v>0</v>
      </c>
      <c r="P310" s="503">
        <v>2</v>
      </c>
      <c r="Q310" s="2695">
        <f>IF(Personalización!$J$30=M310,1,0)+IF(Personalización!$L$30=M310,1,0)</f>
        <v>0</v>
      </c>
      <c r="R310" s="503">
        <v>3</v>
      </c>
      <c r="S310" s="129">
        <f>IF(Personalización!$J$31=M310,1,0)+IF(Personalización!$L$31=M310,1,0)</f>
        <v>0</v>
      </c>
      <c r="T310" s="503">
        <v>1</v>
      </c>
      <c r="U310" s="2695">
        <f>IF(Personalización!$J$32=M310,1,0)+IF(Personalización!$L$32=M310,1,0)</f>
        <v>0</v>
      </c>
      <c r="V310" s="503">
        <v>2</v>
      </c>
      <c r="W310" s="2695">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5"/>
      <c r="AG310" s="1761"/>
      <c r="AM310" s="2478"/>
    </row>
    <row r="311" spans="1:39" ht="12.75" customHeight="1" x14ac:dyDescent="0.2">
      <c r="A311" s="2029">
        <v>211</v>
      </c>
      <c r="B311" s="4995"/>
      <c r="C311" s="2448" t="str">
        <f t="shared" si="18"/>
        <v>Difícil de matar (2)</v>
      </c>
      <c r="D311" s="2453">
        <f t="shared" si="19"/>
        <v>115</v>
      </c>
      <c r="E311" s="129" t="s">
        <v>2791</v>
      </c>
      <c r="F311" s="425">
        <v>1</v>
      </c>
      <c r="G311" s="425">
        <f>COUNTIF(Principal!$C$32:$J$50,Tablas!E311)</f>
        <v>0</v>
      </c>
      <c r="H311" s="2461">
        <f t="shared" si="20"/>
        <v>0</v>
      </c>
      <c r="I311" s="2466">
        <v>1</v>
      </c>
      <c r="J311" s="2470" t="s">
        <v>3412</v>
      </c>
      <c r="L311" s="1585" t="s">
        <v>1783</v>
      </c>
      <c r="M311" s="2783" t="s">
        <v>1085</v>
      </c>
      <c r="N311" s="2695">
        <v>1</v>
      </c>
      <c r="O311" s="2695">
        <f>IF(Personalización!$J$29=M311,1,0)+IF(Personalización!$L$29=M311,1,0)</f>
        <v>0</v>
      </c>
      <c r="P311" s="503">
        <v>2</v>
      </c>
      <c r="Q311" s="2695">
        <f>IF(Personalización!$J$30=M311,1,0)+IF(Personalización!$L$30=M311,1,0)</f>
        <v>0</v>
      </c>
      <c r="R311" s="503">
        <v>3</v>
      </c>
      <c r="S311" s="129">
        <f>IF(Personalización!$J$31=M311,1,0)+IF(Personalización!$L$31=M311,1,0)</f>
        <v>0</v>
      </c>
      <c r="T311" s="503">
        <v>1</v>
      </c>
      <c r="U311" s="2695">
        <f>IF(Personalización!$J$32=M311,1,0)+IF(Personalización!$L$32=M311,1,0)</f>
        <v>0</v>
      </c>
      <c r="V311" s="503">
        <v>2</v>
      </c>
      <c r="W311" s="2695">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5"/>
      <c r="AG311" s="1761"/>
      <c r="AM311" s="2478"/>
    </row>
    <row r="312" spans="1:39" ht="12.75" customHeight="1" x14ac:dyDescent="0.2">
      <c r="A312" s="2029">
        <v>211</v>
      </c>
      <c r="B312" s="4995"/>
      <c r="C312" s="2448" t="str">
        <f t="shared" si="18"/>
        <v>Difícil de matar (3)</v>
      </c>
      <c r="D312" s="2453">
        <f t="shared" si="19"/>
        <v>116</v>
      </c>
      <c r="E312" s="129" t="s">
        <v>2792</v>
      </c>
      <c r="F312" s="425">
        <v>1</v>
      </c>
      <c r="G312" s="425">
        <f>COUNTIF(Principal!$C$32:$J$50,Tablas!E312)</f>
        <v>0</v>
      </c>
      <c r="H312" s="2461">
        <f t="shared" si="20"/>
        <v>0</v>
      </c>
      <c r="I312" s="2466">
        <v>1</v>
      </c>
      <c r="J312" s="2470" t="s">
        <v>3412</v>
      </c>
      <c r="L312" s="1585" t="s">
        <v>1783</v>
      </c>
      <c r="M312" s="2783" t="s">
        <v>1086</v>
      </c>
      <c r="N312" s="2695">
        <v>1</v>
      </c>
      <c r="O312" s="2695">
        <f>IF(Personalización!$J$29=M312,1,0)+IF(Personalización!$L$29=M312,1,0)</f>
        <v>0</v>
      </c>
      <c r="P312" s="503">
        <v>2</v>
      </c>
      <c r="Q312" s="2695">
        <f>IF(Personalización!$J$30=M312,1,0)+IF(Personalización!$L$30=M312,1,0)</f>
        <v>0</v>
      </c>
      <c r="R312" s="503">
        <v>3</v>
      </c>
      <c r="S312" s="129">
        <f>IF(Personalización!$J$31=M312,1,0)+IF(Personalización!$L$31=M312,1,0)</f>
        <v>0</v>
      </c>
      <c r="T312" s="503">
        <v>1</v>
      </c>
      <c r="U312" s="2695">
        <f>IF(Personalización!$J$32=M312,1,0)+IF(Personalización!$L$32=M312,1,0)</f>
        <v>0</v>
      </c>
      <c r="V312" s="503">
        <v>2</v>
      </c>
      <c r="W312" s="2695">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5"/>
      <c r="AG312" s="1761"/>
      <c r="AM312" s="2478"/>
    </row>
    <row r="313" spans="1:39" ht="12.75" customHeight="1" x14ac:dyDescent="0.2">
      <c r="A313" s="2029">
        <v>211</v>
      </c>
      <c r="B313" s="4995"/>
      <c r="C313" s="2448" t="str">
        <f t="shared" si="18"/>
        <v>Don</v>
      </c>
      <c r="D313" s="2453">
        <f t="shared" si="19"/>
        <v>117</v>
      </c>
      <c r="E313" s="129" t="s">
        <v>2793</v>
      </c>
      <c r="F313" s="425">
        <v>1</v>
      </c>
      <c r="G313" s="425">
        <f>COUNTIF(Principal!$C$32:$J$50,Tablas!E313)</f>
        <v>0</v>
      </c>
      <c r="H313" s="2461">
        <f t="shared" si="20"/>
        <v>0</v>
      </c>
      <c r="I313" s="2466">
        <v>1</v>
      </c>
      <c r="J313" s="2470" t="s">
        <v>3412</v>
      </c>
      <c r="L313" s="1585" t="s">
        <v>1783</v>
      </c>
      <c r="M313" s="2783" t="s">
        <v>1087</v>
      </c>
      <c r="N313" s="2695">
        <v>1</v>
      </c>
      <c r="O313" s="2695">
        <f>IF(Personalización!$J$29=M313,1,0)+IF(Personalización!$L$29=M313,1,0)</f>
        <v>0</v>
      </c>
      <c r="P313" s="503">
        <v>2</v>
      </c>
      <c r="Q313" s="2695">
        <f>IF(Personalización!$J$30=M313,1,0)+IF(Personalización!$L$30=M313,1,0)</f>
        <v>0</v>
      </c>
      <c r="R313" s="503">
        <v>3</v>
      </c>
      <c r="S313" s="129">
        <f>IF(Personalización!$J$31=M313,1,0)+IF(Personalización!$L$31=M313,1,0)</f>
        <v>0</v>
      </c>
      <c r="T313" s="503">
        <v>1</v>
      </c>
      <c r="U313" s="2695">
        <f>IF(Personalización!$J$32=M313,1,0)+IF(Personalización!$L$32=M313,1,0)</f>
        <v>0</v>
      </c>
      <c r="V313" s="503">
        <v>2</v>
      </c>
      <c r="W313" s="2695">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5"/>
      <c r="AG313" s="1761"/>
      <c r="AM313" s="2478"/>
    </row>
    <row r="314" spans="1:39" ht="12.75" customHeight="1" x14ac:dyDescent="0.2">
      <c r="A314" s="2029">
        <v>211</v>
      </c>
      <c r="B314" s="4995"/>
      <c r="C314" s="2448" t="str">
        <f t="shared" si="18"/>
        <v>Don incompleto</v>
      </c>
      <c r="D314" s="2453">
        <f t="shared" si="19"/>
        <v>118</v>
      </c>
      <c r="E314" s="129" t="s">
        <v>2794</v>
      </c>
      <c r="F314" s="425">
        <v>1</v>
      </c>
      <c r="G314" s="425">
        <f>COUNTIF(Principal!$C$32:$J$50,Tablas!E314)</f>
        <v>0</v>
      </c>
      <c r="H314" s="2461">
        <f t="shared" si="20"/>
        <v>0</v>
      </c>
      <c r="I314" s="2466">
        <v>1</v>
      </c>
      <c r="J314" s="2470" t="s">
        <v>3412</v>
      </c>
      <c r="L314" s="1585" t="s">
        <v>1783</v>
      </c>
      <c r="M314" s="2783" t="s">
        <v>1787</v>
      </c>
      <c r="N314" s="2695">
        <v>1</v>
      </c>
      <c r="O314" s="2695">
        <f>IF(Personalización!$J$29=M314,1,0)+IF(Personalización!$L$29=M314,1,0)</f>
        <v>0</v>
      </c>
      <c r="P314" s="503">
        <v>2</v>
      </c>
      <c r="Q314" s="2695">
        <f>IF(Personalización!$J$30=M314,1,0)+IF(Personalización!$L$30=M314,1,0)</f>
        <v>0</v>
      </c>
      <c r="R314" s="503">
        <v>3</v>
      </c>
      <c r="S314" s="129">
        <f>IF(Personalización!$J$31=M314,1,0)+IF(Personalización!$L$31=M314,1,0)</f>
        <v>0</v>
      </c>
      <c r="T314" s="503">
        <v>1</v>
      </c>
      <c r="U314" s="2695">
        <f>IF(Personalización!$J$32=M314,1,0)+IF(Personalización!$L$32=M314,1,0)</f>
        <v>0</v>
      </c>
      <c r="V314" s="503">
        <v>2</v>
      </c>
      <c r="W314" s="2695">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5"/>
      <c r="AG314" s="1761"/>
      <c r="AM314" s="2478"/>
    </row>
    <row r="315" spans="1:39" ht="12.75" customHeight="1" x14ac:dyDescent="0.2">
      <c r="A315" s="2029">
        <v>211</v>
      </c>
      <c r="B315" s="4995"/>
      <c r="C315" s="2448" t="str">
        <f t="shared" si="18"/>
        <v>Elan (1)</v>
      </c>
      <c r="D315" s="2453">
        <f t="shared" si="19"/>
        <v>119</v>
      </c>
      <c r="E315" s="129" t="s">
        <v>2795</v>
      </c>
      <c r="F315" s="425">
        <v>1</v>
      </c>
      <c r="G315" s="425">
        <f>COUNTIF(Principal!$C$32:$J$50,Tablas!E315)</f>
        <v>0</v>
      </c>
      <c r="H315" s="2461">
        <f t="shared" si="20"/>
        <v>0</v>
      </c>
      <c r="I315" s="2466">
        <v>1</v>
      </c>
      <c r="J315" s="2470" t="s">
        <v>3412</v>
      </c>
      <c r="L315" s="1585" t="s">
        <v>1783</v>
      </c>
      <c r="M315" s="2783" t="s">
        <v>1790</v>
      </c>
      <c r="N315" s="2695">
        <v>1</v>
      </c>
      <c r="O315" s="2695">
        <f>IF(Personalización!$J$29=M315,1,0)+IF(Personalización!$L$29=M315,1,0)</f>
        <v>0</v>
      </c>
      <c r="P315" s="503">
        <v>2</v>
      </c>
      <c r="Q315" s="2695">
        <f>IF(Personalización!$J$30=M315,1,0)+IF(Personalización!$L$30=M315,1,0)</f>
        <v>0</v>
      </c>
      <c r="R315" s="503">
        <v>3</v>
      </c>
      <c r="S315" s="129">
        <f>IF(Personalización!$J$31=M315,1,0)+IF(Personalización!$L$31=M315,1,0)</f>
        <v>0</v>
      </c>
      <c r="T315" s="503">
        <v>1</v>
      </c>
      <c r="U315" s="2695">
        <f>IF(Personalización!$J$32=M315,1,0)+IF(Personalización!$L$32=M315,1,0)</f>
        <v>0</v>
      </c>
      <c r="V315" s="503">
        <v>2</v>
      </c>
      <c r="W315" s="2695">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5"/>
      <c r="AG315" s="1761"/>
      <c r="AM315" s="2478"/>
    </row>
    <row r="316" spans="1:39" ht="12.75" customHeight="1" x14ac:dyDescent="0.2">
      <c r="A316" s="2029">
        <v>211</v>
      </c>
      <c r="B316" s="4995"/>
      <c r="C316" s="2448" t="str">
        <f t="shared" si="18"/>
        <v>Elan (2)</v>
      </c>
      <c r="D316" s="2453">
        <f t="shared" si="19"/>
        <v>120</v>
      </c>
      <c r="E316" s="129" t="s">
        <v>2796</v>
      </c>
      <c r="F316" s="425">
        <v>1</v>
      </c>
      <c r="G316" s="425">
        <f>COUNTIF(Principal!$C$32:$J$50,Tablas!E316)</f>
        <v>0</v>
      </c>
      <c r="H316" s="2461">
        <f t="shared" si="20"/>
        <v>0</v>
      </c>
      <c r="I316" s="2466">
        <v>1</v>
      </c>
      <c r="J316" s="2470" t="s">
        <v>3412</v>
      </c>
      <c r="L316" s="1585" t="s">
        <v>1783</v>
      </c>
      <c r="M316" s="2783" t="s">
        <v>8230</v>
      </c>
      <c r="N316" s="2695">
        <v>1</v>
      </c>
      <c r="O316" s="2695">
        <f>IF(Personalización!$J$29=M316,1,0)+IF(Personalización!$L$29=M316,1,0)</f>
        <v>0</v>
      </c>
      <c r="P316" s="503">
        <v>2</v>
      </c>
      <c r="Q316" s="2695">
        <f>IF(Personalización!$J$30=M316,1,0)+IF(Personalización!$L$30=M316,1,0)</f>
        <v>0</v>
      </c>
      <c r="R316" s="503">
        <v>3</v>
      </c>
      <c r="S316" s="129">
        <f>IF(Personalización!$J$31=M316,1,0)+IF(Personalización!$L$31=M316,1,0)</f>
        <v>0</v>
      </c>
      <c r="T316" s="503">
        <v>1</v>
      </c>
      <c r="U316" s="2695">
        <f>IF(Personalización!$J$32=M316,1,0)+IF(Personalización!$L$32=M316,1,0)</f>
        <v>0</v>
      </c>
      <c r="V316" s="503">
        <v>2</v>
      </c>
      <c r="W316" s="2695">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5"/>
      <c r="AG316" s="1761"/>
      <c r="AM316" s="2478"/>
    </row>
    <row r="317" spans="1:39" ht="12.75" customHeight="1" x14ac:dyDescent="0.2">
      <c r="A317" s="2029">
        <v>211</v>
      </c>
      <c r="B317" s="4995"/>
      <c r="C317" s="2448" t="str">
        <f t="shared" si="18"/>
        <v>Elan (3)</v>
      </c>
      <c r="D317" s="2453">
        <f t="shared" si="19"/>
        <v>121</v>
      </c>
      <c r="E317" s="129" t="s">
        <v>2797</v>
      </c>
      <c r="F317" s="425">
        <v>1</v>
      </c>
      <c r="G317" s="425">
        <f>COUNTIF(Principal!$C$32:$J$50,Tablas!E317)</f>
        <v>0</v>
      </c>
      <c r="H317" s="2461">
        <f t="shared" si="20"/>
        <v>0</v>
      </c>
      <c r="I317" s="2466">
        <v>1</v>
      </c>
      <c r="J317" s="2470" t="s">
        <v>3412</v>
      </c>
      <c r="L317" s="1585" t="s">
        <v>1783</v>
      </c>
      <c r="M317" s="2783" t="s">
        <v>8231</v>
      </c>
      <c r="N317" s="2695">
        <v>1</v>
      </c>
      <c r="O317" s="2695">
        <f>IF(Personalización!$J$29=M317,1,0)+IF(Personalización!$L$29=M317,1,0)</f>
        <v>0</v>
      </c>
      <c r="P317" s="503">
        <v>2</v>
      </c>
      <c r="Q317" s="2695">
        <f>IF(Personalización!$J$30=M317,1,0)+IF(Personalización!$L$30=M317,1,0)</f>
        <v>0</v>
      </c>
      <c r="R317" s="503">
        <v>3</v>
      </c>
      <c r="S317" s="129">
        <f>IF(Personalización!$J$31=M317,1,0)+IF(Personalización!$L$31=M317,1,0)</f>
        <v>0</v>
      </c>
      <c r="T317" s="503">
        <v>1</v>
      </c>
      <c r="U317" s="2695">
        <f>IF(Personalización!$J$32=M317,1,0)+IF(Personalización!$L$32=M317,1,0)</f>
        <v>0</v>
      </c>
      <c r="V317" s="503">
        <v>2</v>
      </c>
      <c r="W317" s="2695">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5"/>
      <c r="AG317" s="1761"/>
      <c r="AM317" s="2478"/>
    </row>
    <row r="318" spans="1:39" ht="12.75" customHeight="1" x14ac:dyDescent="0.2">
      <c r="A318" s="2029">
        <v>211</v>
      </c>
      <c r="B318" s="4995"/>
      <c r="C318" s="2448" t="str">
        <f t="shared" si="18"/>
        <v>Encanto</v>
      </c>
      <c r="D318" s="2453">
        <f t="shared" si="19"/>
        <v>122</v>
      </c>
      <c r="E318" s="129" t="s">
        <v>2798</v>
      </c>
      <c r="F318" s="425">
        <v>1</v>
      </c>
      <c r="G318" s="425">
        <f>COUNTIF(Principal!$C$32:$J$50,Tablas!E318)</f>
        <v>0</v>
      </c>
      <c r="H318" s="2461">
        <f t="shared" si="20"/>
        <v>0</v>
      </c>
      <c r="I318" s="2466">
        <v>1</v>
      </c>
      <c r="J318" s="2470" t="s">
        <v>3412</v>
      </c>
      <c r="L318" s="1585" t="s">
        <v>1783</v>
      </c>
      <c r="M318" s="2783" t="s">
        <v>8232</v>
      </c>
      <c r="N318" s="2695">
        <v>1</v>
      </c>
      <c r="O318" s="2695">
        <f>IF(Personalización!$J$29=M318,1,0)+IF(Personalización!$L$29=M318,1,0)</f>
        <v>0</v>
      </c>
      <c r="P318" s="503">
        <v>2</v>
      </c>
      <c r="Q318" s="2695">
        <f>IF(Personalización!$J$30=M318,1,0)+IF(Personalización!$L$30=M318,1,0)</f>
        <v>0</v>
      </c>
      <c r="R318" s="503">
        <v>3</v>
      </c>
      <c r="S318" s="129">
        <f>IF(Personalización!$J$31=M318,1,0)+IF(Personalización!$L$31=M318,1,0)</f>
        <v>0</v>
      </c>
      <c r="T318" s="503">
        <v>1</v>
      </c>
      <c r="U318" s="2695">
        <f>IF(Personalización!$J$32=M318,1,0)+IF(Personalización!$L$32=M318,1,0)</f>
        <v>0</v>
      </c>
      <c r="V318" s="503">
        <v>2</v>
      </c>
      <c r="W318" s="2695">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5"/>
      <c r="AG318" s="1761"/>
      <c r="AM318" s="2478"/>
    </row>
    <row r="319" spans="1:39" ht="12.75" customHeight="1" x14ac:dyDescent="0.2">
      <c r="A319" s="2029">
        <v>211</v>
      </c>
      <c r="B319" s="4995"/>
      <c r="C319" s="2448" t="str">
        <f t="shared" si="18"/>
        <v>Esencia Sheele</v>
      </c>
      <c r="D319" s="2453">
        <f t="shared" si="19"/>
        <v>123</v>
      </c>
      <c r="E319" s="129" t="s">
        <v>2799</v>
      </c>
      <c r="F319" s="425">
        <v>1</v>
      </c>
      <c r="G319" s="425">
        <f>COUNTIF(Principal!$C$32:$J$50,Tablas!E319)</f>
        <v>0</v>
      </c>
      <c r="H319" s="2461">
        <f t="shared" si="20"/>
        <v>0</v>
      </c>
      <c r="I319" s="2466">
        <v>1</v>
      </c>
      <c r="J319" s="2470" t="s">
        <v>3412</v>
      </c>
      <c r="L319" s="1585" t="s">
        <v>1783</v>
      </c>
      <c r="M319" s="2783" t="s">
        <v>8233</v>
      </c>
      <c r="N319" s="2695">
        <v>1</v>
      </c>
      <c r="O319" s="2695">
        <f>IF(Personalización!$J$29=M319,1,0)+IF(Personalización!$L$29=M319,1,0)</f>
        <v>0</v>
      </c>
      <c r="P319" s="503">
        <v>2</v>
      </c>
      <c r="Q319" s="2695">
        <f>IF(Personalización!$J$30=M319,1,0)+IF(Personalización!$L$30=M319,1,0)</f>
        <v>0</v>
      </c>
      <c r="R319" s="503">
        <v>3</v>
      </c>
      <c r="S319" s="129">
        <f>IF(Personalización!$J$31=M319,1,0)+IF(Personalización!$L$31=M319,1,0)</f>
        <v>0</v>
      </c>
      <c r="T319" s="503">
        <v>1</v>
      </c>
      <c r="U319" s="2695">
        <f>IF(Personalización!$J$32=M319,1,0)+IF(Personalización!$L$32=M319,1,0)</f>
        <v>0</v>
      </c>
      <c r="V319" s="503">
        <v>2</v>
      </c>
      <c r="W319" s="2695">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5"/>
      <c r="AG319" s="1761"/>
      <c r="AM319" s="2478"/>
    </row>
    <row r="320" spans="1:39" ht="12.75" customHeight="1" x14ac:dyDescent="0.2">
      <c r="A320" s="2029">
        <v>211</v>
      </c>
      <c r="B320" s="4995"/>
      <c r="C320" s="2448" t="str">
        <f t="shared" si="18"/>
        <v>Familiar (2)</v>
      </c>
      <c r="D320" s="2453">
        <f t="shared" si="19"/>
        <v>124</v>
      </c>
      <c r="E320" s="129" t="s">
        <v>2800</v>
      </c>
      <c r="F320" s="425">
        <v>1</v>
      </c>
      <c r="G320" s="425">
        <f>COUNTIF(Principal!$C$32:$J$50,Tablas!E320)</f>
        <v>0</v>
      </c>
      <c r="H320" s="2461">
        <f t="shared" si="20"/>
        <v>0</v>
      </c>
      <c r="I320" s="2466">
        <v>1</v>
      </c>
      <c r="J320" s="2470" t="s">
        <v>3412</v>
      </c>
      <c r="L320" s="1585" t="e">
        <f>VLOOKUP(PDs!D177,PDs!AH178:AI184,2,FALSE)</f>
        <v>#N/A</v>
      </c>
      <c r="M320" s="2783" t="str">
        <f>IF(PDs!E177=0,"#1",PDs!E177)</f>
        <v>#1</v>
      </c>
      <c r="N320" s="2695">
        <v>1</v>
      </c>
      <c r="O320" s="2695">
        <f>IF(Personalización!$J$29=M320,1,0)+IF(Personalización!$L$29=M320,1,0)</f>
        <v>0</v>
      </c>
      <c r="P320" s="503">
        <v>2</v>
      </c>
      <c r="Q320" s="2695">
        <f>IF(Personalización!$J$30=M320,1,0)+IF(Personalización!$L$30=M320,1,0)</f>
        <v>0</v>
      </c>
      <c r="R320" s="503">
        <v>3</v>
      </c>
      <c r="S320" s="129">
        <f>IF(Personalización!$J$31=M320,1,0)+IF(Personalización!$L$31=M320,1,0)</f>
        <v>0</v>
      </c>
      <c r="T320" s="503">
        <v>1</v>
      </c>
      <c r="U320" s="2695">
        <f>IF(Personalización!$J$32=M320,1,0)+IF(Personalización!$L$32=M320,1,0)</f>
        <v>0</v>
      </c>
      <c r="V320" s="503">
        <v>2</v>
      </c>
      <c r="W320" s="2695">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5"/>
      <c r="AG320" s="1761"/>
      <c r="AM320" s="2478"/>
    </row>
    <row r="321" spans="1:39" ht="12.75" customHeight="1" x14ac:dyDescent="0.2">
      <c r="A321" s="2029">
        <v>211</v>
      </c>
      <c r="B321" s="4995"/>
      <c r="C321" s="2448" t="str">
        <f t="shared" ref="C321:C352" si="21">VLOOKUP(A65,$D$257:$E$397,2,0)</f>
        <v>Familiar (3)</v>
      </c>
      <c r="D321" s="2453">
        <f t="shared" ref="D321:D352" si="22">COUNTIF($E$256:$E$392,"&lt;="&amp;E321)-COUNTIF($E$256:$E$392,"*&gt;*")</f>
        <v>109</v>
      </c>
      <c r="E321" s="129" t="s">
        <v>2801</v>
      </c>
      <c r="F321" s="425">
        <v>2</v>
      </c>
      <c r="G321" s="425">
        <f>COUNTIF(Principal!$C$32:$J$50,Tablas!E321)</f>
        <v>0</v>
      </c>
      <c r="H321" s="2461">
        <f t="shared" ref="H321:H343" si="23">G321*F321</f>
        <v>0</v>
      </c>
      <c r="I321" s="2466"/>
      <c r="J321" s="2470" t="s">
        <v>3412</v>
      </c>
      <c r="L321" s="1585" t="e">
        <f>VLOOKUP(PDs!D178,PDs!AH179:AI184,2,FALSE)</f>
        <v>#N/A</v>
      </c>
      <c r="M321" s="2783" t="str">
        <f>IF(PDs!E178=0,"#2",PDs!E178)</f>
        <v>#2</v>
      </c>
      <c r="N321" s="2695">
        <v>1</v>
      </c>
      <c r="O321" s="2695">
        <f>IF(Personalización!$J$29=M321,1,0)+IF(Personalización!$L$29=M321,1,0)</f>
        <v>0</v>
      </c>
      <c r="P321" s="503">
        <v>2</v>
      </c>
      <c r="Q321" s="2695">
        <f>IF(Personalización!$J$30=M321,1,0)+IF(Personalización!$L$30=M321,1,0)</f>
        <v>0</v>
      </c>
      <c r="R321" s="503">
        <v>3</v>
      </c>
      <c r="S321" s="129">
        <f>IF(Personalización!$J$31=M321,1,0)+IF(Personalización!$L$31=M321,1,0)</f>
        <v>0</v>
      </c>
      <c r="T321" s="503">
        <v>1</v>
      </c>
      <c r="U321" s="2695">
        <f>IF(Personalización!$J$32=M321,1,0)+IF(Personalización!$L$32=M321,1,0)</f>
        <v>0</v>
      </c>
      <c r="V321" s="503">
        <v>2</v>
      </c>
      <c r="W321" s="2695">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5"/>
      <c r="AG321" s="1761"/>
      <c r="AM321" s="2478"/>
    </row>
    <row r="322" spans="1:39" ht="12.75" customHeight="1" x14ac:dyDescent="0.2">
      <c r="A322" s="2029">
        <v>211</v>
      </c>
      <c r="B322" s="4995"/>
      <c r="C322" s="2448" t="str">
        <f t="shared" si="21"/>
        <v>Habilidoso</v>
      </c>
      <c r="D322" s="2453">
        <f t="shared" si="22"/>
        <v>46</v>
      </c>
      <c r="E322" s="129" t="s">
        <v>2802</v>
      </c>
      <c r="F322" s="425">
        <v>1</v>
      </c>
      <c r="G322" s="425">
        <f>COUNTIF(Principal!$C$32:$J$50,Tablas!E322)</f>
        <v>0</v>
      </c>
      <c r="H322" s="2461">
        <f t="shared" si="23"/>
        <v>0</v>
      </c>
      <c r="I322" s="2466">
        <v>1</v>
      </c>
      <c r="J322" s="2470" t="s">
        <v>3412</v>
      </c>
      <c r="L322" s="1585" t="e">
        <f>VLOOKUP(PDs!D179,PDs!AH180:AI185,2,FALSE)</f>
        <v>#N/A</v>
      </c>
      <c r="M322" s="2783" t="str">
        <f>IF(PDs!E179=0,"#3",PDs!E179)</f>
        <v>#3</v>
      </c>
      <c r="N322" s="2695">
        <v>1</v>
      </c>
      <c r="O322" s="2695">
        <f>IF(Personalización!$J$29=M322,1,0)+IF(Personalización!$L$29=M322,1,0)</f>
        <v>0</v>
      </c>
      <c r="P322" s="503">
        <v>2</v>
      </c>
      <c r="Q322" s="2695">
        <f>IF(Personalización!$J$30=M322,1,0)+IF(Personalización!$L$30=M322,1,0)</f>
        <v>0</v>
      </c>
      <c r="R322" s="503">
        <v>3</v>
      </c>
      <c r="S322" s="129">
        <f>IF(Personalización!$J$31=M322,1,0)+IF(Personalización!$L$31=M322,1,0)</f>
        <v>0</v>
      </c>
      <c r="T322" s="503">
        <v>1</v>
      </c>
      <c r="U322" s="2695">
        <f>IF(Personalización!$J$32=M322,1,0)+IF(Personalización!$L$32=M322,1,0)</f>
        <v>0</v>
      </c>
      <c r="V322" s="503">
        <v>2</v>
      </c>
      <c r="W322" s="2695">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5"/>
      <c r="AG322" s="1761"/>
      <c r="AM322" s="2478"/>
    </row>
    <row r="323" spans="1:39" ht="12.75" customHeight="1" x14ac:dyDescent="0.2">
      <c r="A323" s="2029">
        <v>211</v>
      </c>
      <c r="B323" s="4995"/>
      <c r="C323" s="2448" t="str">
        <f t="shared" si="21"/>
        <v>Infatigable (1)</v>
      </c>
      <c r="D323" s="2453">
        <f t="shared" si="22"/>
        <v>45</v>
      </c>
      <c r="E323" s="129" t="s">
        <v>2803</v>
      </c>
      <c r="F323" s="425">
        <v>1</v>
      </c>
      <c r="G323" s="425">
        <f>COUNTIF(Principal!$C$32:$J$50,Tablas!E323)</f>
        <v>0</v>
      </c>
      <c r="H323" s="2461">
        <f t="shared" si="23"/>
        <v>0</v>
      </c>
      <c r="I323" s="2466">
        <v>1</v>
      </c>
      <c r="J323" s="2470" t="s">
        <v>3412</v>
      </c>
      <c r="L323" s="1585" t="e">
        <f>VLOOKUP(PDs!D180,PDs!AH181:AI186,2,FALSE)</f>
        <v>#N/A</v>
      </c>
      <c r="M323" s="2783" t="str">
        <f>IF(PDs!E180=0,"#4",PDs!E180)</f>
        <v>#4</v>
      </c>
      <c r="N323" s="2695">
        <v>1</v>
      </c>
      <c r="O323" s="2695">
        <f>IF(Personalización!$J$29=M323,1,0)+IF(Personalización!$L$29=M323,1,0)</f>
        <v>0</v>
      </c>
      <c r="P323" s="503">
        <v>2</v>
      </c>
      <c r="Q323" s="2695">
        <f>IF(Personalización!$J$30=M323,1,0)+IF(Personalización!$L$30=M323,1,0)</f>
        <v>0</v>
      </c>
      <c r="R323" s="503">
        <v>3</v>
      </c>
      <c r="S323" s="129">
        <f>IF(Personalización!$J$31=M323,1,0)+IF(Personalización!$L$31=M323,1,0)</f>
        <v>0</v>
      </c>
      <c r="T323" s="503">
        <v>1</v>
      </c>
      <c r="U323" s="2695">
        <f>IF(Personalización!$J$32=M323,1,0)+IF(Personalización!$L$32=M323,1,0)</f>
        <v>0</v>
      </c>
      <c r="V323" s="503">
        <v>2</v>
      </c>
      <c r="W323" s="2695">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5"/>
      <c r="AG323" s="1761"/>
      <c r="AM323" s="2478"/>
    </row>
    <row r="324" spans="1:39" ht="12.75" customHeight="1" thickBot="1" x14ac:dyDescent="0.25">
      <c r="A324" s="2029">
        <v>211</v>
      </c>
      <c r="B324" s="4995"/>
      <c r="C324" s="2448" t="str">
        <f t="shared" si="21"/>
        <v>Infatigable (2)</v>
      </c>
      <c r="D324" s="2453">
        <f t="shared" si="22"/>
        <v>3</v>
      </c>
      <c r="E324" s="129" t="s">
        <v>2804</v>
      </c>
      <c r="F324" s="425">
        <v>1</v>
      </c>
      <c r="G324" s="425">
        <f>COUNTIF(Principal!$C$32:$J$50,Tablas!E324)</f>
        <v>0</v>
      </c>
      <c r="H324" s="2461">
        <f t="shared" si="23"/>
        <v>0</v>
      </c>
      <c r="I324" s="2466"/>
      <c r="J324" s="2470" t="s">
        <v>3412</v>
      </c>
      <c r="L324" s="1587" t="e">
        <f>VLOOKUP(PDs!D181,PDs!AH182:AI187,2,FALSE)</f>
        <v>#N/A</v>
      </c>
      <c r="M324" s="2786"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5"/>
      <c r="AG324" s="1761"/>
      <c r="AM324" s="2478"/>
    </row>
    <row r="325" spans="1:39" ht="12.75" customHeight="1" x14ac:dyDescent="0.2">
      <c r="A325" s="2029">
        <v>211</v>
      </c>
      <c r="B325" s="4995"/>
      <c r="C325" s="2448" t="str">
        <f t="shared" si="21"/>
        <v>Infatigable (3)</v>
      </c>
      <c r="D325" s="2453">
        <f t="shared" si="22"/>
        <v>4</v>
      </c>
      <c r="E325" s="129" t="s">
        <v>2805</v>
      </c>
      <c r="F325" s="425">
        <v>2</v>
      </c>
      <c r="G325" s="425">
        <f>COUNTIF(Principal!$C$32:$J$50,Tablas!E325)</f>
        <v>0</v>
      </c>
      <c r="H325" s="2461">
        <f t="shared" si="23"/>
        <v>0</v>
      </c>
      <c r="I325" s="2466"/>
      <c r="J325" s="2470" t="s">
        <v>3412</v>
      </c>
      <c r="L325" s="2028"/>
      <c r="N325" s="413"/>
      <c r="AB325" s="413"/>
      <c r="AC325" s="2795"/>
      <c r="AG325" s="1761"/>
      <c r="AM325" s="2478"/>
    </row>
    <row r="326" spans="1:39" ht="12.75" customHeight="1" x14ac:dyDescent="0.2">
      <c r="A326" s="2029">
        <v>211</v>
      </c>
      <c r="B326" s="4995"/>
      <c r="C326" s="2448" t="str">
        <f t="shared" si="21"/>
        <v>Inm. al dolor y al cansancio</v>
      </c>
      <c r="D326" s="2453">
        <f t="shared" si="22"/>
        <v>5</v>
      </c>
      <c r="E326" s="129" t="s">
        <v>2806</v>
      </c>
      <c r="F326" s="425">
        <v>3</v>
      </c>
      <c r="G326" s="425">
        <f>COUNTIF(Principal!$C$32:$J$50,Tablas!E326)</f>
        <v>0</v>
      </c>
      <c r="H326" s="2461">
        <f t="shared" si="23"/>
        <v>0</v>
      </c>
      <c r="I326" s="2466"/>
      <c r="J326" s="2470" t="s">
        <v>3412</v>
      </c>
      <c r="N326" s="413"/>
      <c r="O326" s="2112"/>
      <c r="AB326" s="413"/>
      <c r="AC326" s="2795"/>
      <c r="AG326" s="1761"/>
      <c r="AM326" s="2478"/>
    </row>
    <row r="327" spans="1:39" ht="12.75" customHeight="1" x14ac:dyDescent="0.2">
      <c r="A327" s="2029">
        <v>211</v>
      </c>
      <c r="B327" s="4995"/>
      <c r="C327" s="2448" t="str">
        <f t="shared" si="21"/>
        <v>Inmunidad psíquica</v>
      </c>
      <c r="D327" s="2453">
        <f t="shared" si="22"/>
        <v>70</v>
      </c>
      <c r="E327" s="129" t="s">
        <v>2807</v>
      </c>
      <c r="F327" s="425">
        <v>1</v>
      </c>
      <c r="G327" s="425">
        <f>COUNTIF(Principal!$C$32:$J$50,Tablas!E327)</f>
        <v>0</v>
      </c>
      <c r="H327" s="2461">
        <f t="shared" si="23"/>
        <v>0</v>
      </c>
      <c r="I327" s="2466">
        <v>1</v>
      </c>
      <c r="J327" s="2470" t="s">
        <v>3412</v>
      </c>
      <c r="N327" s="413"/>
      <c r="O327" s="2112"/>
      <c r="AB327" s="413"/>
      <c r="AC327" s="2795"/>
      <c r="AG327" s="1761"/>
      <c r="AM327" s="2478"/>
    </row>
    <row r="328" spans="1:39" ht="12.75" customHeight="1" x14ac:dyDescent="0.2">
      <c r="A328" s="2029">
        <v>211</v>
      </c>
      <c r="B328" s="4995"/>
      <c r="C328" s="2448" t="str">
        <f t="shared" si="21"/>
        <v>Inmunidad sobrenatural (1)</v>
      </c>
      <c r="D328" s="2453">
        <f t="shared" si="22"/>
        <v>130</v>
      </c>
      <c r="E328" s="129" t="s">
        <v>2808</v>
      </c>
      <c r="F328" s="425">
        <v>1</v>
      </c>
      <c r="G328" s="425">
        <f>COUNTIF(Principal!$C$32:$J$50,Tablas!E328)</f>
        <v>0</v>
      </c>
      <c r="H328" s="2461">
        <f t="shared" si="23"/>
        <v>0</v>
      </c>
      <c r="I328" s="2466"/>
      <c r="J328" s="2470" t="s">
        <v>3412</v>
      </c>
      <c r="N328" s="413"/>
      <c r="O328" s="2112"/>
      <c r="AB328" s="413"/>
      <c r="AC328" s="2795"/>
      <c r="AG328" s="1761"/>
      <c r="AM328" s="2478"/>
    </row>
    <row r="329" spans="1:39" ht="12.75" customHeight="1" x14ac:dyDescent="0.2">
      <c r="A329" s="2029">
        <v>211</v>
      </c>
      <c r="B329" s="4995"/>
      <c r="C329" s="2448" t="str">
        <f t="shared" si="21"/>
        <v>Inmunidad sobrenatural (2)</v>
      </c>
      <c r="D329" s="2453">
        <f t="shared" si="22"/>
        <v>80</v>
      </c>
      <c r="E329" s="129" t="s">
        <v>2809</v>
      </c>
      <c r="F329" s="425">
        <v>1</v>
      </c>
      <c r="G329" s="425">
        <f>COUNTIF(Principal!$C$32:$J$50,Tablas!E329)</f>
        <v>0</v>
      </c>
      <c r="H329" s="2461">
        <f t="shared" si="23"/>
        <v>0</v>
      </c>
      <c r="I329" s="2466">
        <v>1</v>
      </c>
      <c r="J329" s="2470" t="s">
        <v>3412</v>
      </c>
      <c r="N329" s="413"/>
      <c r="O329" s="2112"/>
      <c r="AB329" s="413"/>
      <c r="AC329" s="2795"/>
      <c r="AG329" s="1761"/>
      <c r="AM329" s="2478"/>
    </row>
    <row r="330" spans="1:39" ht="12.75" customHeight="1" x14ac:dyDescent="0.2">
      <c r="A330" s="2029">
        <v>211</v>
      </c>
      <c r="B330" s="4995"/>
      <c r="C330" s="2448" t="str">
        <f t="shared" si="21"/>
        <v>Inmunidad sobrenatural (3)</v>
      </c>
      <c r="D330" s="2453">
        <f t="shared" si="22"/>
        <v>81</v>
      </c>
      <c r="E330" s="129" t="s">
        <v>2810</v>
      </c>
      <c r="F330" s="425">
        <v>2</v>
      </c>
      <c r="G330" s="425">
        <f>COUNTIF(Principal!$C$32:$J$50,Tablas!E330)</f>
        <v>0</v>
      </c>
      <c r="H330" s="2461">
        <f t="shared" si="23"/>
        <v>0</v>
      </c>
      <c r="I330" s="2466">
        <v>1</v>
      </c>
      <c r="J330" s="2470" t="s">
        <v>3412</v>
      </c>
      <c r="N330" s="413"/>
      <c r="O330" s="2112"/>
      <c r="AB330" s="413"/>
      <c r="AC330" s="2795"/>
      <c r="AG330" s="1761"/>
      <c r="AM330" s="2478"/>
    </row>
    <row r="331" spans="1:39" ht="12.75" customHeight="1" x14ac:dyDescent="0.2">
      <c r="A331" s="2029">
        <v>211</v>
      </c>
      <c r="B331" s="4995"/>
      <c r="C331" s="2448" t="str">
        <f t="shared" si="21"/>
        <v>Inquietante</v>
      </c>
      <c r="D331" s="2453">
        <f t="shared" si="22"/>
        <v>82</v>
      </c>
      <c r="E331" s="129" t="s">
        <v>2811</v>
      </c>
      <c r="F331" s="425">
        <v>3</v>
      </c>
      <c r="G331" s="425">
        <f>COUNTIF(Principal!$C$32:$J$50,Tablas!E331)</f>
        <v>0</v>
      </c>
      <c r="H331" s="2461">
        <f t="shared" si="23"/>
        <v>0</v>
      </c>
      <c r="I331" s="2466">
        <v>1</v>
      </c>
      <c r="J331" s="2470" t="s">
        <v>3412</v>
      </c>
      <c r="N331" s="413"/>
      <c r="O331" s="2112"/>
      <c r="AB331" s="413"/>
      <c r="AC331" s="2795"/>
      <c r="AG331" s="1761"/>
    </row>
    <row r="332" spans="1:39" ht="12.75" customHeight="1" x14ac:dyDescent="0.2">
      <c r="A332" s="2029">
        <v>211</v>
      </c>
      <c r="B332" s="4995"/>
      <c r="C332" s="2448" t="str">
        <f t="shared" si="21"/>
        <v>Inutilidad gestual</v>
      </c>
      <c r="D332" s="2453">
        <f t="shared" si="22"/>
        <v>67</v>
      </c>
      <c r="E332" s="129" t="s">
        <v>2812</v>
      </c>
      <c r="F332" s="425">
        <v>1</v>
      </c>
      <c r="G332" s="425">
        <f>COUNTIF(Principal!$C$32:$J$50,Tablas!E332)</f>
        <v>0</v>
      </c>
      <c r="H332" s="2461">
        <f t="shared" si="23"/>
        <v>0</v>
      </c>
      <c r="I332" s="2466">
        <v>1</v>
      </c>
      <c r="J332" s="2470" t="s">
        <v>3412</v>
      </c>
      <c r="N332" s="413"/>
      <c r="O332" s="2112"/>
      <c r="AB332" s="413"/>
      <c r="AC332" s="2795"/>
      <c r="AG332" s="1761"/>
    </row>
    <row r="333" spans="1:39" ht="12.75" customHeight="1" x14ac:dyDescent="0.2">
      <c r="A333" s="2029">
        <v>211</v>
      </c>
      <c r="B333" s="4995"/>
      <c r="C333" s="2448" t="str">
        <f t="shared" si="21"/>
        <v>Ki imperceptible</v>
      </c>
      <c r="D333" s="2453">
        <f t="shared" si="22"/>
        <v>68</v>
      </c>
      <c r="E333" s="129" t="s">
        <v>2813</v>
      </c>
      <c r="F333" s="425">
        <v>2</v>
      </c>
      <c r="G333" s="425">
        <f>COUNTIF(Principal!$C$32:$J$50,Tablas!E333)</f>
        <v>0</v>
      </c>
      <c r="H333" s="2461">
        <f t="shared" si="23"/>
        <v>0</v>
      </c>
      <c r="I333" s="2466">
        <v>1</v>
      </c>
      <c r="J333" s="2470" t="s">
        <v>3412</v>
      </c>
      <c r="N333" s="413"/>
      <c r="O333" s="2112"/>
      <c r="AB333" s="413"/>
      <c r="AC333" s="2795"/>
      <c r="AG333" s="1761"/>
    </row>
    <row r="334" spans="1:39" ht="12.75" customHeight="1" x14ac:dyDescent="0.2">
      <c r="A334" s="2029">
        <v>211</v>
      </c>
      <c r="B334" s="4995"/>
      <c r="C334" s="2448" t="str">
        <f t="shared" si="21"/>
        <v>Libre albedrío</v>
      </c>
      <c r="D334" s="2453">
        <f t="shared" si="22"/>
        <v>69</v>
      </c>
      <c r="E334" s="129" t="s">
        <v>2814</v>
      </c>
      <c r="F334" s="425">
        <v>3</v>
      </c>
      <c r="G334" s="425">
        <f>COUNTIF(Principal!$C$32:$J$50,Tablas!E334)</f>
        <v>0</v>
      </c>
      <c r="H334" s="2461">
        <f t="shared" si="23"/>
        <v>0</v>
      </c>
      <c r="I334" s="2466">
        <v>1</v>
      </c>
      <c r="J334" s="2470" t="s">
        <v>3412</v>
      </c>
      <c r="N334" s="413"/>
      <c r="O334" s="2112"/>
      <c r="AB334" s="413"/>
      <c r="AC334" s="2795"/>
      <c r="AG334" s="1761"/>
    </row>
    <row r="335" spans="1:39" ht="12.75" customHeight="1" x14ac:dyDescent="0.2">
      <c r="A335" s="2029">
        <v>211</v>
      </c>
      <c r="B335" s="4995"/>
      <c r="C335" s="2448" t="str">
        <f t="shared" si="21"/>
        <v>Límite dual</v>
      </c>
      <c r="D335" s="2453">
        <f t="shared" si="22"/>
        <v>53</v>
      </c>
      <c r="E335" s="129" t="s">
        <v>2815</v>
      </c>
      <c r="F335" s="425">
        <v>1</v>
      </c>
      <c r="G335" s="425">
        <f>COUNTIF(Principal!$C$32:$J$50,Tablas!E335)</f>
        <v>0</v>
      </c>
      <c r="H335" s="2461">
        <f t="shared" si="23"/>
        <v>0</v>
      </c>
      <c r="I335" s="2466">
        <v>1</v>
      </c>
      <c r="J335" s="2470" t="s">
        <v>3412</v>
      </c>
      <c r="N335" s="413"/>
      <c r="O335" s="2112"/>
      <c r="AB335" s="413"/>
      <c r="AC335" s="2795"/>
      <c r="AG335" s="1761"/>
    </row>
    <row r="336" spans="1:39" ht="12.75" customHeight="1" x14ac:dyDescent="0.2">
      <c r="A336" s="2029">
        <v>211</v>
      </c>
      <c r="B336" s="4995"/>
      <c r="C336" s="2448" t="str">
        <f t="shared" si="21"/>
        <v>Maestro marcial (1)</v>
      </c>
      <c r="D336" s="2453">
        <f t="shared" si="22"/>
        <v>88</v>
      </c>
      <c r="E336" s="129" t="s">
        <v>2816</v>
      </c>
      <c r="F336" s="425">
        <v>1</v>
      </c>
      <c r="G336" s="425">
        <f>COUNTIF(Principal!$C$32:$J$50,Tablas!E336)</f>
        <v>0</v>
      </c>
      <c r="H336" s="2461">
        <f t="shared" si="23"/>
        <v>0</v>
      </c>
      <c r="I336" s="2466"/>
      <c r="J336" s="2470" t="s">
        <v>3412</v>
      </c>
      <c r="N336" s="413"/>
      <c r="O336" s="2112"/>
      <c r="AB336" s="413"/>
      <c r="AC336" s="2795"/>
      <c r="AG336" s="1761"/>
    </row>
    <row r="337" spans="1:33" ht="12.75" customHeight="1" x14ac:dyDescent="0.2">
      <c r="A337" s="2029">
        <v>211</v>
      </c>
      <c r="B337" s="4995"/>
      <c r="C337" s="2448" t="str">
        <f t="shared" si="21"/>
        <v>Maestro marcial (2)</v>
      </c>
      <c r="D337" s="2453">
        <f t="shared" si="22"/>
        <v>89</v>
      </c>
      <c r="E337" s="129" t="s">
        <v>2817</v>
      </c>
      <c r="F337" s="425">
        <v>2</v>
      </c>
      <c r="G337" s="425">
        <f>COUNTIF(Principal!$C$32:$J$50,Tablas!E337)</f>
        <v>0</v>
      </c>
      <c r="H337" s="2461">
        <f t="shared" si="23"/>
        <v>0</v>
      </c>
      <c r="I337" s="2466"/>
      <c r="J337" s="2470" t="s">
        <v>3412</v>
      </c>
      <c r="N337" s="413"/>
      <c r="O337" s="2112"/>
      <c r="AB337" s="413"/>
      <c r="AC337" s="2795"/>
      <c r="AG337" s="1761"/>
    </row>
    <row r="338" spans="1:33" ht="12.75" customHeight="1" x14ac:dyDescent="0.2">
      <c r="A338" s="2029">
        <v>211</v>
      </c>
      <c r="B338" s="4995"/>
      <c r="C338" s="2448" t="str">
        <f t="shared" si="21"/>
        <v>Maestro marcial (3)</v>
      </c>
      <c r="D338" s="2453">
        <f t="shared" si="22"/>
        <v>90</v>
      </c>
      <c r="E338" s="129" t="s">
        <v>2818</v>
      </c>
      <c r="F338" s="425">
        <v>3</v>
      </c>
      <c r="G338" s="425">
        <f>COUNTIF(Principal!$C$32:$J$50,Tablas!E338)</f>
        <v>0</v>
      </c>
      <c r="H338" s="2461">
        <f t="shared" si="23"/>
        <v>0</v>
      </c>
      <c r="I338" s="2466"/>
      <c r="J338" s="2470" t="s">
        <v>3412</v>
      </c>
      <c r="N338" s="413"/>
      <c r="O338" s="2112"/>
      <c r="AB338" s="413"/>
      <c r="AC338" s="2795"/>
      <c r="AE338" s="2393"/>
      <c r="AG338" s="1761"/>
    </row>
    <row r="339" spans="1:33" ht="12.75" customHeight="1" x14ac:dyDescent="0.2">
      <c r="A339" s="2029">
        <v>211</v>
      </c>
      <c r="B339" s="4995"/>
      <c r="C339" s="2448" t="str">
        <f t="shared" si="21"/>
        <v>Mutación (1)</v>
      </c>
      <c r="D339" s="2453">
        <f t="shared" si="22"/>
        <v>59</v>
      </c>
      <c r="E339" s="129" t="s">
        <v>2819</v>
      </c>
      <c r="F339" s="425">
        <v>1</v>
      </c>
      <c r="G339" s="425">
        <f>COUNTIF(Principal!$C$32:$J$50,Tablas!E339)</f>
        <v>0</v>
      </c>
      <c r="H339" s="2461">
        <f t="shared" si="23"/>
        <v>0</v>
      </c>
      <c r="I339" s="2466"/>
      <c r="J339" s="2470" t="s">
        <v>3412</v>
      </c>
      <c r="N339" s="413"/>
      <c r="O339" s="2112"/>
      <c r="AB339" s="413"/>
      <c r="AC339" s="2795"/>
      <c r="AE339" s="2393"/>
      <c r="AG339" s="1761"/>
    </row>
    <row r="340" spans="1:33" ht="12.75" customHeight="1" x14ac:dyDescent="0.2">
      <c r="A340" s="2029">
        <v>211</v>
      </c>
      <c r="B340" s="4995"/>
      <c r="C340" s="2448" t="str">
        <f t="shared" si="21"/>
        <v>Mutación (2)</v>
      </c>
      <c r="D340" s="2453">
        <f t="shared" si="22"/>
        <v>60</v>
      </c>
      <c r="E340" s="129" t="s">
        <v>2820</v>
      </c>
      <c r="F340" s="425">
        <v>2</v>
      </c>
      <c r="G340" s="425">
        <f>COUNTIF(Principal!$C$32:$J$50,Tablas!E340)</f>
        <v>0</v>
      </c>
      <c r="H340" s="2461">
        <f t="shared" si="23"/>
        <v>0</v>
      </c>
      <c r="I340" s="2466"/>
      <c r="J340" s="2470" t="s">
        <v>3412</v>
      </c>
      <c r="N340" s="413"/>
      <c r="O340" s="2112"/>
      <c r="AB340" s="413"/>
      <c r="AC340" s="2795"/>
      <c r="AE340" s="2393"/>
      <c r="AG340" s="1761"/>
    </row>
    <row r="341" spans="1:33" ht="12.75" customHeight="1" x14ac:dyDescent="0.2">
      <c r="A341" s="2029">
        <v>211</v>
      </c>
      <c r="B341" s="4995"/>
      <c r="C341" s="2448" t="str">
        <f t="shared" si="21"/>
        <v>Mutación (3)</v>
      </c>
      <c r="D341" s="2453">
        <f t="shared" si="22"/>
        <v>61</v>
      </c>
      <c r="E341" s="129" t="s">
        <v>2821</v>
      </c>
      <c r="F341" s="425">
        <v>3</v>
      </c>
      <c r="G341" s="425">
        <f>COUNTIF(Principal!$C$32:$J$50,Tablas!E341)</f>
        <v>0</v>
      </c>
      <c r="H341" s="2461">
        <f t="shared" si="23"/>
        <v>0</v>
      </c>
      <c r="I341" s="2466"/>
      <c r="J341" s="2470" t="s">
        <v>3412</v>
      </c>
      <c r="N341" s="413"/>
      <c r="O341" s="2112"/>
      <c r="AB341" s="413"/>
      <c r="AC341" s="2795"/>
      <c r="AE341" s="2393"/>
      <c r="AG341" s="1761"/>
    </row>
    <row r="342" spans="1:33" ht="12.75" customHeight="1" x14ac:dyDescent="0.2">
      <c r="A342" s="2029">
        <v>211</v>
      </c>
      <c r="B342" s="4995"/>
      <c r="C342" s="2448" t="str">
        <f t="shared" si="21"/>
        <v>Percepción del Ki</v>
      </c>
      <c r="D342" s="2453">
        <f t="shared" si="22"/>
        <v>28</v>
      </c>
      <c r="E342" s="129" t="s">
        <v>2822</v>
      </c>
      <c r="F342" s="425">
        <v>1</v>
      </c>
      <c r="G342" s="425">
        <f>COUNTIF(Principal!$C$32:$J$50,Tablas!E342)</f>
        <v>0</v>
      </c>
      <c r="H342" s="2461">
        <f t="shared" si="23"/>
        <v>0</v>
      </c>
      <c r="I342" s="2466"/>
      <c r="J342" s="2470" t="s">
        <v>3412</v>
      </c>
      <c r="N342" s="413"/>
      <c r="O342" s="2112"/>
      <c r="AB342" s="413"/>
      <c r="AC342" s="2795"/>
      <c r="AE342" s="2393"/>
      <c r="AG342" s="1761"/>
    </row>
    <row r="343" spans="1:33" ht="12.75" customHeight="1" x14ac:dyDescent="0.2">
      <c r="A343" s="2029">
        <v>211</v>
      </c>
      <c r="B343" s="4995"/>
      <c r="C343" s="2448" t="str">
        <f t="shared" si="21"/>
        <v>Poder innato</v>
      </c>
      <c r="D343" s="2453">
        <f t="shared" si="22"/>
        <v>29</v>
      </c>
      <c r="E343" s="129" t="s">
        <v>2823</v>
      </c>
      <c r="F343" s="425">
        <v>2</v>
      </c>
      <c r="G343" s="425">
        <f>COUNTIF(Principal!$C$32:$J$50,Tablas!E343)</f>
        <v>0</v>
      </c>
      <c r="H343" s="2461">
        <f t="shared" si="23"/>
        <v>0</v>
      </c>
      <c r="I343" s="2466"/>
      <c r="J343" s="2470" t="s">
        <v>3412</v>
      </c>
      <c r="N343" s="413"/>
      <c r="O343" s="2112"/>
      <c r="AB343" s="413"/>
      <c r="AC343" s="2795"/>
      <c r="AG343" s="1761"/>
    </row>
    <row r="344" spans="1:33" ht="12.75" customHeight="1" x14ac:dyDescent="0.2">
      <c r="A344" s="2029">
        <v>211</v>
      </c>
      <c r="B344" s="4995"/>
      <c r="C344" s="2448" t="str">
        <f t="shared" si="21"/>
        <v>Recuperación de Ki (1)</v>
      </c>
      <c r="D344" s="2453">
        <f t="shared" si="22"/>
        <v>30</v>
      </c>
      <c r="E344" s="129" t="s">
        <v>2824</v>
      </c>
      <c r="F344" s="425">
        <v>3</v>
      </c>
      <c r="G344" s="425">
        <f>COUNTIF(Principal!$C$32:$J$50,Tablas!E344)</f>
        <v>0</v>
      </c>
      <c r="H344" s="2461">
        <f t="shared" ref="H344:H347" si="24">G344*F344</f>
        <v>0</v>
      </c>
      <c r="I344" s="2466"/>
      <c r="J344" s="2470" t="s">
        <v>3412</v>
      </c>
      <c r="N344" s="413"/>
      <c r="O344" s="2112"/>
      <c r="AB344" s="413"/>
      <c r="AC344" s="2795"/>
      <c r="AG344" s="1761"/>
    </row>
    <row r="345" spans="1:33" ht="12.75" customHeight="1" x14ac:dyDescent="0.2">
      <c r="A345" s="2029">
        <v>211</v>
      </c>
      <c r="B345" s="4995"/>
      <c r="C345" s="2448" t="str">
        <f t="shared" si="21"/>
        <v>Recuperación de Ki (2)</v>
      </c>
      <c r="D345" s="2453">
        <f t="shared" si="22"/>
        <v>83</v>
      </c>
      <c r="E345" s="129" t="s">
        <v>9012</v>
      </c>
      <c r="F345" s="425">
        <v>1</v>
      </c>
      <c r="G345" s="425">
        <f>COUNTIF(Principal!$C$32:$J$50,Tablas!E345)</f>
        <v>0</v>
      </c>
      <c r="H345" s="2461">
        <f t="shared" si="24"/>
        <v>0</v>
      </c>
      <c r="I345" s="2466"/>
      <c r="J345" s="2470" t="s">
        <v>3412</v>
      </c>
      <c r="N345" s="413"/>
      <c r="O345" s="2112"/>
      <c r="AB345" s="413"/>
      <c r="AC345" s="2795"/>
      <c r="AG345" s="1761"/>
    </row>
    <row r="346" spans="1:33" ht="12.75" customHeight="1" x14ac:dyDescent="0.2">
      <c r="A346" s="2029">
        <v>211</v>
      </c>
      <c r="B346" s="4995"/>
      <c r="C346" s="2448" t="str">
        <f t="shared" si="21"/>
        <v>Recuperación de Ki (3)</v>
      </c>
      <c r="D346" s="2453">
        <f t="shared" si="22"/>
        <v>84</v>
      </c>
      <c r="E346" s="129" t="s">
        <v>9013</v>
      </c>
      <c r="F346" s="425">
        <v>2</v>
      </c>
      <c r="G346" s="425">
        <f>COUNTIF(Principal!$C$32:$J$50,Tablas!E346)</f>
        <v>0</v>
      </c>
      <c r="H346" s="2461">
        <f t="shared" si="24"/>
        <v>0</v>
      </c>
      <c r="I346" s="2466"/>
      <c r="J346" s="2470" t="s">
        <v>3412</v>
      </c>
      <c r="N346" s="413"/>
      <c r="O346" s="2112"/>
      <c r="AB346" s="413"/>
      <c r="AC346" s="2795"/>
      <c r="AG346" s="1761"/>
    </row>
    <row r="347" spans="1:33" ht="12.75" customHeight="1" x14ac:dyDescent="0.2">
      <c r="A347" s="2029">
        <v>211</v>
      </c>
      <c r="B347" s="4995"/>
      <c r="C347" s="2448" t="str">
        <f t="shared" si="21"/>
        <v>Reflejos rápidos (1)</v>
      </c>
      <c r="D347" s="2453">
        <f t="shared" si="22"/>
        <v>85</v>
      </c>
      <c r="E347" s="129" t="s">
        <v>9014</v>
      </c>
      <c r="F347" s="425">
        <v>3</v>
      </c>
      <c r="G347" s="425">
        <f>COUNTIF(Principal!$C$32:$J$50,Tablas!E347)</f>
        <v>0</v>
      </c>
      <c r="H347" s="2461">
        <f t="shared" si="24"/>
        <v>0</v>
      </c>
      <c r="I347" s="2466"/>
      <c r="J347" s="2470" t="s">
        <v>3412</v>
      </c>
      <c r="N347" s="413"/>
      <c r="AB347" s="413"/>
      <c r="AC347" s="2795"/>
      <c r="AG347" s="1761"/>
    </row>
    <row r="348" spans="1:33" ht="12.75" customHeight="1" x14ac:dyDescent="0.2">
      <c r="A348" s="2029">
        <v>211</v>
      </c>
      <c r="B348" s="4995"/>
      <c r="C348" s="2448" t="str">
        <f t="shared" si="21"/>
        <v>Reflejos rápidos (2)</v>
      </c>
      <c r="D348" s="2453">
        <f t="shared" si="22"/>
        <v>-1</v>
      </c>
      <c r="E348" s="129" t="s">
        <v>2921</v>
      </c>
      <c r="F348" s="425"/>
      <c r="G348" s="425"/>
      <c r="H348" s="2461"/>
      <c r="I348" s="2466"/>
      <c r="J348" s="2470" t="s">
        <v>3412</v>
      </c>
      <c r="N348" s="413"/>
      <c r="AB348" s="413"/>
      <c r="AC348" s="2795"/>
      <c r="AG348" s="1761"/>
    </row>
    <row r="349" spans="1:33" ht="12.75" customHeight="1" x14ac:dyDescent="0.2">
      <c r="A349" s="2029">
        <v>211</v>
      </c>
      <c r="B349" s="4995"/>
      <c r="C349" s="2448" t="str">
        <f t="shared" si="21"/>
        <v>Reflejos rápidos (3)</v>
      </c>
      <c r="D349" s="2453">
        <f t="shared" si="22"/>
        <v>54</v>
      </c>
      <c r="E349" s="129" t="s">
        <v>2922</v>
      </c>
      <c r="F349" s="425">
        <v>1</v>
      </c>
      <c r="G349" s="425">
        <f>COUNTIF(Principal!$C$32:$J$50,Tablas!E349)</f>
        <v>0</v>
      </c>
      <c r="H349" s="2461">
        <f t="shared" ref="H349:H370" si="25">G349*F349</f>
        <v>0</v>
      </c>
      <c r="I349" s="2466">
        <v>2</v>
      </c>
      <c r="J349" s="2470" t="s">
        <v>3412</v>
      </c>
      <c r="N349" s="413"/>
      <c r="AB349" s="413"/>
      <c r="AC349" s="2795"/>
      <c r="AG349" s="1761"/>
    </row>
    <row r="350" spans="1:33" ht="12.75" customHeight="1" x14ac:dyDescent="0.2">
      <c r="A350" s="2029">
        <v>211</v>
      </c>
      <c r="B350" s="4995"/>
      <c r="C350" s="2448" t="str">
        <f t="shared" si="21"/>
        <v>Regeneración avanzada</v>
      </c>
      <c r="D350" s="2453">
        <f t="shared" si="22"/>
        <v>55</v>
      </c>
      <c r="E350" s="129" t="s">
        <v>2923</v>
      </c>
      <c r="F350" s="425">
        <v>2</v>
      </c>
      <c r="G350" s="425">
        <f>COUNTIF(Principal!$C$32:$J$50,Tablas!E350)</f>
        <v>0</v>
      </c>
      <c r="H350" s="2461">
        <f t="shared" si="25"/>
        <v>0</v>
      </c>
      <c r="I350" s="2466">
        <v>2</v>
      </c>
      <c r="J350" s="2470" t="s">
        <v>3412</v>
      </c>
      <c r="N350" s="413"/>
      <c r="AB350" s="413"/>
      <c r="AC350" s="2795"/>
      <c r="AG350" s="1761"/>
    </row>
    <row r="351" spans="1:33" ht="12.75" customHeight="1" x14ac:dyDescent="0.2">
      <c r="A351" s="2029">
        <v>211</v>
      </c>
      <c r="B351" s="4995"/>
      <c r="C351" s="2448" t="str">
        <f t="shared" si="21"/>
        <v>Regeneración básica</v>
      </c>
      <c r="D351" s="2453">
        <f t="shared" si="22"/>
        <v>56</v>
      </c>
      <c r="E351" s="129" t="s">
        <v>2924</v>
      </c>
      <c r="F351" s="425">
        <v>3</v>
      </c>
      <c r="G351" s="425">
        <f>COUNTIF(Principal!$C$32:$J$50,Tablas!E351)</f>
        <v>0</v>
      </c>
      <c r="H351" s="2461">
        <f t="shared" si="25"/>
        <v>0</v>
      </c>
      <c r="I351" s="2466">
        <v>2</v>
      </c>
      <c r="J351" s="2470" t="s">
        <v>3412</v>
      </c>
      <c r="N351" s="413"/>
      <c r="AB351" s="413"/>
      <c r="AC351" s="2795"/>
      <c r="AG351" s="1761"/>
    </row>
    <row r="352" spans="1:33" ht="12.75" customHeight="1" x14ac:dyDescent="0.2">
      <c r="A352" s="2029">
        <v>211</v>
      </c>
      <c r="B352" s="4995"/>
      <c r="C352" s="2448" t="str">
        <f t="shared" si="21"/>
        <v>Regeneración mayor</v>
      </c>
      <c r="D352" s="2453">
        <f t="shared" si="22"/>
        <v>12</v>
      </c>
      <c r="E352" s="129" t="s">
        <v>2925</v>
      </c>
      <c r="F352" s="425">
        <v>1</v>
      </c>
      <c r="G352" s="425">
        <f>COUNTIF(Principal!$C$32:$J$50,Tablas!E352)</f>
        <v>0</v>
      </c>
      <c r="H352" s="2461">
        <f t="shared" si="25"/>
        <v>0</v>
      </c>
      <c r="I352" s="2466"/>
      <c r="J352" s="2470" t="s">
        <v>3412</v>
      </c>
      <c r="N352" s="413"/>
      <c r="AB352" s="413"/>
      <c r="AC352" s="2795"/>
      <c r="AG352" s="1761"/>
    </row>
    <row r="353" spans="1:39" ht="12.75" customHeight="1" x14ac:dyDescent="0.2">
      <c r="A353" s="2029">
        <v>211</v>
      </c>
      <c r="B353" s="4995"/>
      <c r="C353" s="2448" t="str">
        <f t="shared" ref="C353:C384" si="26">VLOOKUP(A97,$D$257:$E$397,2,0)</f>
        <v>Repetir tirada de características</v>
      </c>
      <c r="D353" s="2453">
        <f t="shared" ref="D353:D384" si="27">COUNTIF($E$256:$E$392,"&lt;="&amp;E353)-COUNTIF($E$256:$E$392,"*&gt;*")</f>
        <v>72</v>
      </c>
      <c r="E353" s="129" t="s">
        <v>2926</v>
      </c>
      <c r="F353" s="425">
        <v>1</v>
      </c>
      <c r="G353" s="425">
        <f>COUNTIF(Principal!$C$32:$J$50,Tablas!E353)</f>
        <v>0</v>
      </c>
      <c r="H353" s="2461">
        <f t="shared" si="25"/>
        <v>0</v>
      </c>
      <c r="I353" s="2466"/>
      <c r="J353" s="2470" t="s">
        <v>3412</v>
      </c>
      <c r="N353" s="413"/>
      <c r="AB353" s="413"/>
      <c r="AC353" s="2795"/>
      <c r="AG353" s="1761"/>
    </row>
    <row r="354" spans="1:39" ht="12.75" customHeight="1" x14ac:dyDescent="0.2">
      <c r="A354" s="2029">
        <v>211</v>
      </c>
      <c r="B354" s="4995"/>
      <c r="C354" s="2448" t="str">
        <f t="shared" si="26"/>
        <v>Res. física excepcional (1)</v>
      </c>
      <c r="D354" s="2453">
        <f t="shared" si="27"/>
        <v>73</v>
      </c>
      <c r="E354" s="129" t="s">
        <v>2927</v>
      </c>
      <c r="F354" s="425">
        <v>2</v>
      </c>
      <c r="G354" s="425">
        <f>COUNTIF(Principal!$C$32:$J$50,Tablas!E354)</f>
        <v>0</v>
      </c>
      <c r="H354" s="2461">
        <f t="shared" si="25"/>
        <v>0</v>
      </c>
      <c r="I354" s="2466"/>
      <c r="J354" s="2470" t="s">
        <v>3412</v>
      </c>
      <c r="N354" s="413"/>
      <c r="AB354" s="413"/>
      <c r="AC354" s="2795"/>
      <c r="AG354" s="1761"/>
    </row>
    <row r="355" spans="1:39" ht="12.75" customHeight="1" x14ac:dyDescent="0.2">
      <c r="A355" s="2029">
        <v>211</v>
      </c>
      <c r="B355" s="4995"/>
      <c r="C355" s="2448" t="str">
        <f t="shared" si="26"/>
        <v>Res. física excepcional (2)</v>
      </c>
      <c r="D355" s="2453">
        <f t="shared" si="27"/>
        <v>74</v>
      </c>
      <c r="E355" s="129" t="s">
        <v>2928</v>
      </c>
      <c r="F355" s="425">
        <v>3</v>
      </c>
      <c r="G355" s="425">
        <f>COUNTIF(Principal!$C$32:$J$50,Tablas!E355)</f>
        <v>0</v>
      </c>
      <c r="H355" s="2461">
        <f t="shared" si="25"/>
        <v>0</v>
      </c>
      <c r="I355" s="2466"/>
      <c r="J355" s="2470" t="s">
        <v>3412</v>
      </c>
      <c r="N355" s="413"/>
      <c r="AB355" s="413"/>
      <c r="AC355" s="2795"/>
      <c r="AG355" s="1761"/>
    </row>
    <row r="356" spans="1:39" ht="12.75" customHeight="1" x14ac:dyDescent="0.2">
      <c r="A356" s="2029">
        <v>211</v>
      </c>
      <c r="B356" s="4995"/>
      <c r="C356" s="2448" t="str">
        <f t="shared" si="26"/>
        <v>Res. mágica excepcional (1)</v>
      </c>
      <c r="D356" s="2453">
        <f t="shared" si="27"/>
        <v>111</v>
      </c>
      <c r="E356" s="129" t="s">
        <v>2929</v>
      </c>
      <c r="F356" s="425">
        <v>2</v>
      </c>
      <c r="G356" s="425">
        <f>COUNTIF(Principal!$C$32:$J$50,Tablas!E356)</f>
        <v>0</v>
      </c>
      <c r="H356" s="2461">
        <f t="shared" si="25"/>
        <v>0</v>
      </c>
      <c r="I356" s="2466"/>
      <c r="J356" s="2470" t="s">
        <v>3412</v>
      </c>
      <c r="N356" s="413"/>
      <c r="AB356" s="413"/>
      <c r="AC356" s="2795"/>
      <c r="AG356" s="1761"/>
    </row>
    <row r="357" spans="1:39" ht="12.75" customHeight="1" x14ac:dyDescent="0.2">
      <c r="A357" s="2029">
        <v>211</v>
      </c>
      <c r="B357" s="4995"/>
      <c r="C357" s="2448" t="str">
        <f t="shared" si="26"/>
        <v>Res. mágica excepcional (2)</v>
      </c>
      <c r="D357" s="2453">
        <f t="shared" si="27"/>
        <v>106</v>
      </c>
      <c r="E357" s="129" t="s">
        <v>2930</v>
      </c>
      <c r="F357" s="425">
        <v>3</v>
      </c>
      <c r="G357" s="425">
        <f>COUNTIF(Principal!$C$32:$J$50,Tablas!E357)</f>
        <v>0</v>
      </c>
      <c r="H357" s="2461">
        <f t="shared" si="25"/>
        <v>0</v>
      </c>
      <c r="I357" s="2466">
        <v>1</v>
      </c>
      <c r="J357" s="2470" t="s">
        <v>3412</v>
      </c>
      <c r="N357" s="413"/>
      <c r="AB357" s="413"/>
      <c r="AC357" s="2795"/>
      <c r="AG357" s="1761"/>
    </row>
    <row r="358" spans="1:39" ht="12.75" customHeight="1" x14ac:dyDescent="0.2">
      <c r="A358" s="2029">
        <v>211</v>
      </c>
      <c r="B358" s="4995"/>
      <c r="C358" s="2448" t="str">
        <f t="shared" si="26"/>
        <v>Res. psi. excepcional (1)</v>
      </c>
      <c r="D358" s="2453">
        <f t="shared" si="27"/>
        <v>108</v>
      </c>
      <c r="E358" s="129" t="s">
        <v>2931</v>
      </c>
      <c r="F358" s="425">
        <v>3</v>
      </c>
      <c r="G358" s="425">
        <f>COUNTIF(Principal!$C$32:$J$50,Tablas!E358)</f>
        <v>0</v>
      </c>
      <c r="H358" s="2461">
        <f t="shared" si="25"/>
        <v>0</v>
      </c>
      <c r="I358" s="2466">
        <v>1</v>
      </c>
      <c r="J358" s="2470" t="s">
        <v>3412</v>
      </c>
      <c r="N358" s="413"/>
      <c r="AB358" s="413"/>
      <c r="AC358" s="2795"/>
      <c r="AG358" s="1761"/>
    </row>
    <row r="359" spans="1:39" ht="12.75" customHeight="1" x14ac:dyDescent="0.2">
      <c r="A359" s="2029">
        <v>211</v>
      </c>
      <c r="B359" s="4995"/>
      <c r="C359" s="2448" t="str">
        <f t="shared" si="26"/>
        <v>Res. psi. excepcional (2)</v>
      </c>
      <c r="D359" s="2453">
        <f t="shared" si="27"/>
        <v>107</v>
      </c>
      <c r="E359" s="129" t="s">
        <v>2932</v>
      </c>
      <c r="F359" s="425">
        <v>3</v>
      </c>
      <c r="G359" s="425">
        <f>COUNTIF(Principal!$C$32:$J$50,Tablas!E359)</f>
        <v>0</v>
      </c>
      <c r="H359" s="2461">
        <f t="shared" si="25"/>
        <v>0</v>
      </c>
      <c r="I359" s="2466">
        <v>1</v>
      </c>
      <c r="J359" s="2470" t="s">
        <v>3412</v>
      </c>
      <c r="N359" s="413"/>
      <c r="AB359" s="413"/>
      <c r="AC359" s="2795"/>
      <c r="AG359" s="1761"/>
    </row>
    <row r="360" spans="1:39" ht="12.75" customHeight="1" x14ac:dyDescent="0.2">
      <c r="A360" s="2029">
        <v>211</v>
      </c>
      <c r="B360" s="4995"/>
      <c r="C360" s="2448" t="str">
        <f t="shared" si="26"/>
        <v>Seductor</v>
      </c>
      <c r="D360" s="2453">
        <f t="shared" si="27"/>
        <v>47</v>
      </c>
      <c r="E360" s="129" t="s">
        <v>2933</v>
      </c>
      <c r="F360" s="425">
        <v>2</v>
      </c>
      <c r="G360" s="425">
        <f>COUNTIF(Principal!$C$32:$J$50,Tablas!E360)</f>
        <v>0</v>
      </c>
      <c r="H360" s="2461">
        <f t="shared" si="25"/>
        <v>0</v>
      </c>
      <c r="I360" s="2466">
        <v>1</v>
      </c>
      <c r="J360" s="2470" t="s">
        <v>3412</v>
      </c>
      <c r="N360" s="413"/>
      <c r="AB360" s="413"/>
      <c r="AC360" s="2795"/>
      <c r="AG360" s="1761"/>
    </row>
    <row r="361" spans="1:39" ht="12.75" customHeight="1" x14ac:dyDescent="0.2">
      <c r="A361" s="2029">
        <v>211</v>
      </c>
      <c r="B361" s="4995"/>
      <c r="C361" s="2448" t="str">
        <f t="shared" si="26"/>
        <v>Sellos magistrales</v>
      </c>
      <c r="D361" s="2453">
        <f t="shared" si="27"/>
        <v>127</v>
      </c>
      <c r="E361" s="129" t="s">
        <v>2934</v>
      </c>
      <c r="F361" s="425">
        <v>1</v>
      </c>
      <c r="G361" s="425">
        <f>COUNTIF(Principal!$C$32:$J$50,Tablas!E361)</f>
        <v>0</v>
      </c>
      <c r="H361" s="2461">
        <f t="shared" si="25"/>
        <v>0</v>
      </c>
      <c r="I361" s="2466">
        <v>1</v>
      </c>
      <c r="J361" s="2470" t="s">
        <v>3412</v>
      </c>
      <c r="N361" s="413"/>
      <c r="AB361" s="413"/>
      <c r="AC361" s="2795"/>
      <c r="AG361" s="1761"/>
    </row>
    <row r="362" spans="1:39" ht="12.75" customHeight="1" x14ac:dyDescent="0.2">
      <c r="A362" s="2029">
        <v>211</v>
      </c>
      <c r="B362" s="4995"/>
      <c r="C362" s="2448" t="str">
        <f t="shared" si="26"/>
        <v>Sentido del combate: Ataque</v>
      </c>
      <c r="D362" s="2453">
        <f t="shared" si="27"/>
        <v>128</v>
      </c>
      <c r="E362" s="129" t="s">
        <v>2935</v>
      </c>
      <c r="F362" s="425">
        <v>2</v>
      </c>
      <c r="G362" s="425">
        <f>COUNTIF(Principal!$C$32:$J$50,Tablas!E362)</f>
        <v>0</v>
      </c>
      <c r="H362" s="2461">
        <f t="shared" si="25"/>
        <v>0</v>
      </c>
      <c r="I362" s="2466">
        <v>1</v>
      </c>
      <c r="J362" s="2470" t="s">
        <v>3412</v>
      </c>
      <c r="N362" s="413"/>
      <c r="AB362" s="413"/>
      <c r="AC362" s="2795"/>
      <c r="AG362" s="1761"/>
    </row>
    <row r="363" spans="1:39" ht="12.75" customHeight="1" x14ac:dyDescent="0.2">
      <c r="A363" s="2029">
        <v>211</v>
      </c>
      <c r="B363" s="4995"/>
      <c r="C363" s="2448" t="str">
        <f t="shared" si="26"/>
        <v>Sentido del combate: Esquiva</v>
      </c>
      <c r="D363" s="2453">
        <f t="shared" si="27"/>
        <v>129</v>
      </c>
      <c r="E363" s="129" t="s">
        <v>2936</v>
      </c>
      <c r="F363" s="425">
        <v>3</v>
      </c>
      <c r="G363" s="425">
        <f>COUNTIF(Principal!$C$32:$J$50,Tablas!E363)</f>
        <v>0</v>
      </c>
      <c r="H363" s="2461">
        <f t="shared" si="25"/>
        <v>0</v>
      </c>
      <c r="I363" s="2466">
        <v>1</v>
      </c>
      <c r="J363" s="2470" t="s">
        <v>3412</v>
      </c>
      <c r="N363" s="413"/>
      <c r="AB363" s="413"/>
      <c r="AC363" s="2795"/>
      <c r="AG363" s="1761"/>
    </row>
    <row r="364" spans="1:39" ht="12.75" customHeight="1" x14ac:dyDescent="0.2">
      <c r="A364" s="2029">
        <v>211</v>
      </c>
      <c r="B364" s="4995"/>
      <c r="C364" s="2448" t="str">
        <f t="shared" si="26"/>
        <v>Sentido del combate: Parada</v>
      </c>
      <c r="D364" s="2453">
        <f t="shared" si="27"/>
        <v>131</v>
      </c>
      <c r="E364" s="129" t="s">
        <v>2937</v>
      </c>
      <c r="F364" s="425">
        <v>1</v>
      </c>
      <c r="G364" s="425">
        <f>COUNTIF(Principal!$C$32:$J$50,Tablas!E364)</f>
        <v>0</v>
      </c>
      <c r="H364" s="2461">
        <f t="shared" si="25"/>
        <v>0</v>
      </c>
      <c r="I364" s="2466">
        <v>1</v>
      </c>
      <c r="J364" s="2470" t="s">
        <v>3412</v>
      </c>
      <c r="N364" s="413"/>
      <c r="AB364" s="413"/>
      <c r="AC364" s="2795"/>
      <c r="AG364" s="1761"/>
      <c r="AM364" s="2112"/>
    </row>
    <row r="365" spans="1:39" ht="12.75" customHeight="1" x14ac:dyDescent="0.2">
      <c r="A365" s="2029">
        <v>211</v>
      </c>
      <c r="B365" s="4995"/>
      <c r="C365" s="2448" t="str">
        <f t="shared" si="26"/>
        <v>Sentido del peligro</v>
      </c>
      <c r="D365" s="2453">
        <f t="shared" si="27"/>
        <v>113</v>
      </c>
      <c r="E365" s="129" t="s">
        <v>2938</v>
      </c>
      <c r="F365" s="425">
        <v>1</v>
      </c>
      <c r="G365" s="425">
        <f>COUNTIF(Principal!$C$32:$J$50,Tablas!E365)</f>
        <v>0</v>
      </c>
      <c r="H365" s="2461">
        <f t="shared" si="25"/>
        <v>0</v>
      </c>
      <c r="I365" s="2466"/>
      <c r="J365" s="2470" t="s">
        <v>3412</v>
      </c>
      <c r="N365" s="413"/>
      <c r="AB365" s="413"/>
      <c r="AC365" s="2795"/>
      <c r="AG365" s="1761"/>
      <c r="AM365" s="2112"/>
    </row>
    <row r="366" spans="1:39" ht="12.75" customHeight="1" x14ac:dyDescent="0.2">
      <c r="A366" s="2029">
        <v>211</v>
      </c>
      <c r="B366" s="4995"/>
      <c r="C366" s="2448" t="str">
        <f t="shared" si="26"/>
        <v>Sentidos agudos</v>
      </c>
      <c r="D366" s="2453">
        <f t="shared" si="27"/>
        <v>126</v>
      </c>
      <c r="E366" s="129" t="s">
        <v>2939</v>
      </c>
      <c r="F366" s="425">
        <v>1</v>
      </c>
      <c r="G366" s="425">
        <f>COUNTIF(Principal!$C$32:$J$50,Tablas!E366)</f>
        <v>0</v>
      </c>
      <c r="H366" s="2461">
        <f t="shared" si="25"/>
        <v>0</v>
      </c>
      <c r="I366" s="2466"/>
      <c r="J366" s="2470" t="s">
        <v>3412</v>
      </c>
      <c r="N366" s="413"/>
      <c r="AB366" s="413"/>
      <c r="AC366" s="2795"/>
      <c r="AG366" s="1761"/>
      <c r="AM366" s="2112"/>
    </row>
    <row r="367" spans="1:39" ht="12.75" customHeight="1" x14ac:dyDescent="0.2">
      <c r="A367" s="2029">
        <v>211</v>
      </c>
      <c r="B367" s="4995"/>
      <c r="C367" s="2448" t="str">
        <f t="shared" si="26"/>
        <v>Sin límite de familiares</v>
      </c>
      <c r="D367" s="2453">
        <f t="shared" si="27"/>
        <v>71</v>
      </c>
      <c r="E367" s="129" t="s">
        <v>2940</v>
      </c>
      <c r="F367" s="425">
        <v>1</v>
      </c>
      <c r="G367" s="425">
        <f>COUNTIF(Principal!$C$32:$J$50,Tablas!E367)</f>
        <v>0</v>
      </c>
      <c r="H367" s="2461">
        <f t="shared" si="25"/>
        <v>0</v>
      </c>
      <c r="I367" s="2466"/>
      <c r="J367" s="2470" t="s">
        <v>3412</v>
      </c>
      <c r="N367" s="413"/>
      <c r="AB367" s="413"/>
      <c r="AC367" s="2795"/>
      <c r="AG367" s="1761"/>
      <c r="AM367" s="2112"/>
    </row>
    <row r="368" spans="1:39" ht="12.75" customHeight="1" x14ac:dyDescent="0.2">
      <c r="A368" s="2029">
        <v>211</v>
      </c>
      <c r="B368" s="4995"/>
      <c r="C368" s="2448" t="str">
        <f t="shared" si="26"/>
        <v>Sueño ligero</v>
      </c>
      <c r="D368" s="2453">
        <f t="shared" si="27"/>
        <v>66</v>
      </c>
      <c r="E368" s="129" t="s">
        <v>2941</v>
      </c>
      <c r="F368" s="425">
        <v>1</v>
      </c>
      <c r="G368" s="425">
        <f>COUNTIF(Principal!$C$32:$J$50,Tablas!E368)</f>
        <v>0</v>
      </c>
      <c r="H368" s="2461">
        <f t="shared" si="25"/>
        <v>0</v>
      </c>
      <c r="I368" s="2466">
        <v>2</v>
      </c>
      <c r="J368" s="2470" t="s">
        <v>3412</v>
      </c>
      <c r="N368" s="413"/>
      <c r="AB368" s="413"/>
      <c r="AC368" s="2795"/>
      <c r="AG368" s="1761"/>
      <c r="AM368" s="2112"/>
    </row>
    <row r="369" spans="1:39" ht="12.75" customHeight="1" x14ac:dyDescent="0.2">
      <c r="A369" s="2029">
        <v>211</v>
      </c>
      <c r="B369" s="4995"/>
      <c r="C369" s="2448" t="str">
        <f t="shared" si="26"/>
        <v>Superviviente</v>
      </c>
      <c r="D369" s="2453">
        <f t="shared" si="27"/>
        <v>78</v>
      </c>
      <c r="E369" s="129" t="s">
        <v>2942</v>
      </c>
      <c r="F369" s="425">
        <v>1</v>
      </c>
      <c r="G369" s="425">
        <f>COUNTIF(Principal!$C$32:$J$50,Tablas!E369)</f>
        <v>0</v>
      </c>
      <c r="H369" s="2461">
        <f t="shared" si="25"/>
        <v>0</v>
      </c>
      <c r="I369" s="2466"/>
      <c r="J369" s="2470" t="s">
        <v>3412</v>
      </c>
      <c r="N369" s="413"/>
      <c r="AB369" s="413"/>
      <c r="AC369" s="2795"/>
      <c r="AG369" s="1761"/>
      <c r="AM369" s="2112"/>
    </row>
    <row r="370" spans="1:39" ht="12.75" customHeight="1" x14ac:dyDescent="0.2">
      <c r="A370" s="2029">
        <v>211</v>
      </c>
      <c r="B370" s="4995"/>
      <c r="C370" s="2450" t="str">
        <f t="shared" si="26"/>
        <v>Sustituir característica por 9</v>
      </c>
      <c r="D370" s="2453">
        <f t="shared" si="27"/>
        <v>104</v>
      </c>
      <c r="E370" s="129" t="s">
        <v>2943</v>
      </c>
      <c r="F370" s="425">
        <v>1</v>
      </c>
      <c r="G370" s="425">
        <f>COUNTIF(Principal!$C$32:$J$50,Tablas!E370)</f>
        <v>0</v>
      </c>
      <c r="H370" s="2461">
        <f t="shared" si="25"/>
        <v>0</v>
      </c>
      <c r="I370" s="2466"/>
      <c r="J370" s="2470" t="s">
        <v>3412</v>
      </c>
      <c r="N370" s="413"/>
      <c r="AB370" s="413"/>
      <c r="AC370" s="2795"/>
      <c r="AG370" s="1761"/>
      <c r="AM370" s="2112"/>
    </row>
    <row r="371" spans="1:39" ht="12.75" customHeight="1" x14ac:dyDescent="0.2">
      <c r="A371" s="2029">
        <v>211</v>
      </c>
      <c r="B371" s="4995"/>
      <c r="C371" s="2450" t="str">
        <f t="shared" si="26"/>
        <v>Tamaño no natural +1</v>
      </c>
      <c r="D371" s="2453">
        <f t="shared" si="27"/>
        <v>-3</v>
      </c>
      <c r="E371" s="129" t="s">
        <v>2961</v>
      </c>
      <c r="F371" s="425"/>
      <c r="G371" s="425"/>
      <c r="H371" s="2461"/>
      <c r="I371" s="2466"/>
      <c r="J371" s="2470" t="s">
        <v>3412</v>
      </c>
      <c r="N371" s="413"/>
      <c r="AB371" s="413"/>
      <c r="AC371" s="2795"/>
      <c r="AG371" s="1761"/>
      <c r="AM371" s="2112"/>
    </row>
    <row r="372" spans="1:39" ht="12.75" customHeight="1" x14ac:dyDescent="0.2">
      <c r="A372" s="2029">
        <v>211</v>
      </c>
      <c r="B372" s="4995"/>
      <c r="C372" s="2450" t="str">
        <f t="shared" si="26"/>
        <v>Tamaño no natural +2</v>
      </c>
      <c r="D372" s="2453">
        <f t="shared" si="27"/>
        <v>8</v>
      </c>
      <c r="E372" s="129" t="s">
        <v>2962</v>
      </c>
      <c r="F372" s="425">
        <v>2</v>
      </c>
      <c r="G372" s="425">
        <f>COUNTIF(Principal!$C$32:$J$50,Tablas!E372)</f>
        <v>0</v>
      </c>
      <c r="H372" s="2461">
        <f t="shared" ref="H372:H382" si="28">G372*F372</f>
        <v>0</v>
      </c>
      <c r="I372" s="2466"/>
      <c r="J372" s="2470" t="s">
        <v>3412</v>
      </c>
      <c r="N372" s="413"/>
      <c r="AB372" s="413"/>
      <c r="AC372" s="2795"/>
      <c r="AG372" s="1761"/>
      <c r="AM372" s="2112"/>
    </row>
    <row r="373" spans="1:39" ht="12.75" customHeight="1" x14ac:dyDescent="0.2">
      <c r="A373" s="2029">
        <v>211</v>
      </c>
      <c r="B373" s="4995"/>
      <c r="C373" s="2450" t="str">
        <f t="shared" si="26"/>
        <v>Tamaño no natural +3</v>
      </c>
      <c r="D373" s="2453">
        <f t="shared" si="27"/>
        <v>31</v>
      </c>
      <c r="E373" s="129" t="s">
        <v>2963</v>
      </c>
      <c r="F373" s="425">
        <v>1</v>
      </c>
      <c r="G373" s="425">
        <f>COUNTIF(Principal!$C$32:$J$50,Tablas!E373)</f>
        <v>0</v>
      </c>
      <c r="H373" s="2461">
        <f t="shared" si="28"/>
        <v>0</v>
      </c>
      <c r="I373" s="2466"/>
      <c r="J373" s="2470" t="s">
        <v>3412</v>
      </c>
      <c r="N373" s="413"/>
      <c r="AB373" s="413"/>
      <c r="AC373" s="2795"/>
      <c r="AG373" s="1761"/>
      <c r="AM373" s="2112"/>
    </row>
    <row r="374" spans="1:39" ht="12.75" customHeight="1" x14ac:dyDescent="0.2">
      <c r="A374" s="2029">
        <v>211</v>
      </c>
      <c r="B374" s="4995"/>
      <c r="C374" s="2450" t="str">
        <f t="shared" si="26"/>
        <v>Tamaño no natural +4</v>
      </c>
      <c r="D374" s="2453">
        <f t="shared" si="27"/>
        <v>77</v>
      </c>
      <c r="E374" s="129" t="s">
        <v>2964</v>
      </c>
      <c r="F374" s="425">
        <v>1</v>
      </c>
      <c r="G374" s="425">
        <f>COUNTIF(Principal!$C$32:$J$50,Tablas!E374)</f>
        <v>0</v>
      </c>
      <c r="H374" s="2461">
        <f t="shared" si="28"/>
        <v>0</v>
      </c>
      <c r="I374" s="2466">
        <v>1</v>
      </c>
      <c r="J374" s="2470" t="s">
        <v>3412</v>
      </c>
      <c r="N374" s="413"/>
      <c r="AB374" s="413"/>
      <c r="AC374" s="2795"/>
      <c r="AG374" s="1761"/>
      <c r="AM374" s="2112"/>
    </row>
    <row r="375" spans="1:39" ht="12.75" customHeight="1" x14ac:dyDescent="0.2">
      <c r="A375" s="2029">
        <v>211</v>
      </c>
      <c r="B375" s="4995"/>
      <c r="C375" s="2450" t="str">
        <f t="shared" si="26"/>
        <v>Tamaño no natural +5</v>
      </c>
      <c r="D375" s="2453">
        <f t="shared" si="27"/>
        <v>87</v>
      </c>
      <c r="E375" s="129" t="s">
        <v>2965</v>
      </c>
      <c r="F375" s="425">
        <v>1</v>
      </c>
      <c r="G375" s="425">
        <f>COUNTIF(Principal!$C$32:$J$50,Tablas!E375)</f>
        <v>0</v>
      </c>
      <c r="H375" s="2461">
        <f t="shared" si="28"/>
        <v>0</v>
      </c>
      <c r="I375" s="2466">
        <v>1</v>
      </c>
      <c r="J375" s="2470" t="s">
        <v>3412</v>
      </c>
      <c r="N375" s="413"/>
      <c r="AB375" s="413"/>
      <c r="AC375" s="2795"/>
      <c r="AG375" s="1761"/>
      <c r="AM375" s="2112"/>
    </row>
    <row r="376" spans="1:39" ht="12.75" customHeight="1" x14ac:dyDescent="0.2">
      <c r="A376" s="2029">
        <v>211</v>
      </c>
      <c r="B376" s="4995"/>
      <c r="C376" s="2450" t="str">
        <f t="shared" si="26"/>
        <v>Tamaño no natural -1</v>
      </c>
      <c r="D376" s="2453">
        <f t="shared" si="27"/>
        <v>125</v>
      </c>
      <c r="E376" s="129" t="s">
        <v>2966</v>
      </c>
      <c r="F376" s="425">
        <v>1</v>
      </c>
      <c r="G376" s="425">
        <f>COUNTIF(Principal!$C$32:$J$50,Tablas!E376)</f>
        <v>0</v>
      </c>
      <c r="H376" s="2461">
        <f t="shared" si="28"/>
        <v>0</v>
      </c>
      <c r="I376" s="2466"/>
      <c r="J376" s="2470" t="s">
        <v>3412</v>
      </c>
      <c r="N376" s="413"/>
      <c r="AB376" s="413"/>
      <c r="AC376" s="2795"/>
      <c r="AG376" s="1761"/>
      <c r="AM376" s="2112"/>
    </row>
    <row r="377" spans="1:39" ht="12.75" customHeight="1" x14ac:dyDescent="0.2">
      <c r="A377" s="2029">
        <v>211</v>
      </c>
      <c r="B377" s="4995"/>
      <c r="C377" s="2450" t="str">
        <f t="shared" si="26"/>
        <v>Tamaño no natural -2</v>
      </c>
      <c r="D377" s="2453">
        <f t="shared" si="27"/>
        <v>1</v>
      </c>
      <c r="E377" s="129" t="s">
        <v>2967</v>
      </c>
      <c r="F377" s="425">
        <v>1</v>
      </c>
      <c r="G377" s="425">
        <f>COUNTIF(Principal!$C$32:$J$50,Tablas!E377)</f>
        <v>0</v>
      </c>
      <c r="H377" s="2461">
        <f t="shared" si="28"/>
        <v>0</v>
      </c>
      <c r="I377" s="2466"/>
      <c r="J377" s="2470" t="s">
        <v>3412</v>
      </c>
      <c r="N377" s="413"/>
      <c r="AB377" s="413"/>
      <c r="AC377" s="2795"/>
      <c r="AG377" s="1761"/>
      <c r="AM377" s="2112"/>
    </row>
    <row r="378" spans="1:39" ht="12.75" customHeight="1" x14ac:dyDescent="0.2">
      <c r="A378" s="2029">
        <v>211</v>
      </c>
      <c r="B378" s="4995"/>
      <c r="C378" s="2450" t="str">
        <f t="shared" si="26"/>
        <v>Tamaño no natural -3</v>
      </c>
      <c r="D378" s="2453">
        <f t="shared" si="27"/>
        <v>2</v>
      </c>
      <c r="E378" s="129" t="s">
        <v>2968</v>
      </c>
      <c r="F378" s="425">
        <v>2</v>
      </c>
      <c r="G378" s="425">
        <f>COUNTIF(Principal!$C$32:$J$50,Tablas!E378)</f>
        <v>0</v>
      </c>
      <c r="H378" s="2461">
        <f t="shared" si="28"/>
        <v>0</v>
      </c>
      <c r="I378" s="2466"/>
      <c r="J378" s="2470" t="s">
        <v>3412</v>
      </c>
      <c r="N378" s="413"/>
      <c r="AB378" s="413"/>
      <c r="AC378" s="2795"/>
      <c r="AG378" s="1761"/>
      <c r="AM378" s="2112"/>
    </row>
    <row r="379" spans="1:39" ht="12.75" customHeight="1" x14ac:dyDescent="0.2">
      <c r="A379" s="2029">
        <v>211</v>
      </c>
      <c r="B379" s="4995"/>
      <c r="C379" s="2450" t="str">
        <f t="shared" si="26"/>
        <v>Tamaño no natural -4</v>
      </c>
      <c r="D379" s="2453">
        <f t="shared" si="27"/>
        <v>86</v>
      </c>
      <c r="E379" s="129" t="s">
        <v>2969</v>
      </c>
      <c r="F379" s="425">
        <v>1</v>
      </c>
      <c r="G379" s="425">
        <f>COUNTIF(Principal!$C$32:$J$50,Tablas!E379)</f>
        <v>0</v>
      </c>
      <c r="H379" s="2461">
        <f t="shared" si="28"/>
        <v>0</v>
      </c>
      <c r="I379" s="2466">
        <v>1</v>
      </c>
      <c r="J379" s="2470" t="s">
        <v>3412</v>
      </c>
      <c r="N379" s="413"/>
      <c r="AB379" s="413"/>
      <c r="AC379" s="2795"/>
      <c r="AG379" s="1761"/>
      <c r="AM379" s="2112"/>
    </row>
    <row r="380" spans="1:39" ht="12.75" customHeight="1" x14ac:dyDescent="0.2">
      <c r="A380" s="2029">
        <v>211</v>
      </c>
      <c r="B380" s="4995"/>
      <c r="C380" s="2450" t="str">
        <f t="shared" si="26"/>
        <v>Tamaño no natural -5</v>
      </c>
      <c r="D380" s="2453">
        <f t="shared" si="27"/>
        <v>79</v>
      </c>
      <c r="E380" s="129" t="s">
        <v>2970</v>
      </c>
      <c r="F380" s="425">
        <v>1</v>
      </c>
      <c r="G380" s="425">
        <f>COUNTIF(Principal!$C$32:$J$50,Tablas!E380)</f>
        <v>0</v>
      </c>
      <c r="H380" s="2461">
        <f t="shared" si="28"/>
        <v>0</v>
      </c>
      <c r="I380" s="2466">
        <v>1</v>
      </c>
      <c r="J380" s="2470" t="s">
        <v>3412</v>
      </c>
      <c r="N380" s="413"/>
      <c r="AB380" s="413"/>
      <c r="AC380" s="2795"/>
      <c r="AG380" s="1761"/>
      <c r="AM380" s="2112"/>
    </row>
    <row r="381" spans="1:39" ht="12.75" customHeight="1" x14ac:dyDescent="0.2">
      <c r="A381" s="2029">
        <v>211</v>
      </c>
      <c r="B381" s="4995"/>
      <c r="C381" s="2450" t="str">
        <f t="shared" si="26"/>
        <v>Técnicas desvinculadas</v>
      </c>
      <c r="D381" s="2453">
        <f t="shared" si="27"/>
        <v>76</v>
      </c>
      <c r="E381" s="129" t="s">
        <v>2971</v>
      </c>
      <c r="F381" s="425">
        <v>1</v>
      </c>
      <c r="G381" s="425">
        <f>COUNTIF(Principal!$C$32:$J$50,Tablas!E381)</f>
        <v>0</v>
      </c>
      <c r="H381" s="2461">
        <f t="shared" si="28"/>
        <v>0</v>
      </c>
      <c r="I381" s="2466"/>
      <c r="J381" s="2470" t="s">
        <v>3412</v>
      </c>
      <c r="N381" s="413"/>
      <c r="AB381" s="413"/>
      <c r="AC381" s="2795"/>
      <c r="AG381" s="1761"/>
      <c r="AM381" s="2112"/>
    </row>
    <row r="382" spans="1:39" ht="12.75" customHeight="1" x14ac:dyDescent="0.2">
      <c r="A382" s="2029">
        <v>211</v>
      </c>
      <c r="B382" s="4995"/>
      <c r="C382" s="2450" t="str">
        <f t="shared" si="26"/>
        <v>Tocado por el Destino</v>
      </c>
      <c r="D382" s="2453">
        <f t="shared" si="27"/>
        <v>105</v>
      </c>
      <c r="E382" s="129" t="s">
        <v>2972</v>
      </c>
      <c r="F382" s="425">
        <v>1</v>
      </c>
      <c r="G382" s="425">
        <f>COUNTIF(Principal!$C$32:$J$50,Tablas!E382)</f>
        <v>0</v>
      </c>
      <c r="H382" s="2461">
        <f t="shared" si="28"/>
        <v>0</v>
      </c>
      <c r="I382" s="2466"/>
      <c r="J382" s="2470" t="s">
        <v>3412</v>
      </c>
      <c r="N382" s="413"/>
      <c r="AB382" s="413"/>
      <c r="AC382" s="2795"/>
      <c r="AG382" s="1761"/>
      <c r="AM382" s="2112"/>
    </row>
    <row r="383" spans="1:39" ht="12.75" customHeight="1" x14ac:dyDescent="0.2">
      <c r="A383" s="2029">
        <v>211</v>
      </c>
      <c r="B383" s="4995"/>
      <c r="C383" s="2450" t="str">
        <f t="shared" si="26"/>
        <v>Uso de armadura (1)</v>
      </c>
      <c r="D383" s="2453">
        <f t="shared" si="27"/>
        <v>-4</v>
      </c>
      <c r="E383" s="129" t="s">
        <v>2973</v>
      </c>
      <c r="F383" s="425"/>
      <c r="G383" s="425"/>
      <c r="H383" s="2461"/>
      <c r="I383" s="2466"/>
      <c r="J383" s="2470" t="s">
        <v>3412</v>
      </c>
      <c r="N383" s="413"/>
      <c r="AB383" s="413"/>
      <c r="AC383" s="2795"/>
      <c r="AG383" s="1761"/>
      <c r="AM383" s="2112"/>
    </row>
    <row r="384" spans="1:39" ht="12.75" customHeight="1" x14ac:dyDescent="0.2">
      <c r="A384" s="2029">
        <v>211</v>
      </c>
      <c r="B384" s="4995"/>
      <c r="C384" s="2450" t="str">
        <f t="shared" si="26"/>
        <v>Uso de armadura (2)</v>
      </c>
      <c r="D384" s="2453">
        <f t="shared" si="27"/>
        <v>58</v>
      </c>
      <c r="E384" s="129" t="s">
        <v>2974</v>
      </c>
      <c r="F384" s="425">
        <v>1</v>
      </c>
      <c r="G384" s="425">
        <f>COUNTIF(Principal!$C$32:$J$50,Tablas!E384)</f>
        <v>0</v>
      </c>
      <c r="H384" s="2461">
        <f t="shared" ref="H384:H390" si="29">G384*F384</f>
        <v>0</v>
      </c>
      <c r="I384" s="2466"/>
      <c r="J384" s="2470" t="s">
        <v>3412</v>
      </c>
      <c r="N384" s="413"/>
      <c r="AB384" s="413"/>
      <c r="AC384" s="2795"/>
      <c r="AG384" s="1761"/>
      <c r="AM384" s="2112"/>
    </row>
    <row r="385" spans="1:39" ht="12.75" customHeight="1" x14ac:dyDescent="0.2">
      <c r="A385" s="2029">
        <v>211</v>
      </c>
      <c r="B385" s="4995"/>
      <c r="C385" s="2450" t="str">
        <f t="shared" ref="C385:C388" si="30">VLOOKUP(A129,$D$257:$E$397,2,0)</f>
        <v>Uso de armadura (3)</v>
      </c>
      <c r="D385" s="2453">
        <f t="shared" ref="D385:D393" si="31">COUNTIF($E$256:$E$392,"&lt;="&amp;E385)-COUNTIF($E$256:$E$392,"*&gt;*")</f>
        <v>63</v>
      </c>
      <c r="E385" s="129" t="s">
        <v>8171</v>
      </c>
      <c r="F385" s="425">
        <v>1</v>
      </c>
      <c r="G385" s="425">
        <f>COUNTIF(Principal!$C$32:$J$50,Tablas!E385)</f>
        <v>0</v>
      </c>
      <c r="H385" s="2461">
        <f t="shared" si="29"/>
        <v>0</v>
      </c>
      <c r="I385" s="2466"/>
      <c r="J385" s="2470" t="s">
        <v>3412</v>
      </c>
      <c r="N385" s="413"/>
      <c r="AB385" s="413"/>
      <c r="AC385" s="2795"/>
      <c r="AG385" s="1761"/>
      <c r="AM385" s="2112"/>
    </row>
    <row r="386" spans="1:39" ht="12.75" customHeight="1" x14ac:dyDescent="0.2">
      <c r="A386" s="2029">
        <v>211</v>
      </c>
      <c r="B386" s="4995"/>
      <c r="C386" s="2450" t="str">
        <f t="shared" si="30"/>
        <v>Ver lo sobrenatural</v>
      </c>
      <c r="D386" s="2453">
        <f t="shared" si="31"/>
        <v>64</v>
      </c>
      <c r="E386" s="129" t="s">
        <v>2975</v>
      </c>
      <c r="F386" s="425">
        <v>2</v>
      </c>
      <c r="G386" s="425">
        <f>COUNTIF(Principal!$C$32:$J$50,Tablas!E386)</f>
        <v>0</v>
      </c>
      <c r="H386" s="2461">
        <f t="shared" si="29"/>
        <v>0</v>
      </c>
      <c r="I386" s="2466"/>
      <c r="J386" s="2470" t="s">
        <v>3412</v>
      </c>
      <c r="N386" s="413"/>
      <c r="AB386" s="413"/>
      <c r="AC386" s="2795"/>
      <c r="AG386" s="1761"/>
      <c r="AM386" s="2112"/>
    </row>
    <row r="387" spans="1:39" ht="12.75" customHeight="1" x14ac:dyDescent="0.2">
      <c r="A387" s="2029">
        <v>211</v>
      </c>
      <c r="B387" s="4995"/>
      <c r="C387" s="2450" t="str">
        <f t="shared" si="30"/>
        <v>Versátil</v>
      </c>
      <c r="D387" s="2453">
        <f t="shared" si="31"/>
        <v>65</v>
      </c>
      <c r="E387" s="129" t="s">
        <v>2976</v>
      </c>
      <c r="F387" s="425">
        <v>3</v>
      </c>
      <c r="G387" s="425">
        <f>COUNTIF(Principal!$C$32:$J$50,Tablas!E387)</f>
        <v>0</v>
      </c>
      <c r="H387" s="2461">
        <f t="shared" si="29"/>
        <v>0</v>
      </c>
      <c r="I387" s="2466"/>
      <c r="J387" s="2470" t="s">
        <v>3412</v>
      </c>
      <c r="N387" s="413"/>
      <c r="AB387" s="413"/>
      <c r="AC387" s="2795"/>
      <c r="AG387" s="1761"/>
      <c r="AM387" s="2112"/>
    </row>
    <row r="388" spans="1:39" ht="12.75" customHeight="1" x14ac:dyDescent="0.2">
      <c r="A388" s="2029">
        <v>211</v>
      </c>
      <c r="B388" s="4995"/>
      <c r="C388" s="2450" t="str">
        <f t="shared" si="30"/>
        <v>Visión nocturna</v>
      </c>
      <c r="D388" s="2453">
        <f t="shared" si="31"/>
        <v>50</v>
      </c>
      <c r="E388" s="129" t="s">
        <v>2977</v>
      </c>
      <c r="F388" s="425">
        <v>1</v>
      </c>
      <c r="G388" s="425">
        <f>COUNTIF(Principal!$C$32:$J$50,Tablas!E388)</f>
        <v>0</v>
      </c>
      <c r="H388" s="2461">
        <f t="shared" si="29"/>
        <v>0</v>
      </c>
      <c r="I388" s="2466">
        <v>1</v>
      </c>
      <c r="J388" s="2470" t="s">
        <v>3412</v>
      </c>
      <c r="N388" s="413"/>
      <c r="AB388" s="413"/>
      <c r="AC388" s="2795"/>
      <c r="AG388" s="1761"/>
      <c r="AM388" s="2112"/>
    </row>
    <row r="389" spans="1:39" ht="12.75" customHeight="1" x14ac:dyDescent="0.2">
      <c r="A389" s="2029">
        <v>211</v>
      </c>
      <c r="B389" s="4995"/>
      <c r="C389" s="2450" t="str">
        <f>E393</f>
        <v>&gt; VENTAJAS PRESONALIZADAS</v>
      </c>
      <c r="D389" s="2453">
        <f t="shared" si="31"/>
        <v>51</v>
      </c>
      <c r="E389" s="129" t="s">
        <v>2978</v>
      </c>
      <c r="F389" s="425">
        <v>2</v>
      </c>
      <c r="G389" s="425">
        <f>COUNTIF(Principal!$C$32:$J$50,Tablas!E389)</f>
        <v>0</v>
      </c>
      <c r="H389" s="2461">
        <f t="shared" si="29"/>
        <v>0</v>
      </c>
      <c r="I389" s="2466">
        <v>1</v>
      </c>
      <c r="J389" s="2470" t="s">
        <v>3412</v>
      </c>
      <c r="N389" s="413"/>
      <c r="AB389" s="413"/>
      <c r="AC389" s="2795"/>
      <c r="AG389" s="1761"/>
      <c r="AM389" s="2112"/>
    </row>
    <row r="390" spans="1:39" ht="12.75" customHeight="1" x14ac:dyDescent="0.2">
      <c r="A390" s="2029">
        <v>211</v>
      </c>
      <c r="B390" s="4995"/>
      <c r="C390" s="2450" t="str">
        <f>E394</f>
        <v>Ventaja #1</v>
      </c>
      <c r="D390" s="2453">
        <f t="shared" si="31"/>
        <v>52</v>
      </c>
      <c r="E390" s="129" t="s">
        <v>2979</v>
      </c>
      <c r="F390" s="425">
        <v>3</v>
      </c>
      <c r="G390" s="425">
        <f>COUNTIF(Principal!$C$32:$J$50,Tablas!E390)</f>
        <v>0</v>
      </c>
      <c r="H390" s="2461">
        <f t="shared" si="29"/>
        <v>0</v>
      </c>
      <c r="I390" s="2466">
        <v>1</v>
      </c>
      <c r="J390" s="2470" t="s">
        <v>3412</v>
      </c>
      <c r="N390" s="413"/>
      <c r="AB390" s="413"/>
      <c r="AC390" s="2795"/>
      <c r="AG390" s="1761"/>
      <c r="AM390" s="2112"/>
    </row>
    <row r="391" spans="1:39" ht="12.75" customHeight="1" x14ac:dyDescent="0.2">
      <c r="A391" s="2029">
        <v>211</v>
      </c>
      <c r="B391" s="4995"/>
      <c r="C391" s="2450" t="str">
        <f t="shared" ref="C391:C393" si="32">E395</f>
        <v>Ventaja #2</v>
      </c>
      <c r="D391" s="2453">
        <f t="shared" si="31"/>
        <v>-2</v>
      </c>
      <c r="E391" s="129" t="s">
        <v>2984</v>
      </c>
      <c r="F391" s="425"/>
      <c r="G391" s="425"/>
      <c r="H391" s="2461"/>
      <c r="I391" s="2466"/>
      <c r="J391" s="2470" t="s">
        <v>3412</v>
      </c>
      <c r="N391" s="413"/>
      <c r="AB391" s="413"/>
      <c r="AC391" s="2795"/>
      <c r="AG391" s="1761"/>
      <c r="AM391" s="2112"/>
    </row>
    <row r="392" spans="1:39" ht="12.75" customHeight="1" x14ac:dyDescent="0.2">
      <c r="A392" s="2029">
        <v>211</v>
      </c>
      <c r="B392" s="4995"/>
      <c r="C392" s="2450" t="str">
        <f t="shared" si="32"/>
        <v>Ventaja #3</v>
      </c>
      <c r="D392" s="2453">
        <f t="shared" si="31"/>
        <v>10</v>
      </c>
      <c r="E392" s="129" t="s">
        <v>2985</v>
      </c>
      <c r="F392" s="425">
        <v>1</v>
      </c>
      <c r="G392" s="425">
        <f>COUNTIF(Principal!$C$32:$J$50,Tablas!E392)</f>
        <v>0</v>
      </c>
      <c r="H392" s="2461">
        <f>G392*F392</f>
        <v>0</v>
      </c>
      <c r="I392" s="2466"/>
      <c r="J392" s="2470" t="s">
        <v>3412</v>
      </c>
      <c r="N392" s="413"/>
      <c r="AB392" s="413"/>
      <c r="AC392" s="2795"/>
      <c r="AG392" s="1761"/>
      <c r="AM392" s="2112"/>
    </row>
    <row r="393" spans="1:39" ht="12.75" customHeight="1" x14ac:dyDescent="0.2">
      <c r="A393" s="2029">
        <v>211</v>
      </c>
      <c r="B393" s="4995"/>
      <c r="C393" s="2450" t="str">
        <f t="shared" si="32"/>
        <v>Ventaja #4</v>
      </c>
      <c r="D393" s="2453">
        <f t="shared" si="31"/>
        <v>0</v>
      </c>
      <c r="E393" s="129" t="s">
        <v>2986</v>
      </c>
      <c r="F393" s="425"/>
      <c r="G393" s="425"/>
      <c r="H393" s="2461"/>
      <c r="I393" s="2466"/>
      <c r="J393" s="2470" t="s">
        <v>3412</v>
      </c>
      <c r="N393" s="413"/>
      <c r="AB393" s="413"/>
      <c r="AC393" s="2795"/>
      <c r="AG393" s="1761"/>
      <c r="AM393" s="2112"/>
    </row>
    <row r="394" spans="1:39" ht="12.75" customHeight="1" x14ac:dyDescent="0.2">
      <c r="A394" s="2029">
        <v>211</v>
      </c>
      <c r="B394" s="4995"/>
      <c r="C394" s="2450"/>
      <c r="D394" s="2453">
        <f>MAX(D257:D393)+1</f>
        <v>133</v>
      </c>
      <c r="E394" s="129" t="str">
        <f>IF(Personalización!C16=0,"Ventaja #1",Personalización!C16)</f>
        <v>Ventaja #1</v>
      </c>
      <c r="F394" s="425">
        <f>Personalización!G16</f>
        <v>0</v>
      </c>
      <c r="G394" s="425">
        <f>COUNTIF(Principal!$C$32:$J$50,Tablas!E394)</f>
        <v>0</v>
      </c>
      <c r="H394" s="2461">
        <f>G394*F394</f>
        <v>0</v>
      </c>
      <c r="I394" s="2466"/>
      <c r="J394" s="2470" t="s">
        <v>3412</v>
      </c>
      <c r="N394" s="413"/>
      <c r="AB394" s="413"/>
      <c r="AC394" s="2795"/>
      <c r="AG394" s="1761"/>
      <c r="AM394" s="2112"/>
    </row>
    <row r="395" spans="1:39" ht="12.75" customHeight="1" x14ac:dyDescent="0.2">
      <c r="A395" s="2029">
        <v>211</v>
      </c>
      <c r="B395" s="4995"/>
      <c r="C395" s="2450"/>
      <c r="D395" s="2453">
        <f>D394+1</f>
        <v>134</v>
      </c>
      <c r="E395" s="129" t="str">
        <f>IF(Personalización!C17=0,"Ventaja #2",Personalización!C17)</f>
        <v>Ventaja #2</v>
      </c>
      <c r="F395" s="425">
        <f>Personalización!G17</f>
        <v>0</v>
      </c>
      <c r="G395" s="425">
        <f>COUNTIF(Principal!$C$32:$J$50,Tablas!E395)</f>
        <v>0</v>
      </c>
      <c r="H395" s="2461">
        <f>G395*F395</f>
        <v>0</v>
      </c>
      <c r="I395" s="2466"/>
      <c r="J395" s="2470" t="s">
        <v>3412</v>
      </c>
      <c r="N395" s="413"/>
      <c r="AB395" s="413"/>
      <c r="AC395" s="2795"/>
      <c r="AG395" s="1761"/>
      <c r="AM395" s="2112"/>
    </row>
    <row r="396" spans="1:39" ht="12.75" customHeight="1" x14ac:dyDescent="0.2">
      <c r="A396" s="2029">
        <v>211</v>
      </c>
      <c r="B396" s="4995"/>
      <c r="C396" s="2450"/>
      <c r="D396" s="2453">
        <f>D395+1</f>
        <v>135</v>
      </c>
      <c r="E396" s="129" t="str">
        <f>IF(Personalización!C18=0,"Ventaja #3",Personalización!C18)</f>
        <v>Ventaja #3</v>
      </c>
      <c r="F396" s="425">
        <f>Personalización!G18</f>
        <v>0</v>
      </c>
      <c r="G396" s="425">
        <f>COUNTIF(Principal!$C$32:$J$50,Tablas!E396)</f>
        <v>0</v>
      </c>
      <c r="H396" s="2461">
        <f>G396*F396</f>
        <v>0</v>
      </c>
      <c r="I396" s="2466"/>
      <c r="J396" s="2470" t="s">
        <v>3412</v>
      </c>
      <c r="N396" s="413"/>
      <c r="AB396" s="413"/>
      <c r="AC396" s="2795"/>
      <c r="AG396" s="1761"/>
      <c r="AM396" s="2112"/>
    </row>
    <row r="397" spans="1:39" ht="12.75" customHeight="1" x14ac:dyDescent="0.2">
      <c r="A397" s="2029">
        <v>211</v>
      </c>
      <c r="B397" s="4995"/>
      <c r="C397" s="2452"/>
      <c r="D397" s="2453">
        <f>D396+1</f>
        <v>136</v>
      </c>
      <c r="E397" s="129" t="str">
        <f>IF(Personalización!C19=0,"Ventaja #4",Personalización!C19)</f>
        <v>Ventaja #4</v>
      </c>
      <c r="F397" s="425">
        <f>Personalización!G19</f>
        <v>0</v>
      </c>
      <c r="G397" s="425">
        <f>COUNTIF(Principal!$C$32:$J$50,Tablas!E397)</f>
        <v>0</v>
      </c>
      <c r="H397" s="2461">
        <f>G397*F397</f>
        <v>0</v>
      </c>
      <c r="I397" s="2466"/>
      <c r="J397" s="2470" t="s">
        <v>3412</v>
      </c>
      <c r="N397" s="413"/>
      <c r="AB397" s="413"/>
      <c r="AC397" s="2795"/>
      <c r="AG397" s="1761"/>
      <c r="AM397" s="2112"/>
    </row>
    <row r="398" spans="1:39" ht="12.75" customHeight="1" x14ac:dyDescent="0.2">
      <c r="A398" s="2029">
        <v>211</v>
      </c>
      <c r="B398" s="4995"/>
      <c r="C398" s="1766"/>
      <c r="D398" s="2454"/>
      <c r="E398" s="2449" t="s">
        <v>2825</v>
      </c>
      <c r="F398" s="2100"/>
      <c r="G398" s="2100"/>
      <c r="H398" s="2462"/>
      <c r="I398" s="2465"/>
      <c r="J398" s="2469" t="s">
        <v>2760</v>
      </c>
      <c r="N398" s="413"/>
      <c r="AB398" s="413"/>
      <c r="AC398" s="2795"/>
      <c r="AG398" s="1761"/>
      <c r="AM398" s="2112"/>
    </row>
    <row r="399" spans="1:39" ht="12.75" customHeight="1" x14ac:dyDescent="0.2">
      <c r="A399" s="2029">
        <v>211</v>
      </c>
      <c r="B399" s="4995"/>
      <c r="C399" s="1766"/>
      <c r="D399" s="2453">
        <f t="shared" ref="D399:D442" si="33">COUNTIF($E$399:$E$442,"&lt;="&amp;E399)-COUNTIF($E$399:$E$442,"*&gt;*")</f>
        <v>39</v>
      </c>
      <c r="E399" s="129" t="s">
        <v>2826</v>
      </c>
      <c r="F399" s="425">
        <v>1</v>
      </c>
      <c r="G399" s="425">
        <f>COUNTIF(Principal!$C$32:$J$50,Tablas!E399)</f>
        <v>0</v>
      </c>
      <c r="H399" s="2461">
        <f t="shared" ref="H399:H431" si="34">G399*F399</f>
        <v>0</v>
      </c>
      <c r="I399" s="2466">
        <v>1</v>
      </c>
      <c r="J399" s="2470" t="s">
        <v>2760</v>
      </c>
      <c r="N399" s="413"/>
      <c r="AB399" s="413"/>
      <c r="AC399" s="2795"/>
      <c r="AG399" s="1761"/>
      <c r="AM399" s="2112"/>
    </row>
    <row r="400" spans="1:39" ht="12.75" customHeight="1" x14ac:dyDescent="0.2">
      <c r="A400" s="2029">
        <v>211</v>
      </c>
      <c r="B400" s="4995"/>
      <c r="C400" s="1766" t="str">
        <f>E398</f>
        <v>&gt; VENTAJAS: DON</v>
      </c>
      <c r="D400" s="2453">
        <f t="shared" si="33"/>
        <v>40</v>
      </c>
      <c r="E400" s="129" t="s">
        <v>2827</v>
      </c>
      <c r="F400" s="425">
        <v>2</v>
      </c>
      <c r="G400" s="425">
        <f>COUNTIF(Principal!$C$32:$J$50,Tablas!E400)</f>
        <v>0</v>
      </c>
      <c r="H400" s="2461">
        <f t="shared" si="34"/>
        <v>0</v>
      </c>
      <c r="I400" s="2466">
        <v>1</v>
      </c>
      <c r="J400" s="2470" t="s">
        <v>2760</v>
      </c>
      <c r="N400" s="413"/>
      <c r="AB400" s="413"/>
      <c r="AC400" s="2795"/>
      <c r="AG400" s="1761"/>
      <c r="AM400" s="2112"/>
    </row>
    <row r="401" spans="1:39" ht="12.75" customHeight="1" x14ac:dyDescent="0.2">
      <c r="A401" s="2029">
        <v>211</v>
      </c>
      <c r="B401" s="4995"/>
      <c r="C401" s="2450" t="str">
        <f t="shared" ref="C401:C442" si="35">VLOOKUP(A1,$D$399:$E$442,2,0)</f>
        <v>Aprendizaje mágico gradual</v>
      </c>
      <c r="D401" s="2453">
        <f t="shared" si="33"/>
        <v>41</v>
      </c>
      <c r="E401" s="129" t="s">
        <v>2828</v>
      </c>
      <c r="F401" s="425">
        <v>3</v>
      </c>
      <c r="G401" s="425">
        <f>COUNTIF(Principal!$C$32:$J$50,Tablas!E401)</f>
        <v>0</v>
      </c>
      <c r="H401" s="2461">
        <f t="shared" si="34"/>
        <v>0</v>
      </c>
      <c r="I401" s="2466">
        <v>1</v>
      </c>
      <c r="J401" s="2470" t="s">
        <v>2760</v>
      </c>
      <c r="N401" s="413"/>
      <c r="AB401" s="413"/>
      <c r="AC401" s="2795"/>
      <c r="AG401" s="1761"/>
      <c r="AM401" s="2112"/>
    </row>
    <row r="402" spans="1:39" ht="12.75" customHeight="1" x14ac:dyDescent="0.2">
      <c r="A402" s="2029">
        <v>211</v>
      </c>
      <c r="B402" s="4995"/>
      <c r="C402" s="2450" t="str">
        <f t="shared" si="35"/>
        <v>Apto desarrollo de la magia</v>
      </c>
      <c r="D402" s="2453">
        <f t="shared" si="33"/>
        <v>2</v>
      </c>
      <c r="E402" s="129" t="s">
        <v>2829</v>
      </c>
      <c r="F402" s="425">
        <v>1</v>
      </c>
      <c r="G402" s="425">
        <f>COUNTIF(Principal!$C$32:$J$50,Tablas!E402)</f>
        <v>0</v>
      </c>
      <c r="H402" s="2461">
        <f t="shared" si="34"/>
        <v>0</v>
      </c>
      <c r="I402" s="2466">
        <v>1</v>
      </c>
      <c r="J402" s="2470" t="s">
        <v>2760</v>
      </c>
      <c r="N402" s="413"/>
      <c r="AB402" s="413"/>
      <c r="AC402" s="2795"/>
      <c r="AG402" s="1761"/>
      <c r="AM402" s="2112"/>
    </row>
    <row r="403" spans="1:39" ht="12.75" customHeight="1" x14ac:dyDescent="0.2">
      <c r="A403" s="2029">
        <v>211</v>
      </c>
      <c r="B403" s="4995"/>
      <c r="C403" s="2450" t="str">
        <f t="shared" si="35"/>
        <v>Con. natural de Vía: Agua</v>
      </c>
      <c r="D403" s="2453">
        <f t="shared" si="33"/>
        <v>10</v>
      </c>
      <c r="E403" s="129" t="s">
        <v>2830</v>
      </c>
      <c r="F403" s="425">
        <v>1</v>
      </c>
      <c r="G403" s="425">
        <f>COUNTIF(Principal!$C$32:$J$50,Tablas!E403)</f>
        <v>0</v>
      </c>
      <c r="H403" s="2461">
        <f t="shared" si="34"/>
        <v>0</v>
      </c>
      <c r="I403" s="2466">
        <v>1</v>
      </c>
      <c r="J403" s="2470" t="s">
        <v>2760</v>
      </c>
      <c r="N403" s="413"/>
      <c r="AB403" s="413"/>
      <c r="AC403" s="2795"/>
      <c r="AG403" s="1761"/>
      <c r="AM403" s="2112"/>
    </row>
    <row r="404" spans="1:39" ht="12.75" customHeight="1" x14ac:dyDescent="0.2">
      <c r="A404" s="2029">
        <v>211</v>
      </c>
      <c r="B404" s="4995"/>
      <c r="C404" s="2450" t="str">
        <f t="shared" si="35"/>
        <v>Con. natural de Vía: Aire</v>
      </c>
      <c r="D404" s="2453">
        <f t="shared" si="33"/>
        <v>12</v>
      </c>
      <c r="E404" s="129" t="s">
        <v>2831</v>
      </c>
      <c r="F404" s="425">
        <v>1</v>
      </c>
      <c r="G404" s="425">
        <f>COUNTIF(Principal!$C$32:$J$50,Tablas!E404)</f>
        <v>0</v>
      </c>
      <c r="H404" s="2461">
        <f t="shared" si="34"/>
        <v>0</v>
      </c>
      <c r="I404" s="2466">
        <v>1</v>
      </c>
      <c r="J404" s="2470" t="s">
        <v>2760</v>
      </c>
      <c r="N404" s="413"/>
      <c r="AB404" s="413"/>
      <c r="AC404" s="2795"/>
      <c r="AG404" s="1761"/>
      <c r="AM404" s="2112"/>
    </row>
    <row r="405" spans="1:39" ht="12.75" customHeight="1" x14ac:dyDescent="0.2">
      <c r="A405" s="2029">
        <v>211</v>
      </c>
      <c r="B405" s="4995"/>
      <c r="C405" s="2450" t="str">
        <f t="shared" si="35"/>
        <v>Con. natural de Vía: Creación</v>
      </c>
      <c r="D405" s="2453">
        <f t="shared" si="33"/>
        <v>8</v>
      </c>
      <c r="E405" s="129" t="s">
        <v>2832</v>
      </c>
      <c r="F405" s="425">
        <v>1</v>
      </c>
      <c r="G405" s="425">
        <f>COUNTIF(Principal!$C$32:$J$50,Tablas!E405)</f>
        <v>0</v>
      </c>
      <c r="H405" s="2461">
        <f t="shared" si="34"/>
        <v>0</v>
      </c>
      <c r="I405" s="2466">
        <v>1</v>
      </c>
      <c r="J405" s="2470" t="s">
        <v>2760</v>
      </c>
      <c r="N405" s="413"/>
      <c r="AB405" s="413"/>
      <c r="AC405" s="2795"/>
      <c r="AG405" s="1761"/>
      <c r="AM405" s="2112"/>
    </row>
    <row r="406" spans="1:39" ht="12.75" customHeight="1" x14ac:dyDescent="0.2">
      <c r="A406" s="2029">
        <v>211</v>
      </c>
      <c r="B406" s="4995"/>
      <c r="C406" s="2450" t="str">
        <f t="shared" si="35"/>
        <v>Con. natural de Vía: Destruc.</v>
      </c>
      <c r="D406" s="2453">
        <f t="shared" si="33"/>
        <v>3</v>
      </c>
      <c r="E406" s="129" t="s">
        <v>2833</v>
      </c>
      <c r="F406" s="425">
        <v>1</v>
      </c>
      <c r="G406" s="425">
        <f>COUNTIF(Principal!$C$32:$J$50,Tablas!E406)</f>
        <v>0</v>
      </c>
      <c r="H406" s="2461">
        <f t="shared" si="34"/>
        <v>0</v>
      </c>
      <c r="I406" s="2466">
        <v>1</v>
      </c>
      <c r="J406" s="2470" t="s">
        <v>2760</v>
      </c>
      <c r="N406" s="413"/>
      <c r="AB406" s="413"/>
      <c r="AC406" s="2795"/>
      <c r="AG406" s="1761"/>
      <c r="AM406" s="2112"/>
    </row>
    <row r="407" spans="1:39" ht="12.75" customHeight="1" x14ac:dyDescent="0.2">
      <c r="A407" s="2029">
        <v>211</v>
      </c>
      <c r="B407" s="4995"/>
      <c r="C407" s="2450" t="str">
        <f t="shared" si="35"/>
        <v>Con. natural de Vía: Esencia</v>
      </c>
      <c r="D407" s="2453">
        <f t="shared" si="33"/>
        <v>4</v>
      </c>
      <c r="E407" s="129" t="s">
        <v>2834</v>
      </c>
      <c r="F407" s="425">
        <v>1</v>
      </c>
      <c r="G407" s="425">
        <f>COUNTIF(Principal!$C$32:$J$50,Tablas!E407)</f>
        <v>0</v>
      </c>
      <c r="H407" s="2461">
        <f t="shared" si="34"/>
        <v>0</v>
      </c>
      <c r="I407" s="2466">
        <v>1</v>
      </c>
      <c r="J407" s="2470" t="s">
        <v>2760</v>
      </c>
      <c r="N407" s="413"/>
      <c r="AB407" s="413"/>
      <c r="AC407" s="2795"/>
    </row>
    <row r="408" spans="1:39" ht="12.75" customHeight="1" x14ac:dyDescent="0.2">
      <c r="A408" s="2029">
        <v>211</v>
      </c>
      <c r="B408" s="4995"/>
      <c r="C408" s="2450" t="str">
        <f t="shared" si="35"/>
        <v>Con. natural de Vía: Fuego</v>
      </c>
      <c r="D408" s="2453">
        <f t="shared" si="33"/>
        <v>13</v>
      </c>
      <c r="E408" s="129" t="s">
        <v>2835</v>
      </c>
      <c r="F408" s="425">
        <v>1</v>
      </c>
      <c r="G408" s="425">
        <f>COUNTIF(Principal!$C$32:$J$50,Tablas!E408)</f>
        <v>0</v>
      </c>
      <c r="H408" s="2461">
        <f t="shared" si="34"/>
        <v>0</v>
      </c>
      <c r="I408" s="2466">
        <v>1</v>
      </c>
      <c r="J408" s="2470" t="s">
        <v>2760</v>
      </c>
      <c r="N408" s="413"/>
      <c r="AB408" s="413"/>
      <c r="AC408" s="2795"/>
    </row>
    <row r="409" spans="1:39" ht="12.75" customHeight="1" x14ac:dyDescent="0.2">
      <c r="A409" s="2029">
        <v>211</v>
      </c>
      <c r="B409" s="4995"/>
      <c r="C409" s="2450" t="str">
        <f t="shared" si="35"/>
        <v>Con. natural de Vía: Ilusión</v>
      </c>
      <c r="D409" s="2453">
        <f t="shared" si="33"/>
        <v>5</v>
      </c>
      <c r="E409" s="129" t="s">
        <v>2836</v>
      </c>
      <c r="F409" s="425">
        <v>1</v>
      </c>
      <c r="G409" s="425">
        <f>COUNTIF(Principal!$C$32:$J$50,Tablas!E409)</f>
        <v>0</v>
      </c>
      <c r="H409" s="2461">
        <f t="shared" si="34"/>
        <v>0</v>
      </c>
      <c r="I409" s="2466">
        <v>1</v>
      </c>
      <c r="J409" s="2470" t="s">
        <v>2760</v>
      </c>
      <c r="N409" s="413"/>
      <c r="AB409" s="413"/>
      <c r="AC409" s="2795"/>
    </row>
    <row r="410" spans="1:39" ht="12.75" customHeight="1" x14ac:dyDescent="0.2">
      <c r="A410" s="2029">
        <v>211</v>
      </c>
      <c r="B410" s="4995"/>
      <c r="C410" s="2450" t="str">
        <f t="shared" si="35"/>
        <v>Con. natural de Vía: Luz</v>
      </c>
      <c r="D410" s="2453">
        <f t="shared" si="33"/>
        <v>6</v>
      </c>
      <c r="E410" s="129" t="s">
        <v>2837</v>
      </c>
      <c r="F410" s="425">
        <v>1</v>
      </c>
      <c r="G410" s="425">
        <f>COUNTIF(Principal!$C$32:$J$50,Tablas!E410)</f>
        <v>0</v>
      </c>
      <c r="H410" s="2461">
        <f t="shared" si="34"/>
        <v>0</v>
      </c>
      <c r="I410" s="2466">
        <v>1</v>
      </c>
      <c r="J410" s="2470" t="s">
        <v>2760</v>
      </c>
      <c r="N410" s="413"/>
      <c r="AB410" s="413"/>
      <c r="AC410" s="2795"/>
    </row>
    <row r="411" spans="1:39" ht="12.75" customHeight="1" x14ac:dyDescent="0.2">
      <c r="A411" s="2029">
        <v>211</v>
      </c>
      <c r="B411" s="4995"/>
      <c r="C411" s="2450" t="str">
        <f t="shared" si="35"/>
        <v>Con. natural de Vía: Nigro.</v>
      </c>
      <c r="D411" s="2453">
        <f t="shared" si="33"/>
        <v>7</v>
      </c>
      <c r="E411" s="129" t="s">
        <v>2838</v>
      </c>
      <c r="F411" s="425">
        <v>1</v>
      </c>
      <c r="G411" s="425">
        <f>COUNTIF(Principal!$C$32:$J$50,Tablas!E411)</f>
        <v>0</v>
      </c>
      <c r="H411" s="2461">
        <f t="shared" si="34"/>
        <v>0</v>
      </c>
      <c r="I411" s="2466">
        <v>1</v>
      </c>
      <c r="J411" s="2470" t="s">
        <v>2760</v>
      </c>
      <c r="N411" s="413"/>
      <c r="AB411" s="413"/>
      <c r="AC411" s="2795"/>
    </row>
    <row r="412" spans="1:39" ht="12.75" customHeight="1" x14ac:dyDescent="0.2">
      <c r="A412" s="2029">
        <v>211</v>
      </c>
      <c r="B412" s="4995"/>
      <c r="C412" s="2450" t="str">
        <f t="shared" si="35"/>
        <v>Con. natural de Vía: Osc.</v>
      </c>
      <c r="D412" s="2453">
        <f t="shared" si="33"/>
        <v>9</v>
      </c>
      <c r="E412" s="129" t="s">
        <v>2839</v>
      </c>
      <c r="F412" s="425">
        <v>1</v>
      </c>
      <c r="G412" s="425">
        <f>COUNTIF(Principal!$C$32:$J$50,Tablas!E412)</f>
        <v>0</v>
      </c>
      <c r="H412" s="2461">
        <f t="shared" si="34"/>
        <v>0</v>
      </c>
      <c r="I412" s="2466">
        <v>1</v>
      </c>
      <c r="J412" s="2470" t="s">
        <v>2760</v>
      </c>
      <c r="N412" s="413"/>
      <c r="AB412" s="413"/>
      <c r="AC412" s="2795"/>
    </row>
    <row r="413" spans="1:39" ht="12.75" customHeight="1" x14ac:dyDescent="0.2">
      <c r="A413" s="2029">
        <v>211</v>
      </c>
      <c r="B413" s="4995"/>
      <c r="C413" s="2450" t="str">
        <f t="shared" si="35"/>
        <v>Con. natural de Vía: Tierra</v>
      </c>
      <c r="D413" s="2453">
        <f t="shared" si="33"/>
        <v>11</v>
      </c>
      <c r="E413" s="129" t="s">
        <v>2840</v>
      </c>
      <c r="F413" s="425">
        <v>1</v>
      </c>
      <c r="G413" s="425">
        <f>COUNTIF(Principal!$C$32:$J$50,Tablas!E413)</f>
        <v>0</v>
      </c>
      <c r="H413" s="2461">
        <f t="shared" si="34"/>
        <v>0</v>
      </c>
      <c r="I413" s="2466">
        <v>1</v>
      </c>
      <c r="J413" s="2470" t="s">
        <v>2760</v>
      </c>
      <c r="N413" s="413"/>
      <c r="AB413" s="413"/>
      <c r="AC413" s="2795"/>
    </row>
    <row r="414" spans="1:39" ht="12.75" customHeight="1" x14ac:dyDescent="0.2">
      <c r="A414" s="2029">
        <v>211</v>
      </c>
      <c r="B414" s="4995"/>
      <c r="C414" s="2450" t="str">
        <f t="shared" si="35"/>
        <v>Des. elemental: Agua</v>
      </c>
      <c r="D414" s="2453">
        <f t="shared" si="33"/>
        <v>30</v>
      </c>
      <c r="E414" s="129" t="s">
        <v>2841</v>
      </c>
      <c r="F414" s="425">
        <v>1</v>
      </c>
      <c r="G414" s="425">
        <f>COUNTIF(Principal!$C$32:$J$50,Tablas!E414)</f>
        <v>0</v>
      </c>
      <c r="H414" s="2461">
        <f t="shared" si="34"/>
        <v>0</v>
      </c>
      <c r="I414" s="2466">
        <v>1</v>
      </c>
      <c r="J414" s="2470" t="s">
        <v>2760</v>
      </c>
      <c r="N414" s="413"/>
      <c r="AB414" s="413"/>
      <c r="AC414" s="2795"/>
    </row>
    <row r="415" spans="1:39" ht="12.75" customHeight="1" x14ac:dyDescent="0.2">
      <c r="A415" s="2029">
        <v>211</v>
      </c>
      <c r="B415" s="4995"/>
      <c r="C415" s="2450" t="str">
        <f t="shared" si="35"/>
        <v>Des. elemental: Aire</v>
      </c>
      <c r="D415" s="2453">
        <f t="shared" si="33"/>
        <v>31</v>
      </c>
      <c r="E415" s="129" t="s">
        <v>2842</v>
      </c>
      <c r="F415" s="425">
        <v>2</v>
      </c>
      <c r="G415" s="425">
        <f>COUNTIF(Principal!$C$32:$J$50,Tablas!E415)</f>
        <v>0</v>
      </c>
      <c r="H415" s="2461">
        <f t="shared" si="34"/>
        <v>0</v>
      </c>
      <c r="I415" s="2466">
        <v>1</v>
      </c>
      <c r="J415" s="2470" t="s">
        <v>2760</v>
      </c>
      <c r="N415" s="413"/>
      <c r="AB415" s="413"/>
      <c r="AC415" s="2795"/>
    </row>
    <row r="416" spans="1:39" ht="12.75" customHeight="1" x14ac:dyDescent="0.2">
      <c r="A416" s="2029">
        <v>211</v>
      </c>
      <c r="B416" s="4995"/>
      <c r="C416" s="2450" t="str">
        <f t="shared" si="35"/>
        <v>Des. elemental: Creación</v>
      </c>
      <c r="D416" s="2453">
        <f t="shared" si="33"/>
        <v>32</v>
      </c>
      <c r="E416" s="129" t="s">
        <v>2843</v>
      </c>
      <c r="F416" s="425">
        <v>3</v>
      </c>
      <c r="G416" s="425">
        <f>COUNTIF(Principal!$C$32:$J$50,Tablas!E416)</f>
        <v>0</v>
      </c>
      <c r="H416" s="2461">
        <f t="shared" si="34"/>
        <v>0</v>
      </c>
      <c r="I416" s="2466">
        <v>1</v>
      </c>
      <c r="J416" s="2470" t="s">
        <v>2760</v>
      </c>
      <c r="N416" s="413"/>
      <c r="AB416" s="413"/>
      <c r="AC416" s="2795"/>
    </row>
    <row r="417" spans="1:29" ht="12.75" customHeight="1" x14ac:dyDescent="0.2">
      <c r="A417" s="2029">
        <v>211</v>
      </c>
      <c r="B417" s="4995"/>
      <c r="C417" s="2450" t="str">
        <f t="shared" si="35"/>
        <v>Des. elemental: Destrucción</v>
      </c>
      <c r="D417" s="2453">
        <f t="shared" si="33"/>
        <v>38</v>
      </c>
      <c r="E417" s="129" t="s">
        <v>2844</v>
      </c>
      <c r="F417" s="425">
        <v>1</v>
      </c>
      <c r="G417" s="425">
        <f>COUNTIF(Principal!$C$32:$J$50,Tablas!E417)</f>
        <v>0</v>
      </c>
      <c r="H417" s="2461">
        <f t="shared" si="34"/>
        <v>0</v>
      </c>
      <c r="I417" s="2466"/>
      <c r="J417" s="2470" t="s">
        <v>2760</v>
      </c>
      <c r="N417" s="413"/>
      <c r="AB417" s="413"/>
      <c r="AC417" s="2795"/>
    </row>
    <row r="418" spans="1:29" ht="12.75" customHeight="1" x14ac:dyDescent="0.2">
      <c r="A418" s="2029">
        <v>211</v>
      </c>
      <c r="B418" s="4995"/>
      <c r="C418" s="2450" t="str">
        <f t="shared" si="35"/>
        <v>Des. elemental: Esencia</v>
      </c>
      <c r="D418" s="2453">
        <f t="shared" si="33"/>
        <v>29</v>
      </c>
      <c r="E418" s="129" t="s">
        <v>2845</v>
      </c>
      <c r="F418" s="425">
        <v>1</v>
      </c>
      <c r="G418" s="425">
        <f>COUNTIF(Principal!$C$32:$J$50,Tablas!E418)</f>
        <v>0</v>
      </c>
      <c r="H418" s="2461">
        <f t="shared" si="34"/>
        <v>0</v>
      </c>
      <c r="I418" s="2466"/>
      <c r="J418" s="2470" t="s">
        <v>2760</v>
      </c>
      <c r="N418" s="413"/>
      <c r="AB418" s="413"/>
      <c r="AC418" s="2795"/>
    </row>
    <row r="419" spans="1:29" ht="12.75" customHeight="1" x14ac:dyDescent="0.2">
      <c r="A419" s="2029">
        <v>211</v>
      </c>
      <c r="B419" s="4995"/>
      <c r="C419" s="2450" t="str">
        <f t="shared" si="35"/>
        <v>Des. elemental: Fuego</v>
      </c>
      <c r="D419" s="2453">
        <f t="shared" si="33"/>
        <v>28</v>
      </c>
      <c r="E419" s="129" t="s">
        <v>2846</v>
      </c>
      <c r="F419" s="425">
        <v>1</v>
      </c>
      <c r="G419" s="425">
        <f>COUNTIF(Principal!$C$32:$J$50,Tablas!E419)</f>
        <v>0</v>
      </c>
      <c r="H419" s="2461">
        <f t="shared" si="34"/>
        <v>0</v>
      </c>
      <c r="I419" s="2466"/>
      <c r="J419" s="2470" t="s">
        <v>2760</v>
      </c>
      <c r="N419" s="413"/>
      <c r="AB419" s="413"/>
      <c r="AC419" s="2795"/>
    </row>
    <row r="420" spans="1:29" ht="12.75" customHeight="1" x14ac:dyDescent="0.2">
      <c r="A420" s="2029">
        <v>211</v>
      </c>
      <c r="B420" s="4995"/>
      <c r="C420" s="2450" t="str">
        <f t="shared" si="35"/>
        <v>Des. elemental: Ilusión</v>
      </c>
      <c r="D420" s="2453">
        <f t="shared" si="33"/>
        <v>21</v>
      </c>
      <c r="E420" s="129" t="s">
        <v>2847</v>
      </c>
      <c r="F420" s="425">
        <v>1</v>
      </c>
      <c r="G420" s="425">
        <f>COUNTIF(Principal!$C$32:$J$50,Tablas!E420)</f>
        <v>0</v>
      </c>
      <c r="H420" s="2461">
        <f t="shared" si="34"/>
        <v>0</v>
      </c>
      <c r="I420" s="2466">
        <v>1</v>
      </c>
      <c r="J420" s="2470" t="s">
        <v>2760</v>
      </c>
      <c r="N420" s="413"/>
      <c r="AB420" s="413"/>
      <c r="AC420" s="2795"/>
    </row>
    <row r="421" spans="1:29" ht="12.75" customHeight="1" x14ac:dyDescent="0.2">
      <c r="A421" s="2029">
        <v>211</v>
      </c>
      <c r="B421" s="4995"/>
      <c r="C421" s="2450" t="str">
        <f t="shared" si="35"/>
        <v>Des. elemental: Luz</v>
      </c>
      <c r="D421" s="2453">
        <f t="shared" si="33"/>
        <v>23</v>
      </c>
      <c r="E421" s="129" t="s">
        <v>2848</v>
      </c>
      <c r="F421" s="425">
        <v>1</v>
      </c>
      <c r="G421" s="425">
        <f>COUNTIF(Principal!$C$32:$J$50,Tablas!E421)</f>
        <v>0</v>
      </c>
      <c r="H421" s="2461">
        <f t="shared" si="34"/>
        <v>0</v>
      </c>
      <c r="I421" s="2466">
        <v>1</v>
      </c>
      <c r="J421" s="2470" t="s">
        <v>2760</v>
      </c>
      <c r="N421" s="413"/>
      <c r="AB421" s="413"/>
      <c r="AC421" s="2795"/>
    </row>
    <row r="422" spans="1:29" ht="12.75" customHeight="1" x14ac:dyDescent="0.2">
      <c r="A422" s="2029">
        <v>211</v>
      </c>
      <c r="B422" s="4995"/>
      <c r="C422" s="2450" t="str">
        <f t="shared" si="35"/>
        <v>Des. elemental: Nigromancia</v>
      </c>
      <c r="D422" s="2453">
        <f t="shared" si="33"/>
        <v>19</v>
      </c>
      <c r="E422" s="129" t="s">
        <v>2849</v>
      </c>
      <c r="F422" s="425">
        <v>1</v>
      </c>
      <c r="G422" s="425">
        <f>COUNTIF(Principal!$C$32:$J$50,Tablas!E422)</f>
        <v>0</v>
      </c>
      <c r="H422" s="2461">
        <f t="shared" si="34"/>
        <v>0</v>
      </c>
      <c r="I422" s="2466">
        <v>1</v>
      </c>
      <c r="J422" s="2470" t="s">
        <v>2760</v>
      </c>
      <c r="N422" s="413"/>
      <c r="AB422" s="413"/>
      <c r="AC422" s="2795"/>
    </row>
    <row r="423" spans="1:29" ht="12.75" customHeight="1" x14ac:dyDescent="0.2">
      <c r="A423" s="2029">
        <v>211</v>
      </c>
      <c r="B423" s="4995"/>
      <c r="C423" s="2450" t="str">
        <f t="shared" si="35"/>
        <v>Des. elemental: Oscuridad</v>
      </c>
      <c r="D423" s="2453">
        <f t="shared" si="33"/>
        <v>14</v>
      </c>
      <c r="E423" s="129" t="s">
        <v>2850</v>
      </c>
      <c r="F423" s="425">
        <v>1</v>
      </c>
      <c r="G423" s="425">
        <f>COUNTIF(Principal!$C$32:$J$50,Tablas!E423)</f>
        <v>0</v>
      </c>
      <c r="H423" s="2461">
        <f t="shared" si="34"/>
        <v>0</v>
      </c>
      <c r="I423" s="2466">
        <v>1</v>
      </c>
      <c r="J423" s="2470" t="s">
        <v>2760</v>
      </c>
      <c r="N423" s="413"/>
      <c r="AB423" s="413"/>
      <c r="AC423" s="2795"/>
    </row>
    <row r="424" spans="1:29" ht="12.75" customHeight="1" x14ac:dyDescent="0.2">
      <c r="A424" s="2029">
        <v>211</v>
      </c>
      <c r="B424" s="4995"/>
      <c r="C424" s="2450" t="str">
        <f t="shared" si="35"/>
        <v>Des. elemental: Tierra</v>
      </c>
      <c r="D424" s="2453">
        <f t="shared" si="33"/>
        <v>15</v>
      </c>
      <c r="E424" s="129" t="s">
        <v>2851</v>
      </c>
      <c r="F424" s="425">
        <v>1</v>
      </c>
      <c r="G424" s="425">
        <f>COUNTIF(Principal!$C$32:$J$50,Tablas!E424)</f>
        <v>0</v>
      </c>
      <c r="H424" s="2461">
        <f t="shared" si="34"/>
        <v>0</v>
      </c>
      <c r="I424" s="2466">
        <v>1</v>
      </c>
      <c r="J424" s="2470" t="s">
        <v>2760</v>
      </c>
      <c r="N424" s="413"/>
      <c r="AB424" s="413"/>
      <c r="AC424" s="2795"/>
    </row>
    <row r="425" spans="1:29" ht="12.75" customHeight="1" x14ac:dyDescent="0.2">
      <c r="A425" s="2029">
        <v>211</v>
      </c>
      <c r="B425" s="4995"/>
      <c r="C425" s="2450" t="str">
        <f t="shared" si="35"/>
        <v>Desequilibrio sephirótico</v>
      </c>
      <c r="D425" s="2453">
        <f t="shared" si="33"/>
        <v>24</v>
      </c>
      <c r="E425" s="129" t="s">
        <v>2852</v>
      </c>
      <c r="F425" s="425">
        <v>1</v>
      </c>
      <c r="G425" s="425">
        <f>COUNTIF(Principal!$C$32:$J$50,Tablas!E425)</f>
        <v>0</v>
      </c>
      <c r="H425" s="2461">
        <f t="shared" si="34"/>
        <v>0</v>
      </c>
      <c r="I425" s="2466">
        <v>1</v>
      </c>
      <c r="J425" s="2470" t="s">
        <v>2760</v>
      </c>
      <c r="N425" s="413"/>
      <c r="AB425" s="413"/>
      <c r="AC425" s="2795"/>
    </row>
    <row r="426" spans="1:29" ht="12.75" customHeight="1" x14ac:dyDescent="0.2">
      <c r="A426" s="2029">
        <v>211</v>
      </c>
      <c r="B426" s="4995"/>
      <c r="C426" s="2450" t="str">
        <f t="shared" si="35"/>
        <v>Dicción mágica</v>
      </c>
      <c r="D426" s="2453">
        <f t="shared" si="33"/>
        <v>16</v>
      </c>
      <c r="E426" s="129" t="s">
        <v>2853</v>
      </c>
      <c r="F426" s="425">
        <v>1</v>
      </c>
      <c r="G426" s="425">
        <f>COUNTIF(Principal!$C$32:$J$50,Tablas!E426)</f>
        <v>0</v>
      </c>
      <c r="H426" s="2461">
        <f t="shared" si="34"/>
        <v>0</v>
      </c>
      <c r="I426" s="2466">
        <v>1</v>
      </c>
      <c r="J426" s="2470" t="s">
        <v>2760</v>
      </c>
      <c r="N426" s="413"/>
      <c r="AB426" s="413"/>
      <c r="AC426" s="2795"/>
    </row>
    <row r="427" spans="1:29" ht="12.75" customHeight="1" x14ac:dyDescent="0.2">
      <c r="A427" s="2029">
        <v>211</v>
      </c>
      <c r="B427" s="4995"/>
      <c r="C427" s="2450" t="str">
        <f t="shared" si="35"/>
        <v>Hechicero nato</v>
      </c>
      <c r="D427" s="2453">
        <f t="shared" si="33"/>
        <v>17</v>
      </c>
      <c r="E427" s="129" t="s">
        <v>2854</v>
      </c>
      <c r="F427" s="425">
        <v>1</v>
      </c>
      <c r="G427" s="425">
        <f>COUNTIF(Principal!$C$32:$J$50,Tablas!E427)</f>
        <v>0</v>
      </c>
      <c r="H427" s="2461">
        <f t="shared" si="34"/>
        <v>0</v>
      </c>
      <c r="I427" s="2466">
        <v>1</v>
      </c>
      <c r="J427" s="2470" t="s">
        <v>2760</v>
      </c>
      <c r="N427" s="413"/>
      <c r="AB427" s="413"/>
      <c r="AC427" s="2795"/>
    </row>
    <row r="428" spans="1:29" ht="12.75" customHeight="1" x14ac:dyDescent="0.2">
      <c r="A428" s="2029">
        <v>211</v>
      </c>
      <c r="B428" s="4995"/>
      <c r="C428" s="2450" t="str">
        <f t="shared" si="35"/>
        <v>Inutilidad oral</v>
      </c>
      <c r="D428" s="2453">
        <f t="shared" si="33"/>
        <v>18</v>
      </c>
      <c r="E428" s="129" t="s">
        <v>2855</v>
      </c>
      <c r="F428" s="425">
        <v>1</v>
      </c>
      <c r="G428" s="425">
        <f>COUNTIF(Principal!$C$32:$J$50,Tablas!E428)</f>
        <v>0</v>
      </c>
      <c r="H428" s="2461">
        <f t="shared" si="34"/>
        <v>0</v>
      </c>
      <c r="I428" s="2466">
        <v>1</v>
      </c>
      <c r="J428" s="2470" t="s">
        <v>2760</v>
      </c>
      <c r="N428" s="413"/>
      <c r="AB428" s="413"/>
      <c r="AC428" s="2795"/>
    </row>
    <row r="429" spans="1:29" ht="12.75" customHeight="1" x14ac:dyDescent="0.2">
      <c r="A429" s="2029">
        <v>211</v>
      </c>
      <c r="B429" s="4995"/>
      <c r="C429" s="2450" t="str">
        <f t="shared" si="35"/>
        <v>Inutilidad somática</v>
      </c>
      <c r="D429" s="2453">
        <f t="shared" si="33"/>
        <v>20</v>
      </c>
      <c r="E429" s="129" t="s">
        <v>2856</v>
      </c>
      <c r="F429" s="425">
        <v>1</v>
      </c>
      <c r="G429" s="425">
        <f>COUNTIF(Principal!$C$32:$J$50,Tablas!E429)</f>
        <v>0</v>
      </c>
      <c r="H429" s="2461">
        <f t="shared" si="34"/>
        <v>0</v>
      </c>
      <c r="I429" s="2466">
        <v>1</v>
      </c>
      <c r="J429" s="2470" t="s">
        <v>2760</v>
      </c>
      <c r="N429" s="413"/>
      <c r="AB429" s="413"/>
      <c r="AC429" s="2795"/>
    </row>
    <row r="430" spans="1:29" ht="12.75" customHeight="1" x14ac:dyDescent="0.2">
      <c r="A430" s="2029">
        <v>211</v>
      </c>
      <c r="B430" s="4995"/>
      <c r="C430" s="2450" t="str">
        <f t="shared" si="35"/>
        <v>Magia innata mejorada (1)</v>
      </c>
      <c r="D430" s="2453">
        <f t="shared" si="33"/>
        <v>22</v>
      </c>
      <c r="E430" s="129" t="s">
        <v>2857</v>
      </c>
      <c r="F430" s="425">
        <v>1</v>
      </c>
      <c r="G430" s="425">
        <f>COUNTIF(Principal!$C$32:$J$50,Tablas!E430)</f>
        <v>0</v>
      </c>
      <c r="H430" s="2461">
        <f t="shared" si="34"/>
        <v>0</v>
      </c>
      <c r="I430" s="2466">
        <v>1</v>
      </c>
      <c r="J430" s="2470" t="s">
        <v>2760</v>
      </c>
      <c r="N430" s="413"/>
      <c r="AB430" s="413"/>
      <c r="AC430" s="2795"/>
    </row>
    <row r="431" spans="1:29" ht="12.75" customHeight="1" x14ac:dyDescent="0.2">
      <c r="A431" s="2029">
        <v>211</v>
      </c>
      <c r="B431" s="4995"/>
      <c r="C431" s="2450" t="str">
        <f t="shared" si="35"/>
        <v>Magia innata mejorada (2)</v>
      </c>
      <c r="D431" s="2453">
        <f t="shared" si="33"/>
        <v>25</v>
      </c>
      <c r="E431" s="129" t="s">
        <v>2858</v>
      </c>
      <c r="F431" s="425">
        <v>2</v>
      </c>
      <c r="G431" s="425">
        <f>COUNTIF(Principal!$C$32:$J$50,Tablas!E431)</f>
        <v>0</v>
      </c>
      <c r="H431" s="2461">
        <f t="shared" si="34"/>
        <v>0</v>
      </c>
      <c r="I431" s="2466">
        <v>1</v>
      </c>
      <c r="J431" s="2470" t="s">
        <v>2760</v>
      </c>
      <c r="N431" s="413"/>
      <c r="AB431" s="413"/>
      <c r="AC431" s="2795"/>
    </row>
    <row r="432" spans="1:29" ht="12.75" customHeight="1" x14ac:dyDescent="0.2">
      <c r="A432" s="2029">
        <v>211</v>
      </c>
      <c r="B432" s="4995"/>
      <c r="C432" s="2450" t="str">
        <f t="shared" si="35"/>
        <v>Magia innata mejorada (3)</v>
      </c>
      <c r="D432" s="2453">
        <f t="shared" si="33"/>
        <v>0</v>
      </c>
      <c r="E432" s="129" t="s">
        <v>2944</v>
      </c>
      <c r="F432" s="425"/>
      <c r="G432" s="425"/>
      <c r="H432" s="2461"/>
      <c r="I432" s="2466"/>
      <c r="J432" s="2470" t="s">
        <v>2760</v>
      </c>
      <c r="N432" s="413"/>
      <c r="AB432" s="413"/>
      <c r="AC432" s="2795"/>
    </row>
    <row r="433" spans="1:29" ht="12.75" customHeight="1" x14ac:dyDescent="0.2">
      <c r="A433" s="2029">
        <v>211</v>
      </c>
      <c r="B433" s="4995"/>
      <c r="C433" s="2450" t="str">
        <f t="shared" si="35"/>
        <v>Magia opuesta</v>
      </c>
      <c r="D433" s="2453">
        <f t="shared" si="33"/>
        <v>33</v>
      </c>
      <c r="E433" s="129" t="s">
        <v>2945</v>
      </c>
      <c r="F433" s="425">
        <v>1</v>
      </c>
      <c r="G433" s="425">
        <f>COUNTIF(Principal!$C$32:$J$50,Tablas!E433)</f>
        <v>0</v>
      </c>
      <c r="H433" s="2461">
        <f t="shared" ref="H433:H438" si="36">G433*F433</f>
        <v>0</v>
      </c>
      <c r="I433" s="2466">
        <v>1</v>
      </c>
      <c r="J433" s="2470" t="s">
        <v>2760</v>
      </c>
      <c r="N433" s="413"/>
      <c r="AB433" s="413"/>
      <c r="AC433" s="2795"/>
    </row>
    <row r="434" spans="1:29" ht="12.75" customHeight="1" x14ac:dyDescent="0.2">
      <c r="A434" s="2029">
        <v>211</v>
      </c>
      <c r="B434" s="4995"/>
      <c r="C434" s="2450" t="str">
        <f t="shared" si="35"/>
        <v>Naturaleza mágica (1)</v>
      </c>
      <c r="D434" s="2453">
        <f t="shared" si="33"/>
        <v>34</v>
      </c>
      <c r="E434" s="129" t="s">
        <v>2946</v>
      </c>
      <c r="F434" s="425">
        <v>1</v>
      </c>
      <c r="G434" s="425">
        <f>COUNTIF(Principal!$C$32:$J$50,Tablas!E434)</f>
        <v>0</v>
      </c>
      <c r="H434" s="2461">
        <f t="shared" si="36"/>
        <v>0</v>
      </c>
      <c r="I434" s="2466">
        <v>1</v>
      </c>
      <c r="J434" s="2470" t="s">
        <v>2760</v>
      </c>
      <c r="N434" s="413"/>
      <c r="AB434" s="413"/>
      <c r="AC434" s="2795"/>
    </row>
    <row r="435" spans="1:29" ht="12.75" customHeight="1" x14ac:dyDescent="0.2">
      <c r="A435" s="2029">
        <v>211</v>
      </c>
      <c r="B435" s="4995"/>
      <c r="C435" s="2450" t="str">
        <f t="shared" si="35"/>
        <v>Naturaleza mágica (2)</v>
      </c>
      <c r="D435" s="2453">
        <f t="shared" si="33"/>
        <v>35</v>
      </c>
      <c r="E435" s="129" t="s">
        <v>2947</v>
      </c>
      <c r="F435" s="425">
        <v>2</v>
      </c>
      <c r="G435" s="425">
        <f>COUNTIF(Principal!$C$32:$J$50,Tablas!E435)</f>
        <v>0</v>
      </c>
      <c r="H435" s="2461">
        <f t="shared" si="36"/>
        <v>0</v>
      </c>
      <c r="I435" s="2466">
        <v>1</v>
      </c>
      <c r="J435" s="2470" t="s">
        <v>2760</v>
      </c>
      <c r="N435" s="413"/>
      <c r="AB435" s="413"/>
      <c r="AC435" s="2795"/>
    </row>
    <row r="436" spans="1:29" ht="12.75" customHeight="1" x14ac:dyDescent="0.2">
      <c r="A436" s="2029">
        <v>211</v>
      </c>
      <c r="B436" s="4995"/>
      <c r="C436" s="2450" t="str">
        <f t="shared" si="35"/>
        <v>Naturaleza mágica (3)</v>
      </c>
      <c r="D436" s="2453">
        <f t="shared" si="33"/>
        <v>36</v>
      </c>
      <c r="E436" s="129" t="s">
        <v>2948</v>
      </c>
      <c r="F436" s="425">
        <v>3</v>
      </c>
      <c r="G436" s="425">
        <f>COUNTIF(Principal!$C$32:$J$50,Tablas!E436)</f>
        <v>0</v>
      </c>
      <c r="H436" s="2461">
        <f t="shared" si="36"/>
        <v>0</v>
      </c>
      <c r="I436" s="2466">
        <v>1</v>
      </c>
      <c r="J436" s="2470" t="s">
        <v>2760</v>
      </c>
      <c r="N436" s="413"/>
      <c r="AB436" s="413"/>
      <c r="AC436" s="2795"/>
    </row>
    <row r="437" spans="1:29" ht="12.75" customHeight="1" x14ac:dyDescent="0.2">
      <c r="A437" s="2029">
        <v>211</v>
      </c>
      <c r="B437" s="4995"/>
      <c r="C437" s="2450" t="str">
        <f t="shared" si="35"/>
        <v>Poder natural</v>
      </c>
      <c r="D437" s="2453">
        <f t="shared" si="33"/>
        <v>37</v>
      </c>
      <c r="E437" s="129" t="s">
        <v>2949</v>
      </c>
      <c r="F437" s="425">
        <v>1</v>
      </c>
      <c r="G437" s="425">
        <f>COUNTIF(Principal!$C$32:$J$50,Tablas!E437)</f>
        <v>0</v>
      </c>
      <c r="H437" s="2461">
        <f t="shared" si="36"/>
        <v>0</v>
      </c>
      <c r="I437" s="2466"/>
      <c r="J437" s="2470" t="s">
        <v>2760</v>
      </c>
      <c r="N437" s="413"/>
      <c r="AB437" s="413"/>
      <c r="AC437" s="2795"/>
    </row>
    <row r="438" spans="1:29" ht="12.75" customHeight="1" x14ac:dyDescent="0.2">
      <c r="A438" s="2029">
        <v>211</v>
      </c>
      <c r="B438" s="4995"/>
      <c r="C438" s="2450" t="str">
        <f t="shared" si="35"/>
        <v>Potencial enfrentado</v>
      </c>
      <c r="D438" s="2453">
        <f t="shared" si="33"/>
        <v>26</v>
      </c>
      <c r="E438" s="129" t="s">
        <v>2950</v>
      </c>
      <c r="F438" s="425">
        <v>1</v>
      </c>
      <c r="G438" s="425">
        <f>COUNTIF(Principal!$C$32:$J$50,Tablas!E438)</f>
        <v>0</v>
      </c>
      <c r="H438" s="2461">
        <f t="shared" si="36"/>
        <v>0</v>
      </c>
      <c r="I438" s="2466"/>
      <c r="J438" s="2470" t="s">
        <v>2760</v>
      </c>
      <c r="N438" s="413"/>
      <c r="AB438" s="413"/>
      <c r="AC438" s="2795"/>
    </row>
    <row r="439" spans="1:29" ht="12.75" customHeight="1" x14ac:dyDescent="0.2">
      <c r="A439" s="2029">
        <v>211</v>
      </c>
      <c r="B439" s="4995"/>
      <c r="C439" s="2450" t="str">
        <f t="shared" si="35"/>
        <v>Rec. superior de magia (1)</v>
      </c>
      <c r="D439" s="2453">
        <f t="shared" si="33"/>
        <v>-1</v>
      </c>
      <c r="E439" s="129" t="s">
        <v>2980</v>
      </c>
      <c r="F439" s="425"/>
      <c r="G439" s="425"/>
      <c r="H439" s="2461"/>
      <c r="I439" s="2466"/>
      <c r="J439" s="2470" t="s">
        <v>2760</v>
      </c>
      <c r="N439" s="413"/>
      <c r="AB439" s="413"/>
      <c r="AC439" s="2795"/>
    </row>
    <row r="440" spans="1:29" ht="12.75" customHeight="1" x14ac:dyDescent="0.2">
      <c r="A440" s="2029">
        <v>211</v>
      </c>
      <c r="B440" s="4995"/>
      <c r="C440" s="2450" t="str">
        <f t="shared" si="35"/>
        <v>Rec. superior de magia (2)</v>
      </c>
      <c r="D440" s="2453">
        <f t="shared" si="33"/>
        <v>42</v>
      </c>
      <c r="E440" s="129" t="s">
        <v>2981</v>
      </c>
      <c r="F440" s="425">
        <v>1</v>
      </c>
      <c r="G440" s="425">
        <f>COUNTIF(Principal!$C$32:$J$50,Tablas!E440)</f>
        <v>0</v>
      </c>
      <c r="H440" s="2461">
        <f>G440*F440</f>
        <v>0</v>
      </c>
      <c r="I440" s="2466"/>
      <c r="J440" s="2470" t="s">
        <v>2760</v>
      </c>
      <c r="N440" s="413"/>
      <c r="AB440" s="413"/>
      <c r="AC440" s="2795"/>
    </row>
    <row r="441" spans="1:29" ht="12.75" customHeight="1" x14ac:dyDescent="0.2">
      <c r="A441" s="2029">
        <v>211</v>
      </c>
      <c r="B441" s="4995"/>
      <c r="C441" s="2450" t="str">
        <f t="shared" si="35"/>
        <v>Rec. superior de magia (3)</v>
      </c>
      <c r="D441" s="2453">
        <f t="shared" si="33"/>
        <v>27</v>
      </c>
      <c r="E441" s="129" t="s">
        <v>2982</v>
      </c>
      <c r="F441" s="425">
        <v>1</v>
      </c>
      <c r="G441" s="425">
        <f>COUNTIF(Principal!$C$32:$J$50,Tablas!E441)</f>
        <v>0</v>
      </c>
      <c r="H441" s="2461">
        <f>G441*F441</f>
        <v>0</v>
      </c>
      <c r="I441" s="2466"/>
      <c r="J441" s="2470" t="s">
        <v>2760</v>
      </c>
      <c r="N441" s="413"/>
      <c r="AB441" s="413"/>
      <c r="AC441" s="2795"/>
    </row>
    <row r="442" spans="1:29" ht="12.75" customHeight="1" x14ac:dyDescent="0.2">
      <c r="A442" s="2029">
        <v>211</v>
      </c>
      <c r="B442" s="4995"/>
      <c r="C442" s="2452" t="str">
        <f t="shared" si="35"/>
        <v>Versatilidad metamágica</v>
      </c>
      <c r="D442" s="2455">
        <f t="shared" si="33"/>
        <v>1</v>
      </c>
      <c r="E442" s="2456" t="s">
        <v>2983</v>
      </c>
      <c r="F442" s="2457">
        <v>2</v>
      </c>
      <c r="G442" s="2457">
        <f>COUNTIF(Principal!$C$32:$J$50,Tablas!E442)</f>
        <v>0</v>
      </c>
      <c r="H442" s="2463">
        <f>G442*F442</f>
        <v>0</v>
      </c>
      <c r="I442" s="2467">
        <v>1</v>
      </c>
      <c r="J442" s="2471" t="s">
        <v>2760</v>
      </c>
      <c r="N442" s="413"/>
      <c r="AB442" s="413"/>
      <c r="AC442" s="2795"/>
    </row>
    <row r="443" spans="1:29" ht="12.75" customHeight="1" x14ac:dyDescent="0.2">
      <c r="A443" s="2029">
        <v>211</v>
      </c>
      <c r="B443" s="4995"/>
      <c r="C443" s="1766" t="str">
        <f>E443</f>
        <v>&gt; VENTAJAS: PSIQUICOS</v>
      </c>
      <c r="D443" s="2453">
        <f t="shared" ref="D443:D467" si="37">COUNTIF($E$444:$E$467,"&lt;="&amp;E443)-COUNTIF($E$444:$E$467,"*&gt;*")</f>
        <v>0</v>
      </c>
      <c r="E443" s="129" t="s">
        <v>2859</v>
      </c>
      <c r="F443" s="425"/>
      <c r="G443" s="425"/>
      <c r="H443" s="2461"/>
      <c r="I443" s="2466"/>
      <c r="J443" s="2470" t="s">
        <v>8543</v>
      </c>
      <c r="N443" s="413"/>
      <c r="AB443" s="413"/>
      <c r="AC443" s="2795"/>
    </row>
    <row r="444" spans="1:29" ht="12.75" customHeight="1" x14ac:dyDescent="0.2">
      <c r="A444" s="2029">
        <v>211</v>
      </c>
      <c r="B444" s="4995"/>
      <c r="C444" s="1766" t="str">
        <f t="shared" ref="C444:C466" si="38">VLOOKUP(A1,$D$443:$E$467,2,0)</f>
        <v>Ambivalencia psíquica</v>
      </c>
      <c r="D444" s="2453">
        <f t="shared" si="37"/>
        <v>3</v>
      </c>
      <c r="E444" s="129" t="s">
        <v>2860</v>
      </c>
      <c r="F444" s="425">
        <v>2</v>
      </c>
      <c r="G444" s="425">
        <f>COUNTIF(Principal!$C$32:$J$50,Tablas!E444)</f>
        <v>0</v>
      </c>
      <c r="H444" s="2461">
        <f t="shared" ref="H444:H464" si="39">G444*F444</f>
        <v>0</v>
      </c>
      <c r="I444" s="2466">
        <v>1</v>
      </c>
      <c r="J444" s="2470" t="s">
        <v>8543</v>
      </c>
      <c r="N444" s="413"/>
      <c r="AB444" s="413"/>
      <c r="AC444" s="2795"/>
    </row>
    <row r="445" spans="1:29" ht="12.75" customHeight="1" x14ac:dyDescent="0.2">
      <c r="A445" s="2029">
        <v>211</v>
      </c>
      <c r="B445" s="4995"/>
      <c r="C445" s="1766" t="str">
        <f t="shared" si="38"/>
        <v>Calibre</v>
      </c>
      <c r="D445" s="2453">
        <f t="shared" si="37"/>
        <v>2</v>
      </c>
      <c r="E445" s="129" t="s">
        <v>2861</v>
      </c>
      <c r="F445" s="425">
        <v>1</v>
      </c>
      <c r="G445" s="425">
        <f>COUNTIF(Principal!$C$32:$J$50,Tablas!E445)</f>
        <v>0</v>
      </c>
      <c r="H445" s="2461">
        <f t="shared" si="39"/>
        <v>0</v>
      </c>
      <c r="I445" s="2466">
        <v>1</v>
      </c>
      <c r="J445" s="2470" t="s">
        <v>8543</v>
      </c>
      <c r="N445" s="413"/>
      <c r="AB445" s="413"/>
      <c r="AC445" s="2795"/>
    </row>
    <row r="446" spans="1:29" ht="12.75" customHeight="1" x14ac:dyDescent="0.2">
      <c r="A446" s="2029">
        <v>211</v>
      </c>
      <c r="B446" s="4995"/>
      <c r="C446" s="1766" t="str">
        <f t="shared" si="38"/>
        <v>Concentración extrema</v>
      </c>
      <c r="D446" s="2453">
        <f t="shared" si="37"/>
        <v>18</v>
      </c>
      <c r="E446" s="129" t="s">
        <v>2104</v>
      </c>
      <c r="F446" s="425">
        <v>2</v>
      </c>
      <c r="G446" s="425">
        <f>COUNTIF(Principal!$C$32:$J$50,Tablas!E446)</f>
        <v>0</v>
      </c>
      <c r="H446" s="2461">
        <f t="shared" si="39"/>
        <v>0</v>
      </c>
      <c r="I446" s="2466"/>
      <c r="J446" s="2470" t="s">
        <v>8543</v>
      </c>
      <c r="N446" s="413"/>
      <c r="AB446" s="413"/>
      <c r="AC446" s="2795"/>
    </row>
    <row r="447" spans="1:29" ht="12.75" customHeight="1" x14ac:dyDescent="0.2">
      <c r="A447" s="2029">
        <v>211</v>
      </c>
      <c r="B447" s="4995"/>
      <c r="C447" s="1766" t="str">
        <f t="shared" si="38"/>
        <v>Concentración pasiva</v>
      </c>
      <c r="D447" s="2453">
        <f t="shared" si="37"/>
        <v>23</v>
      </c>
      <c r="E447" s="129" t="s">
        <v>2862</v>
      </c>
      <c r="F447" s="425">
        <v>2</v>
      </c>
      <c r="G447" s="425">
        <f>COUNTIF(Principal!$C$32:$J$50,Tablas!E447)</f>
        <v>0</v>
      </c>
      <c r="H447" s="2461">
        <f t="shared" si="39"/>
        <v>0</v>
      </c>
      <c r="I447" s="2466"/>
      <c r="J447" s="2470" t="s">
        <v>8543</v>
      </c>
      <c r="N447" s="413"/>
      <c r="AB447" s="413"/>
      <c r="AC447" s="2795"/>
    </row>
    <row r="448" spans="1:29" ht="12.75" customHeight="1" x14ac:dyDescent="0.2">
      <c r="A448" s="2029">
        <v>211</v>
      </c>
      <c r="B448" s="4995"/>
      <c r="C448" s="1766" t="str">
        <f t="shared" si="38"/>
        <v>Des. psí: Electromagnetismo</v>
      </c>
      <c r="D448" s="2453">
        <f t="shared" si="37"/>
        <v>20</v>
      </c>
      <c r="E448" s="129" t="s">
        <v>2863</v>
      </c>
      <c r="F448" s="425">
        <v>1</v>
      </c>
      <c r="G448" s="425">
        <f>COUNTIF(Principal!$C$32:$J$50,Tablas!E448)</f>
        <v>0</v>
      </c>
      <c r="H448" s="2461">
        <f t="shared" si="39"/>
        <v>0</v>
      </c>
      <c r="I448" s="2466"/>
      <c r="J448" s="2470" t="s">
        <v>8543</v>
      </c>
      <c r="N448" s="413"/>
      <c r="AB448" s="413"/>
      <c r="AC448" s="2795"/>
    </row>
    <row r="449" spans="1:29" ht="12.75" customHeight="1" x14ac:dyDescent="0.2">
      <c r="A449" s="2029">
        <v>211</v>
      </c>
      <c r="B449" s="4995"/>
      <c r="C449" s="1766" t="str">
        <f t="shared" si="38"/>
        <v>Des. psí: Hipersensibilidad</v>
      </c>
      <c r="D449" s="2453">
        <f t="shared" si="37"/>
        <v>21</v>
      </c>
      <c r="E449" s="129" t="s">
        <v>2864</v>
      </c>
      <c r="F449" s="425">
        <v>2</v>
      </c>
      <c r="G449" s="425">
        <f>COUNTIF(Principal!$C$32:$J$50,Tablas!E449)</f>
        <v>0</v>
      </c>
      <c r="H449" s="2461">
        <f t="shared" si="39"/>
        <v>0</v>
      </c>
      <c r="I449" s="2466"/>
      <c r="J449" s="2470" t="s">
        <v>8543</v>
      </c>
      <c r="N449" s="413"/>
      <c r="AB449" s="413"/>
      <c r="AC449" s="2795"/>
    </row>
    <row r="450" spans="1:29" ht="12.75" customHeight="1" x14ac:dyDescent="0.2">
      <c r="A450" s="2029">
        <v>211</v>
      </c>
      <c r="B450" s="4995"/>
      <c r="C450" s="1766" t="str">
        <f t="shared" si="38"/>
        <v>Des. psíquico: Causalidad</v>
      </c>
      <c r="D450" s="2453">
        <f t="shared" si="37"/>
        <v>22</v>
      </c>
      <c r="E450" s="129" t="s">
        <v>2865</v>
      </c>
      <c r="F450" s="425">
        <v>3</v>
      </c>
      <c r="G450" s="425">
        <f>COUNTIF(Principal!$C$32:$J$50,Tablas!E450)</f>
        <v>0</v>
      </c>
      <c r="H450" s="2461">
        <f t="shared" si="39"/>
        <v>0</v>
      </c>
      <c r="I450" s="2466"/>
      <c r="J450" s="2470" t="s">
        <v>8543</v>
      </c>
      <c r="N450" s="413"/>
      <c r="AB450" s="413"/>
      <c r="AC450" s="2795"/>
    </row>
    <row r="451" spans="1:29" ht="12.75" customHeight="1" x14ac:dyDescent="0.2">
      <c r="A451" s="2029">
        <v>211</v>
      </c>
      <c r="B451" s="4995"/>
      <c r="C451" s="1766" t="str">
        <f t="shared" si="38"/>
        <v>Des. psíquico: Crioquinesis</v>
      </c>
      <c r="D451" s="2453">
        <f t="shared" si="37"/>
        <v>12</v>
      </c>
      <c r="E451" s="129" t="s">
        <v>2866</v>
      </c>
      <c r="F451" s="425">
        <v>2</v>
      </c>
      <c r="G451" s="425">
        <f>COUNTIF(Principal!$C$32:$J$50,Tablas!E451)</f>
        <v>0</v>
      </c>
      <c r="H451" s="2461">
        <f t="shared" si="39"/>
        <v>0</v>
      </c>
      <c r="I451" s="2466">
        <v>1</v>
      </c>
      <c r="J451" s="2470" t="s">
        <v>8543</v>
      </c>
      <c r="N451" s="413"/>
      <c r="AB451" s="413"/>
      <c r="AC451" s="2795"/>
    </row>
    <row r="452" spans="1:29" ht="12.75" customHeight="1" x14ac:dyDescent="0.2">
      <c r="A452" s="2029">
        <v>211</v>
      </c>
      <c r="B452" s="4995"/>
      <c r="C452" s="1766" t="str">
        <f t="shared" si="38"/>
        <v>Des. psíquico: Energía</v>
      </c>
      <c r="D452" s="2453">
        <f t="shared" si="37"/>
        <v>8</v>
      </c>
      <c r="E452" s="129" t="s">
        <v>2867</v>
      </c>
      <c r="F452" s="425">
        <v>2</v>
      </c>
      <c r="G452" s="425">
        <f>COUNTIF(Principal!$C$32:$J$50,Tablas!E452)</f>
        <v>0</v>
      </c>
      <c r="H452" s="2461">
        <f t="shared" si="39"/>
        <v>0</v>
      </c>
      <c r="I452" s="2466">
        <v>1</v>
      </c>
      <c r="J452" s="2470" t="s">
        <v>8543</v>
      </c>
      <c r="N452" s="413"/>
      <c r="AB452" s="413"/>
      <c r="AC452" s="2795"/>
    </row>
    <row r="453" spans="1:29" ht="12.75" customHeight="1" x14ac:dyDescent="0.2">
      <c r="A453" s="2029">
        <v>211</v>
      </c>
      <c r="B453" s="4995"/>
      <c r="C453" s="1766" t="str">
        <f t="shared" si="38"/>
        <v>Des. psíquico: Inc. Físico</v>
      </c>
      <c r="D453" s="2453">
        <f t="shared" si="37"/>
        <v>16</v>
      </c>
      <c r="E453" s="129" t="s">
        <v>2868</v>
      </c>
      <c r="F453" s="425">
        <v>2</v>
      </c>
      <c r="G453" s="425">
        <f>COUNTIF(Principal!$C$32:$J$50,Tablas!E453)</f>
        <v>0</v>
      </c>
      <c r="H453" s="2461">
        <f t="shared" si="39"/>
        <v>0</v>
      </c>
      <c r="I453" s="2466">
        <v>1</v>
      </c>
      <c r="J453" s="2470" t="s">
        <v>8543</v>
      </c>
      <c r="N453" s="413"/>
      <c r="AB453" s="413"/>
      <c r="AC453" s="2795"/>
    </row>
    <row r="454" spans="1:29" ht="12.75" customHeight="1" x14ac:dyDescent="0.2">
      <c r="A454" s="2029">
        <v>211</v>
      </c>
      <c r="B454" s="4995"/>
      <c r="C454" s="1766" t="str">
        <f t="shared" si="38"/>
        <v>Des. psíquico: Luz</v>
      </c>
      <c r="D454" s="2453">
        <f t="shared" si="37"/>
        <v>15</v>
      </c>
      <c r="E454" s="129" t="s">
        <v>2869</v>
      </c>
      <c r="F454" s="425">
        <v>2</v>
      </c>
      <c r="G454" s="425">
        <f>COUNTIF(Principal!$C$32:$J$50,Tablas!E454)</f>
        <v>0</v>
      </c>
      <c r="H454" s="2461">
        <f t="shared" si="39"/>
        <v>0</v>
      </c>
      <c r="I454" s="2466">
        <v>1</v>
      </c>
      <c r="J454" s="2470" t="s">
        <v>8543</v>
      </c>
      <c r="N454" s="413"/>
      <c r="AB454" s="413"/>
      <c r="AC454" s="2795"/>
    </row>
    <row r="455" spans="1:29" ht="12.75" customHeight="1" x14ac:dyDescent="0.2">
      <c r="A455" s="2029">
        <v>211</v>
      </c>
      <c r="B455" s="4995"/>
      <c r="C455" s="1766" t="str">
        <f t="shared" si="38"/>
        <v>Des. psíquico: Piroquinesis</v>
      </c>
      <c r="D455" s="2453">
        <f t="shared" si="37"/>
        <v>9</v>
      </c>
      <c r="E455" s="129" t="s">
        <v>2870</v>
      </c>
      <c r="F455" s="425">
        <v>2</v>
      </c>
      <c r="G455" s="425">
        <f>COUNTIF(Principal!$C$32:$J$50,Tablas!E455)</f>
        <v>0</v>
      </c>
      <c r="H455" s="2461">
        <f t="shared" si="39"/>
        <v>0</v>
      </c>
      <c r="I455" s="2466">
        <v>1</v>
      </c>
      <c r="J455" s="2470" t="s">
        <v>8543</v>
      </c>
      <c r="N455" s="413"/>
      <c r="AB455" s="413"/>
      <c r="AC455" s="2795"/>
    </row>
    <row r="456" spans="1:29" ht="12.75" customHeight="1" x14ac:dyDescent="0.2">
      <c r="A456" s="2029">
        <v>211</v>
      </c>
      <c r="B456" s="4995"/>
      <c r="C456" s="1766" t="str">
        <f t="shared" si="38"/>
        <v>Des. psíquico: Sentiente</v>
      </c>
      <c r="D456" s="2453">
        <f t="shared" si="37"/>
        <v>10</v>
      </c>
      <c r="E456" s="129" t="s">
        <v>2871</v>
      </c>
      <c r="F456" s="425">
        <v>2</v>
      </c>
      <c r="G456" s="425">
        <f>COUNTIF(Principal!$C$32:$J$50,Tablas!E456)</f>
        <v>0</v>
      </c>
      <c r="H456" s="2461">
        <f t="shared" si="39"/>
        <v>0</v>
      </c>
      <c r="I456" s="2466">
        <v>1</v>
      </c>
      <c r="J456" s="2470" t="s">
        <v>8543</v>
      </c>
      <c r="N456" s="413"/>
      <c r="AB456" s="413"/>
      <c r="AC456" s="2795"/>
    </row>
    <row r="457" spans="1:29" ht="12.75" customHeight="1" x14ac:dyDescent="0.2">
      <c r="A457" s="2029">
        <v>211</v>
      </c>
      <c r="B457" s="4995"/>
      <c r="C457" s="1766" t="str">
        <f t="shared" si="38"/>
        <v>Des. psíquico: Telemetría</v>
      </c>
      <c r="D457" s="2453">
        <f t="shared" si="37"/>
        <v>13</v>
      </c>
      <c r="E457" s="129" t="s">
        <v>2872</v>
      </c>
      <c r="F457" s="425">
        <v>2</v>
      </c>
      <c r="G457" s="425">
        <f>COUNTIF(Principal!$C$32:$J$50,Tablas!E457)</f>
        <v>0</v>
      </c>
      <c r="H457" s="2461">
        <f t="shared" si="39"/>
        <v>0</v>
      </c>
      <c r="I457" s="2466">
        <v>1</v>
      </c>
      <c r="J457" s="2470" t="s">
        <v>8543</v>
      </c>
      <c r="N457" s="413"/>
      <c r="AB457" s="413"/>
      <c r="AC457" s="2795"/>
    </row>
    <row r="458" spans="1:29" ht="12.75" customHeight="1" x14ac:dyDescent="0.2">
      <c r="A458" s="2029">
        <v>211</v>
      </c>
      <c r="B458" s="4995"/>
      <c r="C458" s="1766" t="str">
        <f t="shared" si="38"/>
        <v>Des. psíquico: Telepatía</v>
      </c>
      <c r="D458" s="2453">
        <f t="shared" si="37"/>
        <v>14</v>
      </c>
      <c r="E458" s="129" t="s">
        <v>2873</v>
      </c>
      <c r="F458" s="425">
        <v>2</v>
      </c>
      <c r="G458" s="425">
        <f>COUNTIF(Principal!$C$32:$J$50,Tablas!E458)</f>
        <v>0</v>
      </c>
      <c r="H458" s="2461">
        <f t="shared" si="39"/>
        <v>0</v>
      </c>
      <c r="I458" s="2466">
        <v>1</v>
      </c>
      <c r="J458" s="2470" t="s">
        <v>8543</v>
      </c>
      <c r="N458" s="413"/>
      <c r="AB458" s="413"/>
      <c r="AC458" s="2795"/>
    </row>
    <row r="459" spans="1:29" ht="12.75" customHeight="1" x14ac:dyDescent="0.2">
      <c r="A459" s="2029">
        <v>211</v>
      </c>
      <c r="B459" s="4995"/>
      <c r="C459" s="1766" t="str">
        <f t="shared" si="38"/>
        <v>Des. psíquico: Telequinesis</v>
      </c>
      <c r="D459" s="2453">
        <f t="shared" si="37"/>
        <v>7</v>
      </c>
      <c r="E459" s="129" t="s">
        <v>2874</v>
      </c>
      <c r="F459" s="425">
        <v>2</v>
      </c>
      <c r="G459" s="425">
        <f>COUNTIF(Principal!$C$32:$J$50,Tablas!E459)</f>
        <v>0</v>
      </c>
      <c r="H459" s="2461">
        <f t="shared" si="39"/>
        <v>0</v>
      </c>
      <c r="I459" s="2466">
        <v>1</v>
      </c>
      <c r="J459" s="2470" t="s">
        <v>8543</v>
      </c>
      <c r="N459" s="413"/>
      <c r="AB459" s="413"/>
      <c r="AC459" s="2795"/>
    </row>
    <row r="460" spans="1:29" ht="12.75" customHeight="1" x14ac:dyDescent="0.2">
      <c r="A460" s="2029">
        <v>211</v>
      </c>
      <c r="B460" s="4995"/>
      <c r="C460" s="1766" t="str">
        <f t="shared" si="38"/>
        <v>Des. psíquico: Teletransporte</v>
      </c>
      <c r="D460" s="2453">
        <f t="shared" si="37"/>
        <v>5</v>
      </c>
      <c r="E460" s="129" t="s">
        <v>2875</v>
      </c>
      <c r="F460" s="425">
        <v>2</v>
      </c>
      <c r="G460" s="425">
        <f>COUNTIF(Principal!$C$32:$J$50,Tablas!E460)</f>
        <v>0</v>
      </c>
      <c r="H460" s="2461">
        <f t="shared" si="39"/>
        <v>0</v>
      </c>
      <c r="I460" s="2466">
        <v>1</v>
      </c>
      <c r="J460" s="2470" t="s">
        <v>8543</v>
      </c>
      <c r="N460" s="413"/>
      <c r="AB460" s="413"/>
      <c r="AC460" s="2795"/>
    </row>
    <row r="461" spans="1:29" ht="12.75" customHeight="1" x14ac:dyDescent="0.2">
      <c r="A461" s="2029">
        <v>211</v>
      </c>
      <c r="B461" s="4995"/>
      <c r="C461" s="1766" t="str">
        <f t="shared" si="38"/>
        <v>Mantenimiento añadido</v>
      </c>
      <c r="D461" s="2453">
        <f t="shared" si="37"/>
        <v>17</v>
      </c>
      <c r="E461" s="129" t="s">
        <v>2876</v>
      </c>
      <c r="F461" s="425">
        <v>2</v>
      </c>
      <c r="G461" s="425">
        <f>COUNTIF(Principal!$C$32:$J$50,Tablas!E461)</f>
        <v>0</v>
      </c>
      <c r="H461" s="2461">
        <f t="shared" si="39"/>
        <v>0</v>
      </c>
      <c r="I461" s="2466">
        <v>1</v>
      </c>
      <c r="J461" s="2470" t="s">
        <v>8543</v>
      </c>
      <c r="N461" s="413"/>
      <c r="AB461" s="413"/>
      <c r="AC461" s="2795"/>
    </row>
    <row r="462" spans="1:29" ht="12.75" customHeight="1" x14ac:dyDescent="0.2">
      <c r="A462" s="2029">
        <v>211</v>
      </c>
      <c r="B462" s="4995"/>
      <c r="C462" s="1766" t="str">
        <f t="shared" si="38"/>
        <v>Mod. psíquico incrementado</v>
      </c>
      <c r="D462" s="2453">
        <f t="shared" si="37"/>
        <v>11</v>
      </c>
      <c r="E462" s="129" t="s">
        <v>2877</v>
      </c>
      <c r="F462" s="425">
        <v>2</v>
      </c>
      <c r="G462" s="425">
        <f>COUNTIF(Principal!$C$32:$J$50,Tablas!E462)</f>
        <v>0</v>
      </c>
      <c r="H462" s="2461">
        <f t="shared" si="39"/>
        <v>0</v>
      </c>
      <c r="I462" s="2466">
        <v>1</v>
      </c>
      <c r="J462" s="2470" t="s">
        <v>8543</v>
      </c>
      <c r="N462" s="413"/>
      <c r="AB462" s="413"/>
      <c r="AC462" s="2795"/>
    </row>
    <row r="463" spans="1:29" ht="12.75" customHeight="1" x14ac:dyDescent="0.2">
      <c r="A463" s="2029">
        <v>211</v>
      </c>
      <c r="B463" s="4995"/>
      <c r="C463" s="1766" t="str">
        <f t="shared" si="38"/>
        <v>Recuperación de CVs (1)</v>
      </c>
      <c r="D463" s="2453">
        <f t="shared" si="37"/>
        <v>6</v>
      </c>
      <c r="E463" s="129" t="s">
        <v>2878</v>
      </c>
      <c r="F463" s="425">
        <v>2</v>
      </c>
      <c r="G463" s="425">
        <f>COUNTIF(Principal!$C$32:$J$50,Tablas!E463)</f>
        <v>0</v>
      </c>
      <c r="H463" s="2461">
        <f t="shared" si="39"/>
        <v>0</v>
      </c>
      <c r="I463" s="2466">
        <v>1</v>
      </c>
      <c r="J463" s="2470" t="s">
        <v>8543</v>
      </c>
      <c r="N463" s="413"/>
      <c r="AB463" s="413"/>
      <c r="AC463" s="2795"/>
    </row>
    <row r="464" spans="1:29" ht="12.75" customHeight="1" x14ac:dyDescent="0.2">
      <c r="A464" s="2029">
        <v>211</v>
      </c>
      <c r="B464" s="4995"/>
      <c r="C464" s="1766" t="str">
        <f t="shared" si="38"/>
        <v>Recuperación de CVs (2)</v>
      </c>
      <c r="D464" s="2453">
        <f t="shared" si="37"/>
        <v>4</v>
      </c>
      <c r="E464" s="129" t="s">
        <v>2879</v>
      </c>
      <c r="F464" s="425">
        <v>2</v>
      </c>
      <c r="G464" s="425">
        <f>COUNTIF(Principal!$C$32:$J$50,Tablas!E464)</f>
        <v>0</v>
      </c>
      <c r="H464" s="2461">
        <f t="shared" si="39"/>
        <v>0</v>
      </c>
      <c r="I464" s="2466"/>
      <c r="J464" s="2470" t="s">
        <v>8543</v>
      </c>
      <c r="N464" s="413"/>
      <c r="AB464" s="413"/>
      <c r="AC464" s="2795"/>
    </row>
    <row r="465" spans="1:29" ht="12.75" customHeight="1" x14ac:dyDescent="0.2">
      <c r="A465" s="2029">
        <v>211</v>
      </c>
      <c r="B465" s="4995"/>
      <c r="C465" s="1766" t="str">
        <f t="shared" si="38"/>
        <v>Recuperación de CVs (3)</v>
      </c>
      <c r="D465" s="2453">
        <f t="shared" si="37"/>
        <v>0</v>
      </c>
      <c r="E465" s="129" t="s">
        <v>2951</v>
      </c>
      <c r="F465" s="425"/>
      <c r="G465" s="425"/>
      <c r="H465" s="2461"/>
      <c r="I465" s="2466"/>
      <c r="J465" s="2470" t="s">
        <v>8543</v>
      </c>
      <c r="N465" s="413"/>
      <c r="AB465" s="413"/>
      <c r="AC465" s="2795"/>
    </row>
    <row r="466" spans="1:29" ht="12.75" customHeight="1" x14ac:dyDescent="0.2">
      <c r="A466" s="2029">
        <v>211</v>
      </c>
      <c r="B466" s="4995"/>
      <c r="C466" s="1766" t="str">
        <f t="shared" si="38"/>
        <v>Res. a la fatiga psíquica</v>
      </c>
      <c r="D466" s="2453">
        <f t="shared" si="37"/>
        <v>1</v>
      </c>
      <c r="E466" s="129" t="s">
        <v>2952</v>
      </c>
      <c r="F466" s="425">
        <v>1</v>
      </c>
      <c r="G466" s="425">
        <f>COUNTIF(Principal!$C$32:$J$50,Tablas!E466)</f>
        <v>0</v>
      </c>
      <c r="H466" s="2461">
        <f>G466*F466</f>
        <v>0</v>
      </c>
      <c r="I466" s="2466"/>
      <c r="J466" s="2470" t="s">
        <v>8543</v>
      </c>
      <c r="N466" s="413"/>
      <c r="AB466" s="413"/>
      <c r="AC466" s="2795"/>
    </row>
    <row r="467" spans="1:29" ht="12.75" customHeight="1" x14ac:dyDescent="0.2">
      <c r="A467" s="2029">
        <v>211</v>
      </c>
      <c r="B467" s="4995"/>
      <c r="C467" s="2451"/>
      <c r="D467" s="2455">
        <f t="shared" si="37"/>
        <v>19</v>
      </c>
      <c r="E467" s="2456" t="s">
        <v>2953</v>
      </c>
      <c r="F467" s="2457">
        <v>1</v>
      </c>
      <c r="G467" s="2457">
        <f>COUNTIF(Principal!$C$32:$J$50,Tablas!E467)</f>
        <v>0</v>
      </c>
      <c r="H467" s="2463">
        <f>G467*F467</f>
        <v>0</v>
      </c>
      <c r="I467" s="2467"/>
      <c r="J467" s="2471" t="s">
        <v>8543</v>
      </c>
      <c r="N467" s="413"/>
      <c r="AB467" s="413"/>
      <c r="AC467" s="2795"/>
    </row>
    <row r="468" spans="1:29" ht="12.75" customHeight="1" x14ac:dyDescent="0.2">
      <c r="A468" s="2029">
        <v>211</v>
      </c>
      <c r="B468" s="4995"/>
      <c r="C468" s="1766" t="str">
        <f t="shared" ref="C468:C490" si="40">VLOOKUP(A1,$D$468:$E$490,2,0)</f>
        <v>&gt; VENTAJAS TRASFONDO</v>
      </c>
      <c r="D468" s="2453">
        <f t="shared" ref="D468:D490" si="41">COUNTIF($E$468:$E$490,"&lt;="&amp;E468)</f>
        <v>1</v>
      </c>
      <c r="E468" s="129" t="s">
        <v>2988</v>
      </c>
      <c r="F468" s="495"/>
      <c r="G468" s="425"/>
      <c r="H468" s="263"/>
      <c r="I468" s="2459"/>
      <c r="J468" s="2470" t="s">
        <v>8544</v>
      </c>
      <c r="N468" s="413"/>
      <c r="AB468" s="413"/>
      <c r="AC468" s="2795"/>
    </row>
    <row r="469" spans="1:29" ht="12.75" customHeight="1" x14ac:dyDescent="0.2">
      <c r="A469" s="2029">
        <v>211</v>
      </c>
      <c r="B469" s="4995"/>
      <c r="C469" s="1766" t="str">
        <f t="shared" si="40"/>
        <v>Aliado poderoso (1)</v>
      </c>
      <c r="D469" s="2453">
        <f t="shared" si="41"/>
        <v>17</v>
      </c>
      <c r="E469" s="129" t="s">
        <v>2989</v>
      </c>
      <c r="F469" s="501">
        <v>1</v>
      </c>
      <c r="G469" s="425">
        <f>COUNTIF(Principal!$C$32:$J$50,Tablas!E469)</f>
        <v>0</v>
      </c>
      <c r="H469" s="263">
        <f t="shared" ref="H469:H490" si="42">G469*F469</f>
        <v>0</v>
      </c>
      <c r="I469" s="2459"/>
      <c r="J469" s="2470" t="s">
        <v>8544</v>
      </c>
      <c r="N469" s="413"/>
      <c r="AB469" s="413"/>
      <c r="AC469" s="2795"/>
    </row>
    <row r="470" spans="1:29" ht="12.75" customHeight="1" x14ac:dyDescent="0.2">
      <c r="A470" s="2029">
        <v>211</v>
      </c>
      <c r="B470" s="4995"/>
      <c r="C470" s="1766" t="str">
        <f t="shared" si="40"/>
        <v>Aliado poderoso (2)</v>
      </c>
      <c r="D470" s="2453">
        <f t="shared" si="41"/>
        <v>18</v>
      </c>
      <c r="E470" s="129" t="s">
        <v>2990</v>
      </c>
      <c r="F470" s="501">
        <v>2</v>
      </c>
      <c r="G470" s="425">
        <f>COUNTIF(Principal!$C$32:$J$50,Tablas!E470)</f>
        <v>0</v>
      </c>
      <c r="H470" s="263">
        <f t="shared" si="42"/>
        <v>0</v>
      </c>
      <c r="I470" s="2459"/>
      <c r="J470" s="2470" t="s">
        <v>8544</v>
      </c>
      <c r="N470" s="413"/>
      <c r="AB470" s="413"/>
      <c r="AC470" s="2795"/>
    </row>
    <row r="471" spans="1:29" ht="12.75" customHeight="1" x14ac:dyDescent="0.2">
      <c r="A471" s="2029">
        <v>211</v>
      </c>
      <c r="B471" s="4995"/>
      <c r="C471" s="1766" t="str">
        <f t="shared" si="40"/>
        <v>Aliado poderoso (3)</v>
      </c>
      <c r="D471" s="2453">
        <f t="shared" si="41"/>
        <v>16</v>
      </c>
      <c r="E471" s="129" t="s">
        <v>2991</v>
      </c>
      <c r="F471" s="501">
        <v>3</v>
      </c>
      <c r="G471" s="425">
        <f>COUNTIF(Principal!$C$32:$J$50,Tablas!E471)</f>
        <v>0</v>
      </c>
      <c r="H471" s="263">
        <f t="shared" si="42"/>
        <v>0</v>
      </c>
      <c r="I471" s="2459"/>
      <c r="J471" s="2470" t="s">
        <v>8544</v>
      </c>
      <c r="N471" s="413"/>
      <c r="AB471" s="413"/>
      <c r="AC471" s="2795"/>
    </row>
    <row r="472" spans="1:29" ht="12.75" customHeight="1" x14ac:dyDescent="0.2">
      <c r="A472" s="2029">
        <v>211</v>
      </c>
      <c r="B472" s="4995"/>
      <c r="C472" s="1766" t="str">
        <f t="shared" si="40"/>
        <v>Artefacto (1)</v>
      </c>
      <c r="D472" s="2453">
        <f t="shared" si="41"/>
        <v>11</v>
      </c>
      <c r="E472" s="129" t="s">
        <v>2992</v>
      </c>
      <c r="F472" s="425">
        <v>1</v>
      </c>
      <c r="G472" s="425">
        <f>COUNTIF(Principal!$C$32:$J$50,Tablas!E472)</f>
        <v>0</v>
      </c>
      <c r="H472" s="263">
        <f t="shared" si="42"/>
        <v>0</v>
      </c>
      <c r="I472" s="2459"/>
      <c r="J472" s="2470" t="s">
        <v>8544</v>
      </c>
      <c r="N472" s="413"/>
      <c r="AB472" s="413"/>
      <c r="AC472" s="2795"/>
    </row>
    <row r="473" spans="1:29" ht="12.75" customHeight="1" x14ac:dyDescent="0.2">
      <c r="A473" s="2029">
        <v>211</v>
      </c>
      <c r="B473" s="4995"/>
      <c r="C473" s="1766" t="str">
        <f t="shared" si="40"/>
        <v>Artefacto (2)</v>
      </c>
      <c r="D473" s="2453">
        <f t="shared" si="41"/>
        <v>12</v>
      </c>
      <c r="E473" s="129" t="s">
        <v>2993</v>
      </c>
      <c r="F473" s="425">
        <v>2</v>
      </c>
      <c r="G473" s="425">
        <f>COUNTIF(Principal!$C$32:$J$50,Tablas!E473)</f>
        <v>0</v>
      </c>
      <c r="H473" s="263">
        <f t="shared" si="42"/>
        <v>0</v>
      </c>
      <c r="I473" s="2459"/>
      <c r="J473" s="2470" t="s">
        <v>8544</v>
      </c>
      <c r="N473" s="413"/>
      <c r="AB473" s="413"/>
      <c r="AC473" s="2795"/>
    </row>
    <row r="474" spans="1:29" ht="12.75" customHeight="1" x14ac:dyDescent="0.2">
      <c r="A474" s="2029">
        <v>211</v>
      </c>
      <c r="B474" s="4995"/>
      <c r="C474" s="1766" t="str">
        <f t="shared" si="40"/>
        <v>Artefacto (3)</v>
      </c>
      <c r="D474" s="2453">
        <f t="shared" si="41"/>
        <v>13</v>
      </c>
      <c r="E474" s="129" t="s">
        <v>2994</v>
      </c>
      <c r="F474" s="425">
        <v>3</v>
      </c>
      <c r="G474" s="425">
        <f>COUNTIF(Principal!$C$32:$J$50,Tablas!E474)</f>
        <v>0</v>
      </c>
      <c r="H474" s="263">
        <f t="shared" si="42"/>
        <v>0</v>
      </c>
      <c r="I474" s="2459"/>
      <c r="J474" s="2470" t="s">
        <v>8544</v>
      </c>
      <c r="N474" s="413"/>
      <c r="AB474" s="413"/>
      <c r="AC474" s="2795"/>
    </row>
    <row r="475" spans="1:29" ht="12.75" customHeight="1" x14ac:dyDescent="0.2">
      <c r="A475" s="2029">
        <v>211</v>
      </c>
      <c r="B475" s="4995"/>
      <c r="C475" s="1766" t="str">
        <f t="shared" si="40"/>
        <v>Contactos (1)</v>
      </c>
      <c r="D475" s="2453">
        <f t="shared" si="41"/>
        <v>5</v>
      </c>
      <c r="E475" s="129" t="s">
        <v>2995</v>
      </c>
      <c r="F475" s="425">
        <v>1</v>
      </c>
      <c r="G475" s="425">
        <f>COUNTIF(Principal!$C$32:$J$50,Tablas!E475)</f>
        <v>0</v>
      </c>
      <c r="H475" s="263">
        <f t="shared" si="42"/>
        <v>0</v>
      </c>
      <c r="I475" s="2459"/>
      <c r="J475" s="2470" t="s">
        <v>8544</v>
      </c>
      <c r="N475" s="413"/>
      <c r="AB475" s="413"/>
      <c r="AC475" s="2795"/>
    </row>
    <row r="476" spans="1:29" ht="12.75" customHeight="1" x14ac:dyDescent="0.2">
      <c r="A476" s="2029">
        <v>211</v>
      </c>
      <c r="B476" s="4995"/>
      <c r="C476" s="1766" t="str">
        <f t="shared" si="40"/>
        <v>Contactos (2)</v>
      </c>
      <c r="D476" s="2453">
        <f t="shared" si="41"/>
        <v>6</v>
      </c>
      <c r="E476" s="129" t="s">
        <v>2996</v>
      </c>
      <c r="F476" s="425">
        <v>2</v>
      </c>
      <c r="G476" s="425">
        <f>COUNTIF(Principal!$C$32:$J$50,Tablas!E476)</f>
        <v>0</v>
      </c>
      <c r="H476" s="263">
        <f t="shared" si="42"/>
        <v>0</v>
      </c>
      <c r="I476" s="2459"/>
      <c r="J476" s="2470" t="s">
        <v>8544</v>
      </c>
      <c r="N476" s="413"/>
      <c r="AB476" s="413"/>
      <c r="AC476" s="2795"/>
    </row>
    <row r="477" spans="1:29" ht="12.75" customHeight="1" x14ac:dyDescent="0.2">
      <c r="A477" s="2029">
        <v>211</v>
      </c>
      <c r="B477" s="4995"/>
      <c r="C477" s="1766" t="str">
        <f t="shared" si="40"/>
        <v>Contactos (3)</v>
      </c>
      <c r="D477" s="2453">
        <f t="shared" si="41"/>
        <v>7</v>
      </c>
      <c r="E477" s="129" t="s">
        <v>2997</v>
      </c>
      <c r="F477" s="425">
        <v>3</v>
      </c>
      <c r="G477" s="425">
        <f>COUNTIF(Principal!$C$32:$J$50,Tablas!E477)</f>
        <v>0</v>
      </c>
      <c r="H477" s="263">
        <f t="shared" si="42"/>
        <v>0</v>
      </c>
      <c r="I477" s="2459"/>
      <c r="J477" s="2470" t="s">
        <v>8544</v>
      </c>
      <c r="N477" s="413"/>
      <c r="AB477" s="413"/>
      <c r="AC477" s="2795"/>
    </row>
    <row r="478" spans="1:29" ht="12.75" customHeight="1" x14ac:dyDescent="0.2">
      <c r="A478" s="2029">
        <v>211</v>
      </c>
      <c r="B478" s="4995"/>
      <c r="C478" s="1766" t="str">
        <f t="shared" si="40"/>
        <v>Curtido (1)</v>
      </c>
      <c r="D478" s="2453">
        <f t="shared" si="41"/>
        <v>14</v>
      </c>
      <c r="E478" s="129" t="s">
        <v>2998</v>
      </c>
      <c r="F478" s="425">
        <v>1</v>
      </c>
      <c r="G478" s="425">
        <f>COUNTIF(Principal!$C$32:$J$50,Tablas!E478)</f>
        <v>0</v>
      </c>
      <c r="H478" s="263">
        <f t="shared" si="42"/>
        <v>0</v>
      </c>
      <c r="I478" s="2459"/>
      <c r="J478" s="2470" t="s">
        <v>8544</v>
      </c>
      <c r="N478" s="413"/>
      <c r="AB478" s="413"/>
      <c r="AC478" s="2795"/>
    </row>
    <row r="479" spans="1:29" ht="12.75" customHeight="1" x14ac:dyDescent="0.2">
      <c r="A479" s="2029">
        <v>211</v>
      </c>
      <c r="B479" s="4995"/>
      <c r="C479" s="1766" t="str">
        <f t="shared" si="40"/>
        <v>Curtido (2)</v>
      </c>
      <c r="D479" s="2453">
        <f t="shared" si="41"/>
        <v>15</v>
      </c>
      <c r="E479" s="129" t="s">
        <v>2999</v>
      </c>
      <c r="F479" s="425">
        <v>2</v>
      </c>
      <c r="G479" s="425">
        <f>COUNTIF(Principal!$C$32:$J$50,Tablas!E479)</f>
        <v>0</v>
      </c>
      <c r="H479" s="263">
        <f t="shared" si="42"/>
        <v>0</v>
      </c>
      <c r="I479" s="2459"/>
      <c r="J479" s="2470" t="s">
        <v>8544</v>
      </c>
      <c r="N479" s="413"/>
      <c r="AB479" s="413"/>
      <c r="AC479" s="2795"/>
    </row>
    <row r="480" spans="1:29" ht="12.75" customHeight="1" x14ac:dyDescent="0.2">
      <c r="A480" s="2029">
        <v>211</v>
      </c>
      <c r="B480" s="4995"/>
      <c r="C480" s="1766" t="str">
        <f t="shared" si="40"/>
        <v>Curtido (3)</v>
      </c>
      <c r="D480" s="2453">
        <f t="shared" si="41"/>
        <v>21</v>
      </c>
      <c r="E480" s="129" t="s">
        <v>3000</v>
      </c>
      <c r="F480" s="425">
        <v>1</v>
      </c>
      <c r="G480" s="425">
        <f>COUNTIF(Principal!$C$32:$J$50,Tablas!E480)</f>
        <v>0</v>
      </c>
      <c r="H480" s="263">
        <f t="shared" si="42"/>
        <v>0</v>
      </c>
      <c r="I480" s="2459"/>
      <c r="J480" s="2470" t="s">
        <v>8544</v>
      </c>
      <c r="N480" s="413"/>
      <c r="AB480" s="413"/>
      <c r="AC480" s="2795"/>
    </row>
    <row r="481" spans="1:29" ht="12.75" customHeight="1" x14ac:dyDescent="0.2">
      <c r="A481" s="2029">
        <v>211</v>
      </c>
      <c r="B481" s="4995"/>
      <c r="C481" s="1766" t="str">
        <f t="shared" si="40"/>
        <v>Fama (1)</v>
      </c>
      <c r="D481" s="2453">
        <f t="shared" si="41"/>
        <v>23</v>
      </c>
      <c r="E481" s="129" t="s">
        <v>3001</v>
      </c>
      <c r="F481" s="425">
        <v>2</v>
      </c>
      <c r="G481" s="425">
        <f>COUNTIF(Principal!$C$32:$J$50,Tablas!E481)</f>
        <v>0</v>
      </c>
      <c r="H481" s="263">
        <f t="shared" si="42"/>
        <v>0</v>
      </c>
      <c r="I481" s="2459"/>
      <c r="J481" s="2470" t="s">
        <v>8544</v>
      </c>
      <c r="N481" s="413"/>
      <c r="AB481" s="413"/>
      <c r="AC481" s="2795"/>
    </row>
    <row r="482" spans="1:29" ht="12.75" customHeight="1" x14ac:dyDescent="0.2">
      <c r="A482" s="2029">
        <v>211</v>
      </c>
      <c r="B482" s="4995"/>
      <c r="C482" s="1766" t="str">
        <f t="shared" si="40"/>
        <v>Fama (2)</v>
      </c>
      <c r="D482" s="2453">
        <f t="shared" si="41"/>
        <v>19</v>
      </c>
      <c r="E482" s="129" t="s">
        <v>3002</v>
      </c>
      <c r="F482" s="425">
        <v>1</v>
      </c>
      <c r="G482" s="425">
        <f>COUNTIF(Principal!$C$32:$J$50,Tablas!E482)</f>
        <v>0</v>
      </c>
      <c r="H482" s="263">
        <f t="shared" si="42"/>
        <v>0</v>
      </c>
      <c r="I482" s="2459"/>
      <c r="J482" s="2470" t="s">
        <v>8544</v>
      </c>
      <c r="N482" s="413"/>
      <c r="AB482" s="413"/>
      <c r="AC482" s="2795"/>
    </row>
    <row r="483" spans="1:29" ht="12.75" customHeight="1" x14ac:dyDescent="0.2">
      <c r="A483" s="2029">
        <v>211</v>
      </c>
      <c r="B483" s="4995"/>
      <c r="C483" s="1766" t="str">
        <f t="shared" si="40"/>
        <v>Fondos iniciales (10 000 mo)</v>
      </c>
      <c r="D483" s="2453">
        <f t="shared" si="41"/>
        <v>20</v>
      </c>
      <c r="E483" s="129" t="s">
        <v>3003</v>
      </c>
      <c r="F483" s="425">
        <v>2</v>
      </c>
      <c r="G483" s="425">
        <f>COUNTIF(Principal!$C$32:$J$50,Tablas!E483)</f>
        <v>0</v>
      </c>
      <c r="H483" s="263">
        <f t="shared" si="42"/>
        <v>0</v>
      </c>
      <c r="I483" s="2459"/>
      <c r="J483" s="2470" t="s">
        <v>8544</v>
      </c>
      <c r="N483" s="413"/>
      <c r="AB483" s="413"/>
      <c r="AC483" s="2795"/>
    </row>
    <row r="484" spans="1:29" ht="12.75" customHeight="1" x14ac:dyDescent="0.2">
      <c r="A484" s="2029">
        <v>211</v>
      </c>
      <c r="B484" s="4995"/>
      <c r="C484" s="1766" t="str">
        <f t="shared" si="40"/>
        <v>Fondos iniciales (2 000 mo)</v>
      </c>
      <c r="D484" s="2453">
        <f t="shared" si="41"/>
        <v>8</v>
      </c>
      <c r="E484" s="129" t="s">
        <v>3004</v>
      </c>
      <c r="F484" s="425">
        <v>1</v>
      </c>
      <c r="G484" s="425">
        <f>COUNTIF(Principal!$C$32:$J$50,Tablas!E484)</f>
        <v>0</v>
      </c>
      <c r="H484" s="263">
        <f t="shared" si="42"/>
        <v>0</v>
      </c>
      <c r="I484" s="2459"/>
      <c r="J484" s="2470" t="s">
        <v>8544</v>
      </c>
      <c r="N484" s="413"/>
      <c r="AB484" s="413"/>
      <c r="AC484" s="2795"/>
    </row>
    <row r="485" spans="1:29" ht="12.75" customHeight="1" x14ac:dyDescent="0.2">
      <c r="A485" s="2029">
        <v>211</v>
      </c>
      <c r="B485" s="4995"/>
      <c r="C485" s="1766" t="str">
        <f t="shared" si="40"/>
        <v>Fondos iniciales (5 000 mo)</v>
      </c>
      <c r="D485" s="2453">
        <f t="shared" si="41"/>
        <v>9</v>
      </c>
      <c r="E485" s="129" t="s">
        <v>3005</v>
      </c>
      <c r="F485" s="425">
        <v>2</v>
      </c>
      <c r="G485" s="425">
        <f>COUNTIF(Principal!$C$32:$J$50,Tablas!E485)</f>
        <v>0</v>
      </c>
      <c r="H485" s="263">
        <f t="shared" si="42"/>
        <v>0</v>
      </c>
      <c r="I485" s="2459"/>
      <c r="J485" s="2470" t="s">
        <v>8544</v>
      </c>
      <c r="N485" s="413"/>
      <c r="AB485" s="413"/>
      <c r="AC485" s="2795"/>
    </row>
    <row r="486" spans="1:29" ht="12.75" customHeight="1" x14ac:dyDescent="0.2">
      <c r="A486" s="2029">
        <v>211</v>
      </c>
      <c r="B486" s="4995"/>
      <c r="C486" s="1766" t="str">
        <f t="shared" si="40"/>
        <v>Posición social (1)</v>
      </c>
      <c r="D486" s="2453">
        <f t="shared" si="41"/>
        <v>10</v>
      </c>
      <c r="E486" s="129" t="s">
        <v>3006</v>
      </c>
      <c r="F486" s="425">
        <v>3</v>
      </c>
      <c r="G486" s="425">
        <f>COUNTIF(Principal!$C$32:$J$50,Tablas!E486)</f>
        <v>0</v>
      </c>
      <c r="H486" s="263">
        <f t="shared" si="42"/>
        <v>0</v>
      </c>
      <c r="I486" s="2459"/>
      <c r="J486" s="2470" t="s">
        <v>8544</v>
      </c>
      <c r="N486" s="413"/>
      <c r="AB486" s="413"/>
      <c r="AC486" s="2795"/>
    </row>
    <row r="487" spans="1:29" ht="12.75" customHeight="1" x14ac:dyDescent="0.2">
      <c r="A487" s="2029">
        <v>211</v>
      </c>
      <c r="B487" s="4995"/>
      <c r="C487" s="1766" t="str">
        <f t="shared" si="40"/>
        <v>Posición social (2)</v>
      </c>
      <c r="D487" s="2453">
        <f t="shared" si="41"/>
        <v>2</v>
      </c>
      <c r="E487" s="129" t="s">
        <v>3007</v>
      </c>
      <c r="F487" s="425">
        <v>1</v>
      </c>
      <c r="G487" s="425">
        <f>COUNTIF(Principal!$C$32:$J$50,Tablas!E487)</f>
        <v>0</v>
      </c>
      <c r="H487" s="263">
        <f t="shared" si="42"/>
        <v>0</v>
      </c>
      <c r="I487" s="2459"/>
      <c r="J487" s="2470" t="s">
        <v>8544</v>
      </c>
      <c r="N487" s="413"/>
      <c r="AB487" s="413"/>
      <c r="AC487" s="2795"/>
    </row>
    <row r="488" spans="1:29" ht="12.75" customHeight="1" x14ac:dyDescent="0.2">
      <c r="A488" s="2029">
        <v>211</v>
      </c>
      <c r="B488" s="4995"/>
      <c r="C488" s="1766" t="str">
        <f t="shared" si="40"/>
        <v>Raices culturales</v>
      </c>
      <c r="D488" s="2453">
        <f t="shared" si="41"/>
        <v>3</v>
      </c>
      <c r="E488" s="129" t="s">
        <v>3008</v>
      </c>
      <c r="F488" s="425">
        <v>2</v>
      </c>
      <c r="G488" s="425">
        <f>COUNTIF(Principal!$C$32:$J$50,Tablas!E488)</f>
        <v>0</v>
      </c>
      <c r="H488" s="263">
        <f t="shared" si="42"/>
        <v>0</v>
      </c>
      <c r="I488" s="2459"/>
      <c r="J488" s="2470" t="s">
        <v>8544</v>
      </c>
      <c r="N488" s="413"/>
      <c r="AB488" s="413"/>
      <c r="AC488" s="2795"/>
    </row>
    <row r="489" spans="1:29" ht="12.75" customHeight="1" x14ac:dyDescent="0.2">
      <c r="A489" s="2029">
        <v>211</v>
      </c>
      <c r="B489" s="4995"/>
      <c r="C489" s="1766" t="str">
        <f t="shared" si="40"/>
        <v>Sangre Antigua</v>
      </c>
      <c r="D489" s="2453">
        <f t="shared" si="41"/>
        <v>4</v>
      </c>
      <c r="E489" s="129" t="s">
        <v>3009</v>
      </c>
      <c r="F489" s="425">
        <v>3</v>
      </c>
      <c r="G489" s="425">
        <f>COUNTIF(Principal!$C$32:$J$50,Tablas!E489)</f>
        <v>0</v>
      </c>
      <c r="H489" s="263">
        <f t="shared" si="42"/>
        <v>0</v>
      </c>
      <c r="I489" s="2459"/>
      <c r="J489" s="2470" t="s">
        <v>8544</v>
      </c>
      <c r="N489" s="413"/>
      <c r="AB489" s="413"/>
      <c r="AC489" s="2795"/>
    </row>
    <row r="490" spans="1:29" ht="12.75" customHeight="1" x14ac:dyDescent="0.2">
      <c r="A490" s="2029">
        <v>211</v>
      </c>
      <c r="B490" s="4995"/>
      <c r="C490" s="2451" t="str">
        <f t="shared" si="40"/>
        <v>Santo</v>
      </c>
      <c r="D490" s="2455">
        <f t="shared" si="41"/>
        <v>22</v>
      </c>
      <c r="E490" s="2456" t="s">
        <v>3010</v>
      </c>
      <c r="F490" s="2457">
        <v>2</v>
      </c>
      <c r="G490" s="2457">
        <f>COUNTIF(Principal!$C$32:$J$50,Tablas!E490)</f>
        <v>0</v>
      </c>
      <c r="H490" s="2017">
        <f t="shared" si="42"/>
        <v>0</v>
      </c>
      <c r="I490" s="2460"/>
      <c r="J490" s="2471" t="s">
        <v>8544</v>
      </c>
      <c r="N490" s="413"/>
      <c r="AB490" s="413"/>
      <c r="AC490" s="2795"/>
    </row>
    <row r="491" spans="1:29" ht="12.75" customHeight="1" x14ac:dyDescent="0.2">
      <c r="A491" s="2029">
        <v>211</v>
      </c>
      <c r="B491" s="4995"/>
      <c r="C491" s="1766"/>
      <c r="D491" s="2453">
        <f t="shared" ref="D491:D535" si="43">COUNTIF($E$491:$E$535,"&lt;="&amp;E491)-COUNTIF($E$491:$E$535,"*&gt;*")</f>
        <v>0</v>
      </c>
      <c r="E491" s="129" t="s">
        <v>2880</v>
      </c>
      <c r="F491" s="425"/>
      <c r="G491" s="425"/>
      <c r="H491" s="2461"/>
      <c r="I491" s="2459"/>
      <c r="J491" s="2470" t="s">
        <v>3412</v>
      </c>
      <c r="N491" s="413"/>
      <c r="AB491" s="413"/>
      <c r="AC491" s="2795"/>
    </row>
    <row r="492" spans="1:29" ht="12.75" customHeight="1" x14ac:dyDescent="0.2">
      <c r="A492" s="2029">
        <v>211</v>
      </c>
      <c r="B492" s="4995"/>
      <c r="C492" s="1766" t="str">
        <f>E491</f>
        <v>&gt; DESVENTAJAS COMUNES</v>
      </c>
      <c r="D492" s="2453">
        <f t="shared" si="43"/>
        <v>1</v>
      </c>
      <c r="E492" s="2474" t="s">
        <v>9274</v>
      </c>
      <c r="F492" s="425">
        <v>-1</v>
      </c>
      <c r="G492" s="425">
        <f>COUNTIF(Principal!$C$32:$J$50,Tablas!E492)</f>
        <v>0</v>
      </c>
      <c r="H492" s="2461">
        <f t="shared" ref="H492:H526" si="44">G492*F492</f>
        <v>0</v>
      </c>
      <c r="I492" s="2466">
        <v>1</v>
      </c>
      <c r="J492" s="2470" t="s">
        <v>3412</v>
      </c>
      <c r="N492" s="413"/>
      <c r="AB492" s="413"/>
      <c r="AC492" s="2795"/>
    </row>
    <row r="493" spans="1:29" ht="12.75" customHeight="1" x14ac:dyDescent="0.2">
      <c r="A493" s="2029">
        <v>211</v>
      </c>
      <c r="B493" s="4995"/>
      <c r="C493" s="1766" t="str">
        <f t="shared" ref="C493:C535" si="45">VLOOKUP(A1,$D$491:$E$535,2,0)</f>
        <v>-2 a característica: AGI</v>
      </c>
      <c r="D493" s="2453">
        <f t="shared" si="43"/>
        <v>2</v>
      </c>
      <c r="E493" s="2474" t="s">
        <v>9275</v>
      </c>
      <c r="F493" s="425">
        <v>-1</v>
      </c>
      <c r="G493" s="425">
        <f>COUNTIF(Principal!$C$32:$J$50,Tablas!E493)</f>
        <v>0</v>
      </c>
      <c r="H493" s="2461">
        <f t="shared" si="44"/>
        <v>0</v>
      </c>
      <c r="I493" s="2466">
        <v>1</v>
      </c>
      <c r="J493" s="2470" t="s">
        <v>3412</v>
      </c>
      <c r="N493" s="413"/>
      <c r="AB493" s="413"/>
      <c r="AC493" s="2795"/>
    </row>
    <row r="494" spans="1:29" ht="12.75" customHeight="1" x14ac:dyDescent="0.2">
      <c r="A494" s="2029">
        <v>211</v>
      </c>
      <c r="B494" s="4995"/>
      <c r="C494" s="1766" t="str">
        <f t="shared" si="45"/>
        <v>-2 a característica: CON</v>
      </c>
      <c r="D494" s="2453">
        <f t="shared" si="43"/>
        <v>3</v>
      </c>
      <c r="E494" s="2474" t="s">
        <v>9276</v>
      </c>
      <c r="F494" s="425">
        <v>-1</v>
      </c>
      <c r="G494" s="425">
        <f>COUNTIF(Principal!$C$32:$J$50,Tablas!E494)</f>
        <v>0</v>
      </c>
      <c r="H494" s="2461">
        <f t="shared" si="44"/>
        <v>0</v>
      </c>
      <c r="I494" s="2466">
        <v>1</v>
      </c>
      <c r="J494" s="2470" t="s">
        <v>3412</v>
      </c>
      <c r="N494" s="413"/>
      <c r="AB494" s="413"/>
      <c r="AC494" s="2795"/>
    </row>
    <row r="495" spans="1:29" ht="12.75" customHeight="1" x14ac:dyDescent="0.2">
      <c r="A495" s="2029">
        <v>211</v>
      </c>
      <c r="B495" s="4995"/>
      <c r="C495" s="1766" t="str">
        <f t="shared" si="45"/>
        <v>-2 a característica: DES</v>
      </c>
      <c r="D495" s="2453">
        <f t="shared" si="43"/>
        <v>4</v>
      </c>
      <c r="E495" s="2474" t="s">
        <v>9277</v>
      </c>
      <c r="F495" s="425">
        <v>-1</v>
      </c>
      <c r="G495" s="425">
        <f>COUNTIF(Principal!$C$32:$J$50,Tablas!E495)</f>
        <v>0</v>
      </c>
      <c r="H495" s="2461">
        <f t="shared" si="44"/>
        <v>0</v>
      </c>
      <c r="I495" s="2466">
        <v>1</v>
      </c>
      <c r="J495" s="2470" t="s">
        <v>3412</v>
      </c>
      <c r="N495" s="413"/>
      <c r="AB495" s="413"/>
      <c r="AC495" s="2795"/>
    </row>
    <row r="496" spans="1:29" ht="12.75" customHeight="1" x14ac:dyDescent="0.2">
      <c r="A496" s="2029">
        <v>211</v>
      </c>
      <c r="B496" s="4995"/>
      <c r="C496" s="1766" t="str">
        <f t="shared" si="45"/>
        <v>-2 a característica: FUE</v>
      </c>
      <c r="D496" s="2453">
        <f t="shared" si="43"/>
        <v>5</v>
      </c>
      <c r="E496" s="2474" t="s">
        <v>9278</v>
      </c>
      <c r="F496" s="425">
        <v>-1</v>
      </c>
      <c r="G496" s="425">
        <f>COUNTIF(Principal!$C$32:$J$50,Tablas!E496)</f>
        <v>0</v>
      </c>
      <c r="H496" s="2461">
        <f t="shared" si="44"/>
        <v>0</v>
      </c>
      <c r="I496" s="2466">
        <v>1</v>
      </c>
      <c r="J496" s="2470" t="s">
        <v>3412</v>
      </c>
      <c r="N496" s="413"/>
      <c r="AB496" s="413"/>
      <c r="AC496" s="2795"/>
    </row>
    <row r="497" spans="1:29" ht="12.75" customHeight="1" x14ac:dyDescent="0.2">
      <c r="A497" s="2029">
        <v>211</v>
      </c>
      <c r="B497" s="4995"/>
      <c r="C497" s="1766" t="str">
        <f t="shared" si="45"/>
        <v>-2 a característica: INT</v>
      </c>
      <c r="D497" s="2453">
        <f t="shared" si="43"/>
        <v>6</v>
      </c>
      <c r="E497" s="2474" t="s">
        <v>9279</v>
      </c>
      <c r="F497" s="425">
        <v>-1</v>
      </c>
      <c r="G497" s="425">
        <f>COUNTIF(Principal!$C$32:$J$50,Tablas!E497)</f>
        <v>0</v>
      </c>
      <c r="H497" s="2461">
        <f t="shared" si="44"/>
        <v>0</v>
      </c>
      <c r="I497" s="2466">
        <v>1</v>
      </c>
      <c r="J497" s="2470" t="s">
        <v>3412</v>
      </c>
      <c r="N497" s="413"/>
      <c r="AB497" s="413"/>
      <c r="AC497" s="2795"/>
    </row>
    <row r="498" spans="1:29" ht="12.75" customHeight="1" x14ac:dyDescent="0.2">
      <c r="A498" s="2029">
        <v>211</v>
      </c>
      <c r="B498" s="4995"/>
      <c r="C498" s="1766" t="str">
        <f t="shared" si="45"/>
        <v>-2 a característica: PER</v>
      </c>
      <c r="D498" s="2453">
        <f t="shared" si="43"/>
        <v>7</v>
      </c>
      <c r="E498" s="2474" t="s">
        <v>9280</v>
      </c>
      <c r="F498" s="425">
        <v>-1</v>
      </c>
      <c r="G498" s="425">
        <f>COUNTIF(Principal!$C$32:$J$50,Tablas!E498)</f>
        <v>0</v>
      </c>
      <c r="H498" s="2461">
        <f t="shared" si="44"/>
        <v>0</v>
      </c>
      <c r="I498" s="2466">
        <v>1</v>
      </c>
      <c r="J498" s="2470" t="s">
        <v>3412</v>
      </c>
      <c r="N498" s="413"/>
      <c r="AB498" s="413"/>
      <c r="AC498" s="2795"/>
    </row>
    <row r="499" spans="1:29" ht="12.75" customHeight="1" x14ac:dyDescent="0.2">
      <c r="A499" s="2029">
        <v>211</v>
      </c>
      <c r="B499" s="4995"/>
      <c r="C499" s="1766" t="str">
        <f t="shared" si="45"/>
        <v>-2 a característica: POD</v>
      </c>
      <c r="D499" s="2453">
        <f t="shared" si="43"/>
        <v>8</v>
      </c>
      <c r="E499" s="2474" t="s">
        <v>9281</v>
      </c>
      <c r="F499" s="425">
        <v>-1</v>
      </c>
      <c r="G499" s="425">
        <f>COUNTIF(Principal!$C$32:$J$50,Tablas!E499)</f>
        <v>0</v>
      </c>
      <c r="H499" s="2461">
        <f t="shared" si="44"/>
        <v>0</v>
      </c>
      <c r="I499" s="2466">
        <v>1</v>
      </c>
      <c r="J499" s="2470" t="s">
        <v>3412</v>
      </c>
      <c r="N499" s="413"/>
      <c r="AB499" s="413"/>
      <c r="AC499" s="2795"/>
    </row>
    <row r="500" spans="1:29" ht="12.75" customHeight="1" x14ac:dyDescent="0.2">
      <c r="A500" s="2029">
        <v>211</v>
      </c>
      <c r="B500" s="4995"/>
      <c r="C500" s="1766" t="str">
        <f t="shared" si="45"/>
        <v>-2 a característica: VOL</v>
      </c>
      <c r="D500" s="2453">
        <f t="shared" si="43"/>
        <v>31</v>
      </c>
      <c r="E500" s="129" t="s">
        <v>2881</v>
      </c>
      <c r="F500" s="425">
        <v>-1</v>
      </c>
      <c r="G500" s="425">
        <f>COUNTIF(Principal!$C$32:$J$50,Tablas!E500)</f>
        <v>0</v>
      </c>
      <c r="H500" s="2461">
        <f t="shared" si="44"/>
        <v>0</v>
      </c>
      <c r="I500" s="2466">
        <v>2</v>
      </c>
      <c r="J500" s="2470" t="s">
        <v>3412</v>
      </c>
      <c r="N500" s="413"/>
      <c r="AB500" s="413"/>
      <c r="AC500" s="2795"/>
    </row>
    <row r="501" spans="1:29" ht="12.75" customHeight="1" x14ac:dyDescent="0.2">
      <c r="A501" s="2029">
        <v>211</v>
      </c>
      <c r="B501" s="4995"/>
      <c r="C501" s="1766" t="str">
        <f t="shared" si="45"/>
        <v>Adicción o vicio grave</v>
      </c>
      <c r="D501" s="2453">
        <f t="shared" si="43"/>
        <v>36</v>
      </c>
      <c r="E501" s="129" t="s">
        <v>2310</v>
      </c>
      <c r="F501" s="425">
        <v>-1</v>
      </c>
      <c r="G501" s="425">
        <f>COUNTIF(Principal!$C$32:$J$50,Tablas!E501)</f>
        <v>0</v>
      </c>
      <c r="H501" s="2461">
        <f t="shared" si="44"/>
        <v>0</v>
      </c>
      <c r="I501" s="2466">
        <v>1</v>
      </c>
      <c r="J501" s="2470" t="s">
        <v>3412</v>
      </c>
      <c r="N501" s="413"/>
      <c r="AB501" s="413"/>
      <c r="AC501" s="2795"/>
    </row>
    <row r="502" spans="1:29" ht="12.75" customHeight="1" x14ac:dyDescent="0.2">
      <c r="A502" s="2029">
        <v>211</v>
      </c>
      <c r="B502" s="4995"/>
      <c r="C502" s="1766" t="str">
        <f t="shared" si="45"/>
        <v>Alergia grave</v>
      </c>
      <c r="D502" s="2453">
        <f t="shared" si="43"/>
        <v>42</v>
      </c>
      <c r="E502" s="129" t="s">
        <v>2882</v>
      </c>
      <c r="F502" s="425">
        <v>-1</v>
      </c>
      <c r="G502" s="425">
        <f>COUNTIF(Principal!$C$32:$J$50,Tablas!E502)</f>
        <v>0</v>
      </c>
      <c r="H502" s="2461">
        <f t="shared" si="44"/>
        <v>0</v>
      </c>
      <c r="I502" s="2466">
        <v>1</v>
      </c>
      <c r="J502" s="2470" t="s">
        <v>3412</v>
      </c>
      <c r="N502" s="413"/>
      <c r="AB502" s="413"/>
      <c r="AC502" s="2795"/>
    </row>
    <row r="503" spans="1:29" ht="12.75" customHeight="1" x14ac:dyDescent="0.2">
      <c r="A503" s="2029">
        <v>211</v>
      </c>
      <c r="B503" s="4995"/>
      <c r="C503" s="1766" t="str">
        <f t="shared" si="45"/>
        <v>Aprendizaje lento (1)</v>
      </c>
      <c r="D503" s="2453">
        <f t="shared" si="43"/>
        <v>24</v>
      </c>
      <c r="E503" s="129" t="s">
        <v>2883</v>
      </c>
      <c r="F503" s="425">
        <v>-1</v>
      </c>
      <c r="G503" s="425">
        <f>COUNTIF(Principal!$C$32:$J$50,Tablas!E503)</f>
        <v>0</v>
      </c>
      <c r="H503" s="2461">
        <f t="shared" si="44"/>
        <v>0</v>
      </c>
      <c r="I503" s="2466"/>
      <c r="J503" s="2470" t="s">
        <v>3412</v>
      </c>
      <c r="N503" s="413"/>
      <c r="AB503" s="413"/>
      <c r="AC503" s="2795"/>
    </row>
    <row r="504" spans="1:29" ht="12.75" customHeight="1" x14ac:dyDescent="0.2">
      <c r="A504" s="2029">
        <v>211</v>
      </c>
      <c r="B504" s="4995"/>
      <c r="C504" s="1766" t="str">
        <f t="shared" si="45"/>
        <v>Aprendizaje lento (2)</v>
      </c>
      <c r="D504" s="2453">
        <f t="shared" si="43"/>
        <v>41</v>
      </c>
      <c r="E504" s="129" t="s">
        <v>2884</v>
      </c>
      <c r="F504" s="425">
        <v>-1</v>
      </c>
      <c r="G504" s="425">
        <f>COUNTIF(Principal!$C$32:$J$50,Tablas!E504)</f>
        <v>0</v>
      </c>
      <c r="H504" s="2461">
        <f t="shared" si="44"/>
        <v>0</v>
      </c>
      <c r="I504" s="2466">
        <v>1</v>
      </c>
      <c r="J504" s="2470" t="s">
        <v>3412</v>
      </c>
      <c r="N504" s="413"/>
      <c r="AB504" s="413"/>
      <c r="AC504" s="2795"/>
    </row>
    <row r="505" spans="1:29" ht="12.75" customHeight="1" x14ac:dyDescent="0.2">
      <c r="A505" s="2029">
        <v>211</v>
      </c>
      <c r="B505" s="4995"/>
      <c r="C505" s="1766" t="str">
        <f t="shared" si="45"/>
        <v>Arma exclusiva</v>
      </c>
      <c r="D505" s="2453">
        <f t="shared" si="43"/>
        <v>40</v>
      </c>
      <c r="E505" s="129" t="s">
        <v>2885</v>
      </c>
      <c r="F505" s="425">
        <v>-1</v>
      </c>
      <c r="G505" s="425">
        <f>COUNTIF(Principal!$C$32:$J$50,Tablas!E505)</f>
        <v>0</v>
      </c>
      <c r="H505" s="2461">
        <f t="shared" si="44"/>
        <v>0</v>
      </c>
      <c r="I505" s="2466"/>
      <c r="J505" s="2470" t="s">
        <v>3412</v>
      </c>
      <c r="N505" s="413"/>
      <c r="AB505" s="413"/>
      <c r="AC505" s="2795"/>
    </row>
    <row r="506" spans="1:29" ht="12.75" customHeight="1" x14ac:dyDescent="0.2">
      <c r="A506" s="2029">
        <v>211</v>
      </c>
      <c r="B506" s="4995"/>
      <c r="C506" s="1766" t="str">
        <f t="shared" si="45"/>
        <v>Aspecto desagradable</v>
      </c>
      <c r="D506" s="2453">
        <f t="shared" si="43"/>
        <v>23</v>
      </c>
      <c r="E506" s="129" t="s">
        <v>2886</v>
      </c>
      <c r="F506" s="425">
        <v>-1</v>
      </c>
      <c r="G506" s="425">
        <f>COUNTIF(Principal!$C$32:$J$50,Tablas!E506)</f>
        <v>0</v>
      </c>
      <c r="H506" s="2461">
        <f t="shared" si="44"/>
        <v>0</v>
      </c>
      <c r="I506" s="2466"/>
      <c r="J506" s="2470" t="s">
        <v>3412</v>
      </c>
      <c r="N506" s="413"/>
      <c r="AB506" s="413"/>
      <c r="AC506" s="2795"/>
    </row>
    <row r="507" spans="1:29" ht="12.75" customHeight="1" x14ac:dyDescent="0.2">
      <c r="A507" s="2029">
        <v>211</v>
      </c>
      <c r="B507" s="4995"/>
      <c r="C507" s="1766" t="str">
        <f t="shared" si="45"/>
        <v>Ciego</v>
      </c>
      <c r="D507" s="2453">
        <f t="shared" si="43"/>
        <v>17</v>
      </c>
      <c r="E507" s="129" t="s">
        <v>2887</v>
      </c>
      <c r="F507" s="425">
        <v>-1</v>
      </c>
      <c r="G507" s="425">
        <f>COUNTIF(Principal!$C$32:$J$50,Tablas!E507)</f>
        <v>0</v>
      </c>
      <c r="H507" s="2461">
        <f t="shared" si="44"/>
        <v>0</v>
      </c>
      <c r="I507" s="2466">
        <v>1</v>
      </c>
      <c r="J507" s="2470" t="s">
        <v>3412</v>
      </c>
      <c r="N507" s="413"/>
      <c r="AB507" s="413"/>
      <c r="AC507" s="2795"/>
    </row>
    <row r="508" spans="1:29" ht="12.75" customHeight="1" x14ac:dyDescent="0.2">
      <c r="A508" s="2029">
        <v>211</v>
      </c>
      <c r="B508" s="4995"/>
      <c r="C508" s="1766" t="str">
        <f t="shared" si="45"/>
        <v>Cobardía</v>
      </c>
      <c r="D508" s="2453">
        <f t="shared" si="43"/>
        <v>14</v>
      </c>
      <c r="E508" s="129" t="s">
        <v>2888</v>
      </c>
      <c r="F508" s="425">
        <v>-1</v>
      </c>
      <c r="G508" s="425">
        <f>COUNTIF(Principal!$C$32:$J$50,Tablas!E508)</f>
        <v>0</v>
      </c>
      <c r="H508" s="2461">
        <f t="shared" si="44"/>
        <v>0</v>
      </c>
      <c r="I508" s="2466"/>
      <c r="J508" s="2470" t="s">
        <v>3412</v>
      </c>
      <c r="N508" s="413"/>
      <c r="AB508" s="413"/>
      <c r="AC508" s="2795"/>
    </row>
    <row r="509" spans="1:29" ht="12.75" customHeight="1" x14ac:dyDescent="0.2">
      <c r="A509" s="2029">
        <v>211</v>
      </c>
      <c r="B509" s="4995"/>
      <c r="C509" s="1766" t="str">
        <f t="shared" si="45"/>
        <v>Debilidad física</v>
      </c>
      <c r="D509" s="2453">
        <f t="shared" si="43"/>
        <v>27</v>
      </c>
      <c r="E509" s="129" t="s">
        <v>2889</v>
      </c>
      <c r="F509" s="425">
        <v>-1</v>
      </c>
      <c r="G509" s="425">
        <f>COUNTIF(Principal!$C$32:$J$50,Tablas!E509)</f>
        <v>0</v>
      </c>
      <c r="H509" s="2461">
        <f t="shared" si="44"/>
        <v>0</v>
      </c>
      <c r="I509" s="2466"/>
      <c r="J509" s="2470" t="s">
        <v>3412</v>
      </c>
      <c r="N509" s="413"/>
      <c r="AB509" s="413"/>
      <c r="AC509" s="2795"/>
    </row>
    <row r="510" spans="1:29" ht="12.75" customHeight="1" x14ac:dyDescent="0.2">
      <c r="A510" s="2029">
        <v>211</v>
      </c>
      <c r="B510" s="4995"/>
      <c r="C510" s="1766" t="str">
        <f t="shared" si="45"/>
        <v>Desafortunado</v>
      </c>
      <c r="D510" s="2453">
        <f t="shared" si="43"/>
        <v>21</v>
      </c>
      <c r="E510" s="129" t="s">
        <v>2890</v>
      </c>
      <c r="F510" s="425">
        <v>-2</v>
      </c>
      <c r="G510" s="425">
        <f>COUNTIF(Principal!$C$32:$J$50,Tablas!E510)</f>
        <v>0</v>
      </c>
      <c r="H510" s="2461">
        <f t="shared" si="44"/>
        <v>0</v>
      </c>
      <c r="I510" s="2466"/>
      <c r="J510" s="2470" t="s">
        <v>3412</v>
      </c>
      <c r="N510" s="413"/>
      <c r="AB510" s="413"/>
      <c r="AC510" s="2795"/>
    </row>
    <row r="511" spans="1:29" ht="12.75" customHeight="1" x14ac:dyDescent="0.2">
      <c r="A511" s="2029">
        <v>211</v>
      </c>
      <c r="B511" s="4995"/>
      <c r="C511" s="1766" t="str">
        <f t="shared" si="45"/>
        <v>Destino aciago</v>
      </c>
      <c r="D511" s="2453">
        <f t="shared" si="43"/>
        <v>10</v>
      </c>
      <c r="E511" s="129" t="s">
        <v>2891</v>
      </c>
      <c r="F511" s="425">
        <v>-1</v>
      </c>
      <c r="G511" s="425">
        <f>COUNTIF(Principal!$C$32:$J$50,Tablas!E511)</f>
        <v>0</v>
      </c>
      <c r="H511" s="2461">
        <f t="shared" si="44"/>
        <v>0</v>
      </c>
      <c r="I511" s="2466"/>
      <c r="J511" s="2470" t="s">
        <v>3412</v>
      </c>
      <c r="N511" s="413"/>
      <c r="AB511" s="413"/>
      <c r="AC511" s="2795"/>
    </row>
    <row r="512" spans="1:29" ht="12.75" customHeight="1" x14ac:dyDescent="0.2">
      <c r="A512" s="2029">
        <v>211</v>
      </c>
      <c r="B512" s="4995"/>
      <c r="C512" s="1766" t="str">
        <f t="shared" si="45"/>
        <v>Endeble</v>
      </c>
      <c r="D512" s="2453">
        <f t="shared" si="43"/>
        <v>39</v>
      </c>
      <c r="E512" s="129" t="s">
        <v>2892</v>
      </c>
      <c r="F512" s="425">
        <v>-1</v>
      </c>
      <c r="G512" s="425">
        <f>COUNTIF(Principal!$C$32:$J$50,Tablas!E512)</f>
        <v>0</v>
      </c>
      <c r="H512" s="2461">
        <f t="shared" si="44"/>
        <v>0</v>
      </c>
      <c r="I512" s="2466"/>
      <c r="J512" s="2470" t="s">
        <v>3412</v>
      </c>
      <c r="N512" s="413"/>
      <c r="AB512" s="413"/>
      <c r="AC512" s="2795"/>
    </row>
    <row r="513" spans="1:29" ht="12.75" customHeight="1" x14ac:dyDescent="0.2">
      <c r="A513" s="2029">
        <v>211</v>
      </c>
      <c r="B513" s="4995"/>
      <c r="C513" s="1766" t="str">
        <f t="shared" si="45"/>
        <v>Enfermedad grave</v>
      </c>
      <c r="D513" s="2453">
        <f t="shared" si="43"/>
        <v>25</v>
      </c>
      <c r="E513" s="129" t="s">
        <v>2893</v>
      </c>
      <c r="F513" s="425">
        <v>-1</v>
      </c>
      <c r="G513" s="425">
        <f>COUNTIF(Principal!$C$32:$J$50,Tablas!E513)</f>
        <v>0</v>
      </c>
      <c r="H513" s="2461">
        <f t="shared" si="44"/>
        <v>0</v>
      </c>
      <c r="I513" s="2466"/>
      <c r="J513" s="2470" t="s">
        <v>3412</v>
      </c>
      <c r="N513" s="413"/>
      <c r="AB513" s="413"/>
      <c r="AC513" s="2795"/>
    </row>
    <row r="514" spans="1:29" ht="12.75" customHeight="1" x14ac:dyDescent="0.2">
      <c r="A514" s="2029">
        <v>211</v>
      </c>
      <c r="B514" s="4995"/>
      <c r="C514" s="1766" t="str">
        <f t="shared" si="45"/>
        <v>Exhausto</v>
      </c>
      <c r="D514" s="2453">
        <f t="shared" si="43"/>
        <v>28</v>
      </c>
      <c r="E514" s="129" t="s">
        <v>2894</v>
      </c>
      <c r="F514" s="425">
        <v>-1</v>
      </c>
      <c r="G514" s="425">
        <f>COUNTIF(Principal!$C$32:$J$50,Tablas!E514)</f>
        <v>0</v>
      </c>
      <c r="H514" s="2461">
        <f t="shared" si="44"/>
        <v>0</v>
      </c>
      <c r="I514" s="2466"/>
      <c r="J514" s="2470" t="s">
        <v>3412</v>
      </c>
      <c r="N514" s="413"/>
      <c r="AB514" s="413"/>
      <c r="AC514" s="2795"/>
    </row>
    <row r="515" spans="1:29" ht="12.75" customHeight="1" x14ac:dyDescent="0.2">
      <c r="A515" s="2029">
        <v>211</v>
      </c>
      <c r="B515" s="4995"/>
      <c r="C515" s="1766" t="str">
        <f t="shared" si="45"/>
        <v>Extremidad atrofiada</v>
      </c>
      <c r="D515" s="2453">
        <f t="shared" si="43"/>
        <v>18</v>
      </c>
      <c r="E515" s="129" t="s">
        <v>2895</v>
      </c>
      <c r="F515" s="425">
        <v>-1</v>
      </c>
      <c r="G515" s="425">
        <f>COUNTIF(Principal!$C$32:$J$50,Tablas!E515)</f>
        <v>0</v>
      </c>
      <c r="H515" s="2461">
        <f t="shared" si="44"/>
        <v>0</v>
      </c>
      <c r="I515" s="2466"/>
      <c r="J515" s="2470" t="s">
        <v>3412</v>
      </c>
      <c r="N515" s="413"/>
      <c r="AB515" s="413"/>
      <c r="AC515" s="2795"/>
    </row>
    <row r="516" spans="1:29" ht="12.75" customHeight="1" x14ac:dyDescent="0.2">
      <c r="A516" s="2029">
        <v>211</v>
      </c>
      <c r="B516" s="4995"/>
      <c r="C516" s="1766" t="str">
        <f t="shared" si="45"/>
        <v>Fácil posesión</v>
      </c>
      <c r="D516" s="2453">
        <f t="shared" si="43"/>
        <v>32</v>
      </c>
      <c r="E516" s="129" t="s">
        <v>2896</v>
      </c>
      <c r="F516" s="425">
        <v>-1</v>
      </c>
      <c r="G516" s="425">
        <f>COUNTIF(Principal!$C$32:$J$50,Tablas!E516)</f>
        <v>0</v>
      </c>
      <c r="H516" s="2461">
        <f t="shared" si="44"/>
        <v>0</v>
      </c>
      <c r="I516" s="2466"/>
      <c r="J516" s="2470" t="s">
        <v>3412</v>
      </c>
      <c r="N516" s="413"/>
      <c r="AB516" s="413"/>
      <c r="AC516" s="2795"/>
    </row>
    <row r="517" spans="1:29" ht="12.75" customHeight="1" x14ac:dyDescent="0.2">
      <c r="A517" s="2029">
        <v>211</v>
      </c>
      <c r="B517" s="4995"/>
      <c r="C517" s="1766" t="str">
        <f t="shared" si="45"/>
        <v>Fobia grave</v>
      </c>
      <c r="D517" s="2453">
        <f t="shared" si="43"/>
        <v>15</v>
      </c>
      <c r="E517" s="129" t="s">
        <v>2897</v>
      </c>
      <c r="F517" s="425">
        <v>-2</v>
      </c>
      <c r="G517" s="425">
        <f>COUNTIF(Principal!$C$32:$J$50,Tablas!E517)</f>
        <v>0</v>
      </c>
      <c r="H517" s="2461">
        <f t="shared" si="44"/>
        <v>0</v>
      </c>
      <c r="I517" s="2466"/>
      <c r="J517" s="2470" t="s">
        <v>3412</v>
      </c>
      <c r="N517" s="413"/>
      <c r="AB517" s="413"/>
      <c r="AC517" s="2795"/>
    </row>
    <row r="518" spans="1:29" ht="12.75" customHeight="1" x14ac:dyDescent="0.2">
      <c r="A518" s="2029">
        <v>211</v>
      </c>
      <c r="B518" s="4995"/>
      <c r="C518" s="1766" t="str">
        <f t="shared" si="45"/>
        <v>Insufrible</v>
      </c>
      <c r="D518" s="2453">
        <f t="shared" si="43"/>
        <v>38</v>
      </c>
      <c r="E518" s="129" t="s">
        <v>2898</v>
      </c>
      <c r="F518" s="425">
        <v>-1</v>
      </c>
      <c r="G518" s="425">
        <f>COUNTIF(Principal!$C$32:$J$50,Tablas!E518)</f>
        <v>0</v>
      </c>
      <c r="H518" s="2461">
        <f t="shared" si="44"/>
        <v>0</v>
      </c>
      <c r="I518" s="2466"/>
      <c r="J518" s="2470" t="s">
        <v>3412</v>
      </c>
      <c r="N518" s="413"/>
      <c r="AB518" s="413"/>
      <c r="AC518" s="2795"/>
    </row>
    <row r="519" spans="1:29" ht="12.75" customHeight="1" x14ac:dyDescent="0.2">
      <c r="A519" s="2029">
        <v>211</v>
      </c>
      <c r="B519" s="4995"/>
      <c r="C519" s="1766" t="str">
        <f t="shared" si="45"/>
        <v>Lenta curación</v>
      </c>
      <c r="D519" s="2453">
        <f t="shared" si="43"/>
        <v>13</v>
      </c>
      <c r="E519" s="129" t="s">
        <v>2899</v>
      </c>
      <c r="F519" s="425">
        <v>-1</v>
      </c>
      <c r="G519" s="425">
        <f>COUNTIF(Principal!$C$32:$J$50,Tablas!E519)</f>
        <v>0</v>
      </c>
      <c r="H519" s="2461">
        <f t="shared" si="44"/>
        <v>0</v>
      </c>
      <c r="I519" s="2466">
        <v>1</v>
      </c>
      <c r="J519" s="2470" t="s">
        <v>3412</v>
      </c>
      <c r="N519" s="413"/>
      <c r="AB519" s="413"/>
      <c r="AC519" s="2795"/>
    </row>
    <row r="520" spans="1:29" ht="12.75" customHeight="1" x14ac:dyDescent="0.2">
      <c r="A520" s="2029">
        <v>211</v>
      </c>
      <c r="B520" s="4995"/>
      <c r="C520" s="1766" t="str">
        <f t="shared" si="45"/>
        <v>Mala suerte</v>
      </c>
      <c r="D520" s="2453">
        <f t="shared" si="43"/>
        <v>34</v>
      </c>
      <c r="E520" s="129" t="s">
        <v>2900</v>
      </c>
      <c r="F520" s="425">
        <v>-1</v>
      </c>
      <c r="G520" s="425">
        <f>COUNTIF(Principal!$C$32:$J$50,Tablas!E520)</f>
        <v>0</v>
      </c>
      <c r="H520" s="2461">
        <f t="shared" si="44"/>
        <v>0</v>
      </c>
      <c r="I520" s="2466">
        <v>1</v>
      </c>
      <c r="J520" s="2470" t="s">
        <v>3412</v>
      </c>
      <c r="N520" s="413"/>
      <c r="AB520" s="413"/>
      <c r="AC520" s="2795"/>
    </row>
    <row r="521" spans="1:29" ht="12.75" customHeight="1" x14ac:dyDescent="0.2">
      <c r="A521" s="2029">
        <v>211</v>
      </c>
      <c r="B521" s="4995"/>
      <c r="C521" s="1766" t="str">
        <f t="shared" si="45"/>
        <v>Maldito (1)</v>
      </c>
      <c r="D521" s="2453">
        <f t="shared" si="43"/>
        <v>35</v>
      </c>
      <c r="E521" s="129" t="s">
        <v>2901</v>
      </c>
      <c r="F521" s="425">
        <v>-2</v>
      </c>
      <c r="G521" s="425">
        <f>COUNTIF(Principal!$C$32:$J$50,Tablas!E521)</f>
        <v>0</v>
      </c>
      <c r="H521" s="2461">
        <f t="shared" si="44"/>
        <v>0</v>
      </c>
      <c r="I521" s="2466">
        <v>1</v>
      </c>
      <c r="J521" s="2470" t="s">
        <v>3412</v>
      </c>
      <c r="N521" s="413"/>
      <c r="AB521" s="413"/>
      <c r="AC521" s="2795"/>
    </row>
    <row r="522" spans="1:29" ht="12.75" customHeight="1" x14ac:dyDescent="0.2">
      <c r="A522" s="2029">
        <v>211</v>
      </c>
      <c r="B522" s="4995"/>
      <c r="C522" s="1766" t="str">
        <f t="shared" si="45"/>
        <v>Maldito (2)</v>
      </c>
      <c r="D522" s="2453">
        <f t="shared" si="43"/>
        <v>9</v>
      </c>
      <c r="E522" s="129" t="s">
        <v>2902</v>
      </c>
      <c r="F522" s="425">
        <v>-1</v>
      </c>
      <c r="G522" s="425">
        <f>COUNTIF(Principal!$C$32:$J$50,Tablas!E522)</f>
        <v>0</v>
      </c>
      <c r="H522" s="2461">
        <f t="shared" si="44"/>
        <v>0</v>
      </c>
      <c r="I522" s="2466"/>
      <c r="J522" s="2470" t="s">
        <v>3412</v>
      </c>
      <c r="N522" s="413"/>
      <c r="AB522" s="413"/>
      <c r="AC522" s="2795"/>
    </row>
    <row r="523" spans="1:29" ht="12.75" customHeight="1" x14ac:dyDescent="0.2">
      <c r="A523" s="2029">
        <v>211</v>
      </c>
      <c r="B523" s="4995"/>
      <c r="C523" s="1766" t="str">
        <f t="shared" si="45"/>
        <v>Miopía</v>
      </c>
      <c r="D523" s="2453">
        <f t="shared" si="43"/>
        <v>11</v>
      </c>
      <c r="E523" s="129" t="s">
        <v>2903</v>
      </c>
      <c r="F523" s="425">
        <v>-1</v>
      </c>
      <c r="G523" s="425">
        <f>COUNTIF(Principal!$C$32:$J$50,Tablas!E523)</f>
        <v>0</v>
      </c>
      <c r="H523" s="2461">
        <f t="shared" si="44"/>
        <v>0</v>
      </c>
      <c r="I523" s="2466"/>
      <c r="J523" s="2470" t="s">
        <v>3412</v>
      </c>
      <c r="N523" s="413"/>
      <c r="AB523" s="413"/>
      <c r="AC523" s="2795"/>
    </row>
    <row r="524" spans="1:29" ht="12.75" customHeight="1" x14ac:dyDescent="0.2">
      <c r="A524" s="2029">
        <v>211</v>
      </c>
      <c r="B524" s="4995"/>
      <c r="C524" s="1766" t="str">
        <f t="shared" si="45"/>
        <v>Mudo</v>
      </c>
      <c r="D524" s="2453">
        <f t="shared" si="43"/>
        <v>12</v>
      </c>
      <c r="E524" s="129" t="s">
        <v>2904</v>
      </c>
      <c r="F524" s="425">
        <v>-2</v>
      </c>
      <c r="G524" s="425">
        <f>COUNTIF(Principal!$C$32:$J$50,Tablas!E524)</f>
        <v>0</v>
      </c>
      <c r="H524" s="2461">
        <f t="shared" si="44"/>
        <v>0</v>
      </c>
      <c r="I524" s="2466"/>
      <c r="J524" s="2470" t="s">
        <v>3412</v>
      </c>
      <c r="N524" s="413"/>
      <c r="AB524" s="413"/>
      <c r="AC524" s="2795"/>
    </row>
    <row r="525" spans="1:29" ht="12.75" customHeight="1" x14ac:dyDescent="0.2">
      <c r="A525" s="2029">
        <v>211</v>
      </c>
      <c r="B525" s="4995"/>
      <c r="C525" s="1766" t="str">
        <f t="shared" si="45"/>
        <v>Patoso</v>
      </c>
      <c r="D525" s="2453">
        <f t="shared" si="43"/>
        <v>43</v>
      </c>
      <c r="E525" s="129" t="s">
        <v>2905</v>
      </c>
      <c r="F525" s="425">
        <v>-1</v>
      </c>
      <c r="G525" s="425">
        <f>COUNTIF(Principal!$C$32:$J$50,Tablas!E525)</f>
        <v>0</v>
      </c>
      <c r="H525" s="2461">
        <f t="shared" si="44"/>
        <v>0</v>
      </c>
      <c r="I525" s="2466">
        <v>1</v>
      </c>
      <c r="J525" s="2470" t="s">
        <v>3412</v>
      </c>
      <c r="N525" s="413"/>
      <c r="AB525" s="413"/>
      <c r="AC525" s="2795"/>
    </row>
    <row r="526" spans="1:29" ht="12.75" customHeight="1" x14ac:dyDescent="0.2">
      <c r="A526" s="2029">
        <v>211</v>
      </c>
      <c r="B526" s="4995"/>
      <c r="C526" s="1766" t="str">
        <f t="shared" si="45"/>
        <v>Reacción lenta (1)</v>
      </c>
      <c r="D526" s="2453">
        <f t="shared" si="43"/>
        <v>22</v>
      </c>
      <c r="E526" s="129" t="s">
        <v>2906</v>
      </c>
      <c r="F526" s="425">
        <v>-1</v>
      </c>
      <c r="G526" s="425">
        <f>COUNTIF(Principal!$C$32:$J$50,Tablas!E526)</f>
        <v>0</v>
      </c>
      <c r="H526" s="2461">
        <f t="shared" si="44"/>
        <v>0</v>
      </c>
      <c r="I526" s="2466">
        <v>1</v>
      </c>
      <c r="J526" s="2470" t="s">
        <v>3412</v>
      </c>
      <c r="N526" s="413"/>
      <c r="AB526" s="413"/>
      <c r="AC526" s="2795"/>
    </row>
    <row r="527" spans="1:29" ht="12.75" customHeight="1" x14ac:dyDescent="0.2">
      <c r="A527" s="2029">
        <v>211</v>
      </c>
      <c r="B527" s="4995"/>
      <c r="C527" s="1766" t="str">
        <f t="shared" si="45"/>
        <v>Reacción lenta (2)</v>
      </c>
      <c r="D527" s="2453">
        <f t="shared" si="43"/>
        <v>-1</v>
      </c>
      <c r="E527" s="129" t="s">
        <v>2954</v>
      </c>
      <c r="F527" s="425"/>
      <c r="G527" s="425"/>
      <c r="H527" s="2461"/>
      <c r="I527" s="2466"/>
      <c r="J527" s="2470" t="s">
        <v>3412</v>
      </c>
      <c r="N527" s="413"/>
      <c r="AB527" s="413"/>
      <c r="AC527" s="2795"/>
    </row>
    <row r="528" spans="1:29" ht="12.75" customHeight="1" x14ac:dyDescent="0.2">
      <c r="A528" s="2029">
        <v>211</v>
      </c>
      <c r="B528" s="4995"/>
      <c r="C528" s="1766" t="str">
        <f t="shared" si="45"/>
        <v>Salud enfermiza</v>
      </c>
      <c r="D528" s="2453">
        <f t="shared" si="43"/>
        <v>20</v>
      </c>
      <c r="E528" s="129" t="s">
        <v>2955</v>
      </c>
      <c r="F528" s="425">
        <v>-1</v>
      </c>
      <c r="G528" s="425">
        <f>COUNTIF(Principal!$C$32:$J$50,Tablas!E528)</f>
        <v>0</v>
      </c>
      <c r="H528" s="2461">
        <f t="shared" ref="H528:H532" si="46">G528*F528</f>
        <v>0</v>
      </c>
      <c r="I528" s="2466"/>
      <c r="J528" s="2470" t="s">
        <v>3412</v>
      </c>
      <c r="N528" s="413"/>
      <c r="AB528" s="413"/>
      <c r="AC528" s="2795"/>
    </row>
    <row r="529" spans="1:29" ht="12.75" customHeight="1" x14ac:dyDescent="0.2">
      <c r="A529" s="2029">
        <v>211</v>
      </c>
      <c r="B529" s="4995"/>
      <c r="C529" s="1766" t="str">
        <f t="shared" si="45"/>
        <v>Sin bonificador natural</v>
      </c>
      <c r="D529" s="2453">
        <f t="shared" si="43"/>
        <v>16</v>
      </c>
      <c r="E529" s="129" t="s">
        <v>2956</v>
      </c>
      <c r="F529" s="425">
        <v>-1</v>
      </c>
      <c r="G529" s="425">
        <f>COUNTIF(Principal!$C$32:$J$50,Tablas!E529)</f>
        <v>0</v>
      </c>
      <c r="H529" s="2461">
        <f t="shared" si="46"/>
        <v>0</v>
      </c>
      <c r="I529" s="2466"/>
      <c r="J529" s="2470" t="s">
        <v>3412</v>
      </c>
      <c r="N529" s="413"/>
      <c r="AB529" s="413"/>
      <c r="AC529" s="2795"/>
    </row>
    <row r="530" spans="1:29" ht="12.75" customHeight="1" x14ac:dyDescent="0.2">
      <c r="A530" s="2029">
        <v>211</v>
      </c>
      <c r="B530" s="4995"/>
      <c r="C530" s="1766" t="str">
        <f t="shared" si="45"/>
        <v>Sordo</v>
      </c>
      <c r="D530" s="2453">
        <f t="shared" si="43"/>
        <v>33</v>
      </c>
      <c r="E530" s="129" t="s">
        <v>2957</v>
      </c>
      <c r="F530" s="425">
        <v>-1</v>
      </c>
      <c r="G530" s="425">
        <f>COUNTIF(Principal!$C$32:$J$50,Tablas!E530)</f>
        <v>0</v>
      </c>
      <c r="H530" s="2461">
        <f t="shared" si="46"/>
        <v>0</v>
      </c>
      <c r="I530" s="2466"/>
      <c r="J530" s="2470" t="s">
        <v>3412</v>
      </c>
      <c r="N530" s="413"/>
      <c r="AB530" s="413"/>
      <c r="AC530" s="2795"/>
    </row>
    <row r="531" spans="1:29" ht="12.75" customHeight="1" x14ac:dyDescent="0.2">
      <c r="A531" s="2029">
        <v>211</v>
      </c>
      <c r="B531" s="4995"/>
      <c r="C531" s="1766" t="str">
        <f t="shared" si="45"/>
        <v>Sueño profundo</v>
      </c>
      <c r="D531" s="2453">
        <f t="shared" si="43"/>
        <v>37</v>
      </c>
      <c r="E531" s="129" t="s">
        <v>2958</v>
      </c>
      <c r="F531" s="425">
        <v>-1</v>
      </c>
      <c r="G531" s="425">
        <f>COUNTIF(Principal!$C$32:$J$50,Tablas!E531)</f>
        <v>0</v>
      </c>
      <c r="H531" s="2461">
        <f t="shared" si="46"/>
        <v>0</v>
      </c>
      <c r="I531" s="2466">
        <v>1</v>
      </c>
      <c r="J531" s="2470" t="s">
        <v>3412</v>
      </c>
      <c r="N531" s="413"/>
      <c r="AB531" s="413"/>
      <c r="AC531" s="2795"/>
    </row>
    <row r="532" spans="1:29" ht="12.75" customHeight="1" x14ac:dyDescent="0.2">
      <c r="A532" s="2029">
        <v>211</v>
      </c>
      <c r="B532" s="4995"/>
      <c r="C532" s="1766" t="str">
        <f t="shared" si="45"/>
        <v>Vulnerable a frío o calor</v>
      </c>
      <c r="D532" s="2453">
        <f t="shared" si="43"/>
        <v>26</v>
      </c>
      <c r="E532" s="129" t="s">
        <v>2959</v>
      </c>
      <c r="F532" s="425">
        <v>-1</v>
      </c>
      <c r="G532" s="425">
        <f>COUNTIF(Principal!$C$32:$J$50,Tablas!E532)</f>
        <v>0</v>
      </c>
      <c r="H532" s="2461">
        <f t="shared" si="46"/>
        <v>0</v>
      </c>
      <c r="I532" s="2466"/>
      <c r="J532" s="2470" t="s">
        <v>3412</v>
      </c>
      <c r="N532" s="413"/>
      <c r="AB532" s="413"/>
      <c r="AC532" s="2795"/>
    </row>
    <row r="533" spans="1:29" ht="12.75" customHeight="1" x14ac:dyDescent="0.2">
      <c r="A533" s="2029">
        <v>211</v>
      </c>
      <c r="B533" s="4995"/>
      <c r="C533" s="1766" t="str">
        <f t="shared" si="45"/>
        <v>Vulnerable a la magia</v>
      </c>
      <c r="D533" s="2453">
        <f t="shared" si="43"/>
        <v>29</v>
      </c>
      <c r="E533" s="129" t="s">
        <v>3013</v>
      </c>
      <c r="F533" s="425">
        <v>-1</v>
      </c>
      <c r="G533" s="425">
        <f>COUNTIF(Principal!$C$32:$J$50,Tablas!E533)</f>
        <v>0</v>
      </c>
      <c r="H533" s="263">
        <f>G533*F533</f>
        <v>0</v>
      </c>
      <c r="I533" s="2459"/>
      <c r="J533" s="2470" t="s">
        <v>3412</v>
      </c>
      <c r="N533" s="413"/>
      <c r="AB533" s="413"/>
      <c r="AC533" s="2795"/>
    </row>
    <row r="534" spans="1:29" ht="12.75" customHeight="1" x14ac:dyDescent="0.2">
      <c r="A534" s="2029">
        <v>211</v>
      </c>
      <c r="B534" s="4995"/>
      <c r="C534" s="1766" t="str">
        <f t="shared" si="45"/>
        <v>Vulnerable a los venenos</v>
      </c>
      <c r="D534" s="2453">
        <f t="shared" si="43"/>
        <v>30</v>
      </c>
      <c r="E534" s="129" t="s">
        <v>3014</v>
      </c>
      <c r="F534" s="425">
        <v>-2</v>
      </c>
      <c r="G534" s="425">
        <f>COUNTIF(Principal!$C$32:$J$50,Tablas!E534)</f>
        <v>0</v>
      </c>
      <c r="H534" s="263">
        <f>G534*F534</f>
        <v>0</v>
      </c>
      <c r="I534" s="2459"/>
      <c r="J534" s="2470" t="s">
        <v>3412</v>
      </c>
      <c r="N534" s="413"/>
      <c r="AB534" s="413"/>
      <c r="AC534" s="2795"/>
    </row>
    <row r="535" spans="1:29" ht="12.75" customHeight="1" x14ac:dyDescent="0.2">
      <c r="A535" s="2029">
        <v>211</v>
      </c>
      <c r="B535" s="4995"/>
      <c r="C535" s="2451" t="str">
        <f t="shared" si="45"/>
        <v>Vulnerable al dolor</v>
      </c>
      <c r="D535" s="2455">
        <f t="shared" si="43"/>
        <v>19</v>
      </c>
      <c r="E535" s="2456" t="s">
        <v>2960</v>
      </c>
      <c r="F535" s="2457">
        <v>-2</v>
      </c>
      <c r="G535" s="2457">
        <f>COUNTIF(Principal!$C$32:$J$50,Tablas!E535)</f>
        <v>0</v>
      </c>
      <c r="H535" s="2463">
        <f>G535*F535</f>
        <v>0</v>
      </c>
      <c r="I535" s="2467"/>
      <c r="J535" s="2471" t="s">
        <v>3412</v>
      </c>
      <c r="N535" s="413"/>
      <c r="AB535" s="413"/>
      <c r="AC535" s="2795"/>
    </row>
    <row r="536" spans="1:29" ht="12.75" customHeight="1" x14ac:dyDescent="0.2">
      <c r="A536" s="2029">
        <v>211</v>
      </c>
      <c r="B536" s="4995"/>
      <c r="C536" s="1766" t="str">
        <f t="shared" ref="C536:C544" si="47">VLOOKUP(A1,$D$536:$E$544,2,0)</f>
        <v>&gt; DESVENTAJAS: DON</v>
      </c>
      <c r="D536" s="2453">
        <f t="shared" ref="D536:D544" si="48">COUNTIF($E$536:$E$544,"&lt;="&amp;E536)</f>
        <v>1</v>
      </c>
      <c r="E536" s="129" t="s">
        <v>2907</v>
      </c>
      <c r="F536" s="425"/>
      <c r="G536" s="425"/>
      <c r="H536" s="2461"/>
      <c r="I536" s="2466"/>
      <c r="J536" s="2470" t="s">
        <v>2760</v>
      </c>
      <c r="N536" s="413"/>
      <c r="AB536" s="413"/>
      <c r="AC536" s="2795"/>
    </row>
    <row r="537" spans="1:29" ht="12.75" customHeight="1" x14ac:dyDescent="0.2">
      <c r="A537" s="2029">
        <v>211</v>
      </c>
      <c r="B537" s="4995"/>
      <c r="C537" s="1766" t="str">
        <f t="shared" si="47"/>
        <v>Brujería</v>
      </c>
      <c r="D537" s="2453">
        <f t="shared" si="48"/>
        <v>8</v>
      </c>
      <c r="E537" s="129" t="s">
        <v>2908</v>
      </c>
      <c r="F537" s="425">
        <v>-1</v>
      </c>
      <c r="G537" s="425">
        <f>COUNTIF(Principal!$C$32:$J$50,Tablas!E537)</f>
        <v>0</v>
      </c>
      <c r="H537" s="2461">
        <f t="shared" ref="H537:H544" si="49">G537*F537</f>
        <v>0</v>
      </c>
      <c r="I537" s="2466"/>
      <c r="J537" s="2470" t="s">
        <v>2760</v>
      </c>
      <c r="N537" s="413"/>
      <c r="AB537" s="413"/>
      <c r="AC537" s="2795"/>
    </row>
    <row r="538" spans="1:29" ht="12.75" customHeight="1" x14ac:dyDescent="0.2">
      <c r="A538" s="2029">
        <v>211</v>
      </c>
      <c r="B538" s="4995"/>
      <c r="C538" s="1766" t="str">
        <f t="shared" si="47"/>
        <v>Extenuación mágica</v>
      </c>
      <c r="D538" s="2453">
        <f t="shared" si="48"/>
        <v>9</v>
      </c>
      <c r="E538" s="129" t="s">
        <v>2909</v>
      </c>
      <c r="F538" s="425">
        <v>-1</v>
      </c>
      <c r="G538" s="425">
        <f>COUNTIF(Principal!$C$32:$J$50,Tablas!E538)</f>
        <v>0</v>
      </c>
      <c r="H538" s="2461">
        <f t="shared" si="49"/>
        <v>0</v>
      </c>
      <c r="I538" s="2466"/>
      <c r="J538" s="2470" t="s">
        <v>2760</v>
      </c>
      <c r="N538" s="413"/>
      <c r="AB538" s="413"/>
      <c r="AC538" s="2795"/>
    </row>
    <row r="539" spans="1:29" ht="12.75" customHeight="1" x14ac:dyDescent="0.2">
      <c r="A539" s="2029">
        <v>211</v>
      </c>
      <c r="B539" s="4995"/>
      <c r="C539" s="1766" t="str">
        <f t="shared" si="47"/>
        <v>Lazo existencial</v>
      </c>
      <c r="D539" s="2453">
        <f t="shared" si="48"/>
        <v>3</v>
      </c>
      <c r="E539" s="129" t="s">
        <v>2910</v>
      </c>
      <c r="F539" s="425">
        <v>-1</v>
      </c>
      <c r="G539" s="425">
        <f>COUNTIF(Principal!$C$32:$J$50,Tablas!E539)</f>
        <v>0</v>
      </c>
      <c r="H539" s="2461">
        <f t="shared" si="49"/>
        <v>0</v>
      </c>
      <c r="I539" s="2466"/>
      <c r="J539" s="2470" t="s">
        <v>2760</v>
      </c>
      <c r="N539" s="413"/>
      <c r="AB539" s="413"/>
      <c r="AC539" s="2795"/>
    </row>
    <row r="540" spans="1:29" ht="12.75" customHeight="1" x14ac:dyDescent="0.2">
      <c r="A540" s="2029">
        <v>211</v>
      </c>
      <c r="B540" s="4995"/>
      <c r="C540" s="1766" t="str">
        <f t="shared" si="47"/>
        <v>Lenta recuperación de magia</v>
      </c>
      <c r="D540" s="2453">
        <f t="shared" si="48"/>
        <v>6</v>
      </c>
      <c r="E540" s="129" t="s">
        <v>2911</v>
      </c>
      <c r="F540" s="425">
        <v>-1</v>
      </c>
      <c r="G540" s="425">
        <f>COUNTIF(Principal!$C$32:$J$50,Tablas!E540)</f>
        <v>0</v>
      </c>
      <c r="H540" s="2461">
        <f t="shared" si="49"/>
        <v>0</v>
      </c>
      <c r="I540" s="2466"/>
      <c r="J540" s="2470" t="s">
        <v>2760</v>
      </c>
      <c r="N540" s="413"/>
      <c r="AB540" s="413"/>
      <c r="AC540" s="2795"/>
    </row>
    <row r="541" spans="1:29" ht="12.75" customHeight="1" x14ac:dyDescent="0.2">
      <c r="A541" s="2029">
        <v>211</v>
      </c>
      <c r="B541" s="4995"/>
      <c r="C541" s="1766" t="str">
        <f t="shared" si="47"/>
        <v>Magia atada a acción</v>
      </c>
      <c r="D541" s="2453">
        <f t="shared" si="48"/>
        <v>5</v>
      </c>
      <c r="E541" s="129" t="s">
        <v>2912</v>
      </c>
      <c r="F541" s="425">
        <v>-1</v>
      </c>
      <c r="G541" s="425">
        <f>COUNTIF(Principal!$C$32:$J$50,Tablas!E541)</f>
        <v>0</v>
      </c>
      <c r="H541" s="2461">
        <f t="shared" si="49"/>
        <v>0</v>
      </c>
      <c r="I541" s="2466">
        <v>1</v>
      </c>
      <c r="J541" s="2470" t="s">
        <v>2760</v>
      </c>
      <c r="N541" s="413"/>
      <c r="AB541" s="413"/>
      <c r="AC541" s="2795"/>
    </row>
    <row r="542" spans="1:29" ht="12.75" customHeight="1" x14ac:dyDescent="0.2">
      <c r="A542" s="2029">
        <v>211</v>
      </c>
      <c r="B542" s="4995"/>
      <c r="C542" s="1766" t="str">
        <f t="shared" si="47"/>
        <v>Magia estanca</v>
      </c>
      <c r="D542" s="2453">
        <f t="shared" si="48"/>
        <v>7</v>
      </c>
      <c r="E542" s="129" t="s">
        <v>2913</v>
      </c>
      <c r="F542" s="425">
        <v>-2</v>
      </c>
      <c r="G542" s="425">
        <f>COUNTIF(Principal!$C$32:$J$50,Tablas!E542)</f>
        <v>0</v>
      </c>
      <c r="H542" s="2461">
        <f t="shared" si="49"/>
        <v>0</v>
      </c>
      <c r="I542" s="2466">
        <v>1</v>
      </c>
      <c r="J542" s="2470" t="s">
        <v>2760</v>
      </c>
      <c r="N542" s="413"/>
      <c r="AB542" s="413"/>
      <c r="AC542" s="2795"/>
    </row>
    <row r="543" spans="1:29" ht="12.75" customHeight="1" x14ac:dyDescent="0.2">
      <c r="A543" s="2029">
        <v>211</v>
      </c>
      <c r="B543" s="4995"/>
      <c r="C543" s="1766" t="str">
        <f t="shared" si="47"/>
        <v>Obligación oral</v>
      </c>
      <c r="D543" s="2453">
        <f t="shared" si="48"/>
        <v>4</v>
      </c>
      <c r="E543" s="129" t="s">
        <v>2914</v>
      </c>
      <c r="F543" s="425">
        <v>-1</v>
      </c>
      <c r="G543" s="425">
        <f>COUNTIF(Principal!$C$32:$J$50,Tablas!E543)</f>
        <v>0</v>
      </c>
      <c r="H543" s="2461">
        <f t="shared" si="49"/>
        <v>0</v>
      </c>
      <c r="I543" s="2466">
        <v>2</v>
      </c>
      <c r="J543" s="2470" t="s">
        <v>2760</v>
      </c>
      <c r="N543" s="413"/>
      <c r="AB543" s="413"/>
      <c r="AC543" s="2795"/>
    </row>
    <row r="544" spans="1:29" ht="12.75" customHeight="1" x14ac:dyDescent="0.2">
      <c r="A544" s="2029">
        <v>211</v>
      </c>
      <c r="B544" s="4995"/>
      <c r="C544" s="2451" t="str">
        <f t="shared" si="47"/>
        <v>Obligación somática</v>
      </c>
      <c r="D544" s="2455">
        <f t="shared" si="48"/>
        <v>2</v>
      </c>
      <c r="E544" s="129" t="s">
        <v>2915</v>
      </c>
      <c r="F544" s="425">
        <v>-2</v>
      </c>
      <c r="G544" s="425">
        <f>COUNTIF(Principal!$C$32:$J$50,Tablas!E544)</f>
        <v>0</v>
      </c>
      <c r="H544" s="2461">
        <f t="shared" si="49"/>
        <v>0</v>
      </c>
      <c r="I544" s="2466"/>
      <c r="J544" s="2470" t="s">
        <v>2760</v>
      </c>
      <c r="N544" s="413"/>
      <c r="AB544" s="413"/>
      <c r="AC544" s="2795"/>
    </row>
    <row r="545" spans="1:29" ht="12.75" customHeight="1" x14ac:dyDescent="0.2">
      <c r="A545" s="2029">
        <v>211</v>
      </c>
      <c r="B545" s="4995"/>
      <c r="C545" s="1766" t="str">
        <f>VLOOKUP(A1,$D$545:$E$549,2,0)</f>
        <v>&gt; DESVENTAJAS: PSIQUICOS</v>
      </c>
      <c r="D545" s="2453">
        <f>COUNTIF($E$545:$E$549,"&lt;="&amp;E545)</f>
        <v>1</v>
      </c>
      <c r="E545" s="2449" t="s">
        <v>2916</v>
      </c>
      <c r="F545" s="2100"/>
      <c r="G545" s="2100"/>
      <c r="H545" s="2462"/>
      <c r="I545" s="2465"/>
      <c r="J545" s="2472" t="s">
        <v>8543</v>
      </c>
      <c r="N545" s="413"/>
      <c r="AB545" s="413"/>
      <c r="AC545" s="2795"/>
    </row>
    <row r="546" spans="1:29" ht="12.75" customHeight="1" x14ac:dyDescent="0.2">
      <c r="A546" s="2029">
        <v>211</v>
      </c>
      <c r="B546" s="4995"/>
      <c r="C546" s="1766" t="str">
        <f>VLOOKUP(A2,$D$545:$E$549,2,0)</f>
        <v>Consumición psíquica</v>
      </c>
      <c r="D546" s="2453">
        <f>COUNTIF($E$545:$E$549,"&lt;="&amp;E546)</f>
        <v>5</v>
      </c>
      <c r="E546" s="129" t="s">
        <v>2917</v>
      </c>
      <c r="F546" s="425">
        <v>-1</v>
      </c>
      <c r="G546" s="425">
        <f>COUNTIF(Principal!$C$32:$J$50,Tablas!E546)</f>
        <v>0</v>
      </c>
      <c r="H546" s="2461">
        <f>G546*F546</f>
        <v>0</v>
      </c>
      <c r="I546" s="2466">
        <v>1</v>
      </c>
      <c r="J546" s="2473" t="s">
        <v>8543</v>
      </c>
      <c r="N546" s="413"/>
      <c r="AB546" s="413"/>
      <c r="AC546" s="2795"/>
    </row>
    <row r="547" spans="1:29" ht="12.75" customHeight="1" x14ac:dyDescent="0.2">
      <c r="A547" s="2029">
        <v>211</v>
      </c>
      <c r="B547" s="4995"/>
      <c r="C547" s="1766" t="str">
        <f>VLOOKUP(A3,$D$545:$E$549,2,0)</f>
        <v>Extenuación psíquica</v>
      </c>
      <c r="D547" s="2453">
        <f>COUNTIF($E$545:$E$549,"&lt;="&amp;E547)</f>
        <v>3</v>
      </c>
      <c r="E547" s="129" t="s">
        <v>2918</v>
      </c>
      <c r="F547" s="425">
        <v>-1</v>
      </c>
      <c r="G547" s="425">
        <f>COUNTIF(Principal!$C$32:$J$50,Tablas!E547)</f>
        <v>0</v>
      </c>
      <c r="H547" s="2461">
        <f>G547*F547</f>
        <v>0</v>
      </c>
      <c r="I547" s="2466"/>
      <c r="J547" s="2473" t="s">
        <v>8543</v>
      </c>
      <c r="N547" s="413"/>
      <c r="AB547" s="413"/>
      <c r="AC547" s="2795"/>
    </row>
    <row r="548" spans="1:29" ht="12.75" customHeight="1" x14ac:dyDescent="0.2">
      <c r="A548" s="2029">
        <v>211</v>
      </c>
      <c r="B548" s="4995"/>
      <c r="C548" s="1766" t="str">
        <f>VLOOKUP(A4,$D$545:$E$549,2,0)</f>
        <v>Poder único</v>
      </c>
      <c r="D548" s="2453">
        <f>COUNTIF($E$545:$E$549,"&lt;="&amp;E548)</f>
        <v>4</v>
      </c>
      <c r="E548" s="129" t="s">
        <v>2919</v>
      </c>
      <c r="F548" s="425">
        <v>-1</v>
      </c>
      <c r="G548" s="425">
        <f>COUNTIF(Principal!$C$32:$J$50,Tablas!E548)</f>
        <v>0</v>
      </c>
      <c r="H548" s="2461">
        <f>G548*F548</f>
        <v>0</v>
      </c>
      <c r="I548" s="2466"/>
      <c r="J548" s="2473" t="s">
        <v>8543</v>
      </c>
      <c r="N548" s="413"/>
      <c r="AB548" s="413"/>
      <c r="AC548" s="2795"/>
    </row>
    <row r="549" spans="1:29" ht="12.75" customHeight="1" x14ac:dyDescent="0.2">
      <c r="A549" s="2029">
        <v>211</v>
      </c>
      <c r="B549" s="4995"/>
      <c r="C549" s="2451" t="str">
        <f>VLOOKUP(A5,$D$545:$E$549,2,0)</f>
        <v>Sin concentración</v>
      </c>
      <c r="D549" s="2455">
        <f>COUNTIF($E$545:$E$549,"&lt;="&amp;E549)</f>
        <v>2</v>
      </c>
      <c r="E549" s="129" t="s">
        <v>2920</v>
      </c>
      <c r="F549" s="425">
        <v>-2</v>
      </c>
      <c r="G549" s="425">
        <f>COUNTIF(Principal!$C$32:$J$50,Tablas!E549)</f>
        <v>0</v>
      </c>
      <c r="H549" s="2461">
        <f>G549*F549</f>
        <v>0</v>
      </c>
      <c r="I549" s="2466"/>
      <c r="J549" s="2470" t="s">
        <v>8543</v>
      </c>
      <c r="N549" s="413"/>
      <c r="AB549" s="413"/>
      <c r="AC549" s="2795"/>
    </row>
    <row r="550" spans="1:29" ht="12.75" customHeight="1" x14ac:dyDescent="0.2">
      <c r="A550" s="2029">
        <v>211</v>
      </c>
      <c r="B550" s="4995"/>
      <c r="C550" s="1766" t="str">
        <f t="shared" ref="C550:C557" si="50">VLOOKUP(A1,$D$550:$E$557,2,0)</f>
        <v>&gt; DESVENTAJAS TRASFONDO</v>
      </c>
      <c r="D550" s="2453">
        <f t="shared" ref="D550:D557" si="51">COUNTIF($E$550:$E$557,"&lt;="&amp;E550)</f>
        <v>1</v>
      </c>
      <c r="E550" s="2449" t="s">
        <v>3011</v>
      </c>
      <c r="F550" s="2102"/>
      <c r="G550" s="2100"/>
      <c r="H550" s="2464"/>
      <c r="I550" s="2458"/>
      <c r="J550" s="2469" t="s">
        <v>8544</v>
      </c>
      <c r="N550" s="413"/>
      <c r="AB550" s="413"/>
      <c r="AC550" s="2795"/>
    </row>
    <row r="551" spans="1:29" ht="12.75" customHeight="1" x14ac:dyDescent="0.2">
      <c r="A551" s="2029">
        <v>211</v>
      </c>
      <c r="B551" s="4995"/>
      <c r="C551" s="1766" t="str">
        <f t="shared" si="50"/>
        <v>Código de conducta</v>
      </c>
      <c r="D551" s="2453">
        <f t="shared" si="51"/>
        <v>6</v>
      </c>
      <c r="E551" s="129" t="s">
        <v>3012</v>
      </c>
      <c r="F551" s="425">
        <v>-1</v>
      </c>
      <c r="G551" s="425">
        <f>COUNTIF(Principal!$C$32:$J$50,Tablas!E551)</f>
        <v>0</v>
      </c>
      <c r="H551" s="263">
        <f>G551*F551</f>
        <v>0</v>
      </c>
      <c r="I551" s="2459"/>
      <c r="J551" s="2470" t="s">
        <v>8544</v>
      </c>
      <c r="N551" s="413"/>
      <c r="AB551" s="413"/>
      <c r="AC551" s="2795"/>
    </row>
    <row r="552" spans="1:29" ht="12.75" customHeight="1" x14ac:dyDescent="0.2">
      <c r="A552" s="2029">
        <v>211</v>
      </c>
      <c r="B552" s="4995"/>
      <c r="C552" s="1766" t="str">
        <f t="shared" si="50"/>
        <v>Deudas</v>
      </c>
      <c r="D552" s="2453">
        <f t="shared" si="51"/>
        <v>7</v>
      </c>
      <c r="E552" s="129" t="s">
        <v>3015</v>
      </c>
      <c r="F552" s="425">
        <v>-1</v>
      </c>
      <c r="G552" s="425">
        <f>COUNTIF(Principal!$C$32:$J$50,Tablas!E552)</f>
        <v>0</v>
      </c>
      <c r="H552" s="263">
        <f t="shared" ref="H552:H556" si="52">G552*F552</f>
        <v>0</v>
      </c>
      <c r="I552" s="2459"/>
      <c r="J552" s="2470" t="s">
        <v>8544</v>
      </c>
      <c r="N552" s="413"/>
      <c r="AB552" s="413"/>
      <c r="AC552" s="2795"/>
    </row>
    <row r="553" spans="1:29" ht="12.75" customHeight="1" x14ac:dyDescent="0.2">
      <c r="A553" s="2029">
        <v>211</v>
      </c>
      <c r="B553" s="4995"/>
      <c r="C553" s="1766" t="str">
        <f t="shared" si="50"/>
        <v>Enemigo poderoso (1)</v>
      </c>
      <c r="D553" s="2453">
        <f t="shared" si="51"/>
        <v>4</v>
      </c>
      <c r="E553" s="129" t="s">
        <v>3016</v>
      </c>
      <c r="F553" s="425">
        <v>-1</v>
      </c>
      <c r="G553" s="425">
        <f>COUNTIF(Principal!$C$32:$J$50,Tablas!E553)</f>
        <v>0</v>
      </c>
      <c r="H553" s="263">
        <f t="shared" si="52"/>
        <v>0</v>
      </c>
      <c r="I553" s="2468"/>
      <c r="J553" s="2470" t="s">
        <v>8544</v>
      </c>
      <c r="N553" s="413"/>
      <c r="AB553" s="413"/>
      <c r="AC553" s="2795"/>
    </row>
    <row r="554" spans="1:29" ht="12.75" customHeight="1" x14ac:dyDescent="0.2">
      <c r="A554" s="2029">
        <v>211</v>
      </c>
      <c r="B554" s="4995"/>
      <c r="C554" s="1766" t="str">
        <f t="shared" si="50"/>
        <v>Enemigo poderoso (2)</v>
      </c>
      <c r="D554" s="2453">
        <f t="shared" si="51"/>
        <v>5</v>
      </c>
      <c r="E554" s="129" t="s">
        <v>3017</v>
      </c>
      <c r="F554" s="425">
        <v>-2</v>
      </c>
      <c r="G554" s="425">
        <f>COUNTIF(Principal!$C$32:$J$50,Tablas!E554)</f>
        <v>0</v>
      </c>
      <c r="H554" s="263">
        <f t="shared" si="52"/>
        <v>0</v>
      </c>
      <c r="I554" s="2468"/>
      <c r="J554" s="2470" t="s">
        <v>8544</v>
      </c>
      <c r="N554" s="413"/>
      <c r="AB554" s="413"/>
      <c r="AC554" s="2795"/>
    </row>
    <row r="555" spans="1:29" ht="12.75" customHeight="1" x14ac:dyDescent="0.2">
      <c r="A555" s="2029">
        <v>211</v>
      </c>
      <c r="B555" s="4995"/>
      <c r="C555" s="1766" t="str">
        <f t="shared" si="50"/>
        <v>Novato</v>
      </c>
      <c r="D555" s="2453">
        <f t="shared" si="51"/>
        <v>3</v>
      </c>
      <c r="E555" s="129" t="s">
        <v>3018</v>
      </c>
      <c r="F555" s="425">
        <v>-1</v>
      </c>
      <c r="G555" s="425">
        <f>COUNTIF(Principal!$C$32:$J$50,Tablas!E555)</f>
        <v>0</v>
      </c>
      <c r="H555" s="263">
        <f t="shared" si="52"/>
        <v>0</v>
      </c>
      <c r="I555" s="2468"/>
      <c r="J555" s="2470" t="s">
        <v>8544</v>
      </c>
      <c r="N555" s="413"/>
      <c r="AB555" s="413"/>
      <c r="AC555" s="2795"/>
    </row>
    <row r="556" spans="1:29" ht="12.75" customHeight="1" x14ac:dyDescent="0.2">
      <c r="A556" s="2029">
        <v>211</v>
      </c>
      <c r="B556" s="4995"/>
      <c r="C556" s="1766" t="str">
        <f t="shared" si="50"/>
        <v>Paria</v>
      </c>
      <c r="D556" s="2453">
        <f t="shared" si="51"/>
        <v>2</v>
      </c>
      <c r="E556" s="129" t="s">
        <v>3019</v>
      </c>
      <c r="F556" s="425">
        <v>-1</v>
      </c>
      <c r="G556" s="425">
        <f>COUNTIF(Principal!$C$32:$J$50,Tablas!E556)</f>
        <v>0</v>
      </c>
      <c r="H556" s="263">
        <f t="shared" si="52"/>
        <v>0</v>
      </c>
      <c r="I556" s="2468"/>
      <c r="J556" s="2470" t="s">
        <v>8544</v>
      </c>
      <c r="N556" s="413"/>
      <c r="AB556" s="413"/>
      <c r="AC556" s="2795"/>
    </row>
    <row r="557" spans="1:29" ht="12.75" customHeight="1" x14ac:dyDescent="0.2">
      <c r="A557" s="2029">
        <v>211</v>
      </c>
      <c r="B557" s="4995"/>
      <c r="C557" s="1766" t="str">
        <f t="shared" si="50"/>
        <v>Secreto inconfesable</v>
      </c>
      <c r="D557" s="2453">
        <f t="shared" si="51"/>
        <v>8</v>
      </c>
      <c r="E557" s="129" t="s">
        <v>3020</v>
      </c>
      <c r="F557" s="425">
        <v>-1</v>
      </c>
      <c r="G557" s="425">
        <f>COUNTIF(Principal!$C$32:$J$50,Tablas!E557)</f>
        <v>0</v>
      </c>
      <c r="H557" s="263">
        <f>G557*F557</f>
        <v>0</v>
      </c>
      <c r="I557" s="2468"/>
      <c r="J557" s="2470" t="s">
        <v>8544</v>
      </c>
      <c r="N557" s="413"/>
      <c r="AB557" s="413"/>
      <c r="AC557" s="2795"/>
    </row>
    <row r="558" spans="1:29" ht="12.75" customHeight="1" x14ac:dyDescent="0.2">
      <c r="A558" s="2029">
        <v>211</v>
      </c>
      <c r="B558" s="4995"/>
      <c r="C558" s="2519" t="str">
        <f>E558</f>
        <v>&gt; DESVENTAJAS PRESONALIZADAS</v>
      </c>
      <c r="D558" s="2520"/>
      <c r="E558" s="2530" t="s">
        <v>9309</v>
      </c>
      <c r="F558" s="2521"/>
      <c r="G558" s="2533"/>
      <c r="H558" s="2522"/>
      <c r="I558" s="2536"/>
      <c r="J558" s="2523" t="s">
        <v>3412</v>
      </c>
      <c r="N558" s="413"/>
      <c r="AB558" s="413"/>
      <c r="AC558" s="2795"/>
    </row>
    <row r="559" spans="1:29" ht="12.75" customHeight="1" x14ac:dyDescent="0.2">
      <c r="A559" s="2029">
        <v>211</v>
      </c>
      <c r="B559" s="4995"/>
      <c r="C559" s="2524" t="str">
        <f t="shared" ref="C559:C562" si="53">E559</f>
        <v>Ventaja #1</v>
      </c>
      <c r="D559" s="516"/>
      <c r="E559" s="2531" t="str">
        <f>E394</f>
        <v>Ventaja #1</v>
      </c>
      <c r="F559" s="355">
        <f t="shared" ref="F559:H559" si="54">F394</f>
        <v>0</v>
      </c>
      <c r="G559" s="2534">
        <f t="shared" si="54"/>
        <v>0</v>
      </c>
      <c r="H559" s="355">
        <f t="shared" si="54"/>
        <v>0</v>
      </c>
      <c r="I559" s="2537"/>
      <c r="J559" s="2525" t="s">
        <v>3412</v>
      </c>
      <c r="N559" s="413"/>
      <c r="AB559" s="413"/>
      <c r="AC559" s="2795"/>
    </row>
    <row r="560" spans="1:29" ht="12.75" customHeight="1" x14ac:dyDescent="0.2">
      <c r="A560" s="2029">
        <v>211</v>
      </c>
      <c r="B560" s="4995"/>
      <c r="C560" s="2524" t="str">
        <f t="shared" si="53"/>
        <v>Ventaja #2</v>
      </c>
      <c r="D560" s="516"/>
      <c r="E560" s="2531" t="str">
        <f t="shared" ref="E560:H562" si="55">E395</f>
        <v>Ventaja #2</v>
      </c>
      <c r="F560" s="355">
        <f t="shared" si="55"/>
        <v>0</v>
      </c>
      <c r="G560" s="2534">
        <f t="shared" si="55"/>
        <v>0</v>
      </c>
      <c r="H560" s="355">
        <f t="shared" si="55"/>
        <v>0</v>
      </c>
      <c r="I560" s="2537"/>
      <c r="J560" s="2525" t="s">
        <v>3412</v>
      </c>
      <c r="N560" s="413"/>
      <c r="AB560" s="413"/>
      <c r="AC560" s="2795"/>
    </row>
    <row r="561" spans="1:30" ht="12.75" customHeight="1" x14ac:dyDescent="0.2">
      <c r="A561" s="2029">
        <v>211</v>
      </c>
      <c r="B561" s="4995"/>
      <c r="C561" s="2524" t="str">
        <f t="shared" si="53"/>
        <v>Ventaja #3</v>
      </c>
      <c r="D561" s="516"/>
      <c r="E561" s="2531" t="str">
        <f t="shared" si="55"/>
        <v>Ventaja #3</v>
      </c>
      <c r="F561" s="355">
        <f t="shared" si="55"/>
        <v>0</v>
      </c>
      <c r="G561" s="2534">
        <f t="shared" si="55"/>
        <v>0</v>
      </c>
      <c r="H561" s="355">
        <f t="shared" si="55"/>
        <v>0</v>
      </c>
      <c r="I561" s="2537"/>
      <c r="J561" s="2525" t="s">
        <v>3412</v>
      </c>
      <c r="N561" s="413"/>
      <c r="AB561" s="413"/>
      <c r="AC561" s="2795"/>
    </row>
    <row r="562" spans="1:30" ht="12.75" customHeight="1" x14ac:dyDescent="0.2">
      <c r="A562" s="2029">
        <v>211</v>
      </c>
      <c r="B562" s="4995"/>
      <c r="C562" s="2526" t="str">
        <f t="shared" si="53"/>
        <v>Ventaja #4</v>
      </c>
      <c r="D562" s="2527"/>
      <c r="E562" s="2532" t="str">
        <f t="shared" si="55"/>
        <v>Ventaja #4</v>
      </c>
      <c r="F562" s="2528">
        <f t="shared" si="55"/>
        <v>0</v>
      </c>
      <c r="G562" s="2535">
        <f t="shared" si="55"/>
        <v>0</v>
      </c>
      <c r="H562" s="2528">
        <f t="shared" si="55"/>
        <v>0</v>
      </c>
      <c r="I562" s="2538"/>
      <c r="J562" s="2529" t="s">
        <v>3412</v>
      </c>
      <c r="N562" s="413"/>
      <c r="AB562" s="413"/>
      <c r="AC562" s="2795"/>
    </row>
    <row r="563" spans="1:30" ht="12.75" customHeight="1" x14ac:dyDescent="0.2">
      <c r="A563" s="2029">
        <v>211</v>
      </c>
      <c r="B563" s="4995"/>
      <c r="H563" s="413"/>
      <c r="I563" s="1761"/>
      <c r="N563" s="413"/>
      <c r="O563" s="2112"/>
      <c r="AB563" s="413"/>
      <c r="AC563" s="2795"/>
    </row>
    <row r="564" spans="1:30" ht="12.75" customHeight="1" x14ac:dyDescent="0.2">
      <c r="A564" s="2029">
        <v>211</v>
      </c>
      <c r="B564" s="4995"/>
      <c r="H564" s="413"/>
      <c r="I564" s="1761"/>
      <c r="N564" s="413"/>
      <c r="O564" s="2112"/>
      <c r="AB564" s="413"/>
      <c r="AC564" s="2795"/>
    </row>
    <row r="565" spans="1:30" ht="12.75" customHeight="1" x14ac:dyDescent="0.2">
      <c r="A565" s="2029">
        <v>211</v>
      </c>
      <c r="B565" s="4995"/>
      <c r="H565" s="413"/>
      <c r="I565" s="1761"/>
      <c r="N565" s="413"/>
      <c r="O565" s="2112"/>
      <c r="AB565" s="413"/>
      <c r="AC565" s="2795"/>
    </row>
    <row r="566" spans="1:30" ht="12.75" customHeight="1" x14ac:dyDescent="0.2">
      <c r="A566" s="2029">
        <v>211</v>
      </c>
      <c r="B566" s="4995"/>
      <c r="H566" s="413"/>
      <c r="I566" s="1761"/>
      <c r="N566" s="413"/>
      <c r="O566" s="2112"/>
      <c r="AB566" s="413"/>
      <c r="AC566" s="2795"/>
    </row>
    <row r="567" spans="1:30" ht="12.75" customHeight="1" x14ac:dyDescent="0.2">
      <c r="A567" s="2029">
        <v>211</v>
      </c>
      <c r="B567" s="4995"/>
      <c r="H567" s="413"/>
      <c r="I567" s="1761"/>
      <c r="N567" s="413"/>
      <c r="O567" s="2112"/>
      <c r="AB567" s="413"/>
      <c r="AC567" s="2795"/>
    </row>
    <row r="568" spans="1:30" ht="12.75" customHeight="1" x14ac:dyDescent="0.2">
      <c r="A568" s="2029">
        <v>211</v>
      </c>
      <c r="B568" s="4995"/>
      <c r="C568" s="4996" t="s">
        <v>9450</v>
      </c>
      <c r="D568" s="4996"/>
      <c r="E568" s="4996"/>
      <c r="F568" s="4996"/>
      <c r="G568" s="4996"/>
      <c r="H568" s="4996"/>
      <c r="I568" s="4996"/>
      <c r="J568" s="4996"/>
      <c r="K568" s="4996"/>
      <c r="L568" s="4996"/>
      <c r="M568" s="4996"/>
      <c r="N568" s="4996"/>
      <c r="O568" s="4996"/>
      <c r="P568" s="4996"/>
      <c r="Q568" s="4996"/>
      <c r="R568" s="4996"/>
      <c r="S568" s="4996"/>
      <c r="T568" s="4996"/>
      <c r="U568" s="4996"/>
      <c r="V568" s="4996"/>
      <c r="W568" s="4996"/>
      <c r="X568" s="4996"/>
      <c r="Y568" s="4996"/>
      <c r="Z568" s="4996"/>
      <c r="AA568" s="4996"/>
      <c r="AB568" s="4996"/>
      <c r="AC568" s="4996"/>
      <c r="AD568" s="4996"/>
    </row>
    <row r="569" spans="1:30" ht="12.75" customHeight="1" x14ac:dyDescent="0.2">
      <c r="A569" s="2029">
        <v>211</v>
      </c>
      <c r="B569" s="4995"/>
      <c r="C569" s="4996"/>
      <c r="D569" s="4996"/>
      <c r="E569" s="4996"/>
      <c r="F569" s="4996"/>
      <c r="G569" s="4996"/>
      <c r="H569" s="4996"/>
      <c r="I569" s="4996"/>
      <c r="J569" s="4996"/>
      <c r="K569" s="4996"/>
      <c r="L569" s="4996"/>
      <c r="M569" s="4996"/>
      <c r="N569" s="4996"/>
      <c r="O569" s="4996"/>
      <c r="P569" s="4996"/>
      <c r="Q569" s="4996"/>
      <c r="R569" s="4996"/>
      <c r="S569" s="4996"/>
      <c r="T569" s="4996"/>
      <c r="U569" s="4996"/>
      <c r="V569" s="4996"/>
      <c r="W569" s="4996"/>
      <c r="X569" s="4996"/>
      <c r="Y569" s="4996"/>
      <c r="Z569" s="4996"/>
      <c r="AA569" s="4996"/>
      <c r="AB569" s="4996"/>
      <c r="AC569" s="4996"/>
      <c r="AD569" s="4996"/>
    </row>
    <row r="570" spans="1:30" ht="12.75" customHeight="1" x14ac:dyDescent="0.2">
      <c r="A570" s="2029">
        <v>211</v>
      </c>
      <c r="B570" s="4995"/>
      <c r="C570" s="4996"/>
      <c r="D570" s="4996"/>
      <c r="E570" s="4996"/>
      <c r="F570" s="4996"/>
      <c r="G570" s="4996"/>
      <c r="H570" s="4996"/>
      <c r="I570" s="4996"/>
      <c r="J570" s="4996"/>
      <c r="K570" s="4996"/>
      <c r="L570" s="4996"/>
      <c r="M570" s="4996"/>
      <c r="N570" s="4996"/>
      <c r="O570" s="4996"/>
      <c r="P570" s="4996"/>
      <c r="Q570" s="4996"/>
      <c r="R570" s="4996"/>
      <c r="S570" s="4996"/>
      <c r="T570" s="4996"/>
      <c r="U570" s="4996"/>
      <c r="V570" s="4996"/>
      <c r="W570" s="4996"/>
      <c r="X570" s="4996"/>
      <c r="Y570" s="4996"/>
      <c r="Z570" s="4996"/>
      <c r="AA570" s="4996"/>
      <c r="AB570" s="4996"/>
      <c r="AC570" s="4996"/>
      <c r="AD570" s="4996"/>
    </row>
    <row r="571" spans="1:30" ht="12.75" customHeight="1" thickBot="1" x14ac:dyDescent="0.25">
      <c r="A571" s="2029">
        <v>211</v>
      </c>
      <c r="B571" s="4995"/>
      <c r="H571" s="413"/>
      <c r="I571" s="1761"/>
      <c r="N571" s="413"/>
      <c r="O571" s="2112"/>
      <c r="AA571" s="1761"/>
      <c r="AB571" s="413"/>
      <c r="AC571" s="2795"/>
    </row>
    <row r="572" spans="1:30" ht="12.75" customHeight="1" thickBot="1" x14ac:dyDescent="0.25">
      <c r="A572" s="2029">
        <v>211</v>
      </c>
      <c r="B572" s="4995"/>
      <c r="C572" s="5043" t="s">
        <v>1458</v>
      </c>
      <c r="D572" s="5043"/>
      <c r="E572" s="5043"/>
      <c r="F572" s="5043"/>
      <c r="G572" s="5043"/>
      <c r="H572" s="5043"/>
      <c r="I572" s="5043"/>
      <c r="J572" s="5043"/>
      <c r="K572" s="5043"/>
      <c r="L572" s="5043"/>
      <c r="M572" s="5043"/>
      <c r="N572" s="5043"/>
      <c r="O572" s="5043"/>
      <c r="P572" s="5043"/>
      <c r="Q572" s="5043"/>
      <c r="R572" s="5043"/>
      <c r="T572" s="5044" t="s">
        <v>1511</v>
      </c>
      <c r="U572" s="5044"/>
      <c r="X572" s="3997" t="s">
        <v>3079</v>
      </c>
      <c r="Y572" s="3998"/>
      <c r="Z572" s="3998"/>
      <c r="AA572" s="3999"/>
      <c r="AB572" s="413"/>
      <c r="AC572" s="5071" t="s">
        <v>1452</v>
      </c>
    </row>
    <row r="573" spans="1:30" ht="12.75" customHeight="1" thickBot="1" x14ac:dyDescent="0.25">
      <c r="A573" s="2029">
        <v>211</v>
      </c>
      <c r="B573" s="4995"/>
      <c r="C573" s="5043"/>
      <c r="D573" s="5043"/>
      <c r="E573" s="5043"/>
      <c r="F573" s="5043"/>
      <c r="G573" s="5043"/>
      <c r="H573" s="5043"/>
      <c r="I573" s="5043"/>
      <c r="J573" s="5043"/>
      <c r="K573" s="5043"/>
      <c r="L573" s="5043"/>
      <c r="M573" s="5043"/>
      <c r="N573" s="5043"/>
      <c r="O573" s="5043"/>
      <c r="P573" s="5043"/>
      <c r="Q573" s="5043"/>
      <c r="R573" s="5043"/>
      <c r="T573" s="418" t="s">
        <v>2562</v>
      </c>
      <c r="U573" s="420" t="s">
        <v>1512</v>
      </c>
      <c r="X573" s="5007"/>
      <c r="Y573" s="5008"/>
      <c r="Z573" s="5008"/>
      <c r="AA573" s="5009"/>
      <c r="AB573" s="413"/>
      <c r="AC573" s="5071"/>
    </row>
    <row r="574" spans="1:30" ht="12.75" customHeight="1" thickBot="1" x14ac:dyDescent="0.25">
      <c r="A574" s="2029">
        <v>211</v>
      </c>
      <c r="B574" s="4995"/>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6" t="s">
        <v>3080</v>
      </c>
      <c r="Y574" s="2610" t="s">
        <v>1804</v>
      </c>
      <c r="Z574" s="527" t="s">
        <v>1866</v>
      </c>
      <c r="AA574" s="2628" t="s">
        <v>2740</v>
      </c>
      <c r="AB574" s="413"/>
      <c r="AC574" s="2845" t="s">
        <v>2412</v>
      </c>
    </row>
    <row r="575" spans="1:30" ht="12.75" customHeight="1" thickBot="1" x14ac:dyDescent="0.25">
      <c r="A575" s="2029">
        <v>211</v>
      </c>
      <c r="B575" s="4995"/>
      <c r="C575" s="414"/>
      <c r="D575" s="415" t="s">
        <v>1864</v>
      </c>
      <c r="E575" s="415" t="s">
        <v>2173</v>
      </c>
      <c r="F575" s="415" t="s">
        <v>1712</v>
      </c>
      <c r="G575" s="415" t="s">
        <v>1459</v>
      </c>
      <c r="H575" s="415" t="s">
        <v>2404</v>
      </c>
      <c r="I575" s="1845" t="s">
        <v>2563</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40" t="s">
        <v>3081</v>
      </c>
      <c r="Y575" s="263">
        <v>10</v>
      </c>
      <c r="Z575" s="2115" t="s">
        <v>3082</v>
      </c>
      <c r="AA575" s="1978"/>
      <c r="AB575" s="413"/>
      <c r="AC575" s="2845" t="s">
        <v>1453</v>
      </c>
    </row>
    <row r="576" spans="1:30" ht="12.75" customHeight="1" thickBot="1" x14ac:dyDescent="0.25">
      <c r="A576" s="2029">
        <v>211</v>
      </c>
      <c r="B576" s="4995"/>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40" t="s">
        <v>3083</v>
      </c>
      <c r="Y576" s="263">
        <v>15</v>
      </c>
      <c r="Z576" s="2115" t="s">
        <v>3084</v>
      </c>
      <c r="AA576" s="1978"/>
      <c r="AB576" s="413"/>
      <c r="AC576" s="2846" t="s">
        <v>1454</v>
      </c>
    </row>
    <row r="577" spans="1:30" ht="12.75" customHeight="1" thickBot="1" x14ac:dyDescent="0.25">
      <c r="A577" s="2029">
        <v>211</v>
      </c>
      <c r="B577" s="4995"/>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40" t="s">
        <v>3085</v>
      </c>
      <c r="Y577" s="263">
        <v>20</v>
      </c>
      <c r="Z577" s="2115" t="s">
        <v>3086</v>
      </c>
      <c r="AA577" s="1978"/>
      <c r="AB577" s="413"/>
      <c r="AC577" s="2795"/>
    </row>
    <row r="578" spans="1:30" ht="12.75" customHeight="1" thickBot="1" x14ac:dyDescent="0.25">
      <c r="A578" s="2029">
        <v>211</v>
      </c>
      <c r="B578" s="4995"/>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40" t="s">
        <v>3087</v>
      </c>
      <c r="Y578" s="263">
        <v>50</v>
      </c>
      <c r="Z578" s="2115" t="s">
        <v>3088</v>
      </c>
      <c r="AA578" s="1978"/>
      <c r="AB578" s="413"/>
      <c r="AC578" s="2903" t="s">
        <v>1633</v>
      </c>
    </row>
    <row r="579" spans="1:30" ht="12.75" customHeight="1" thickBot="1" x14ac:dyDescent="0.25">
      <c r="A579" s="2029">
        <v>211</v>
      </c>
      <c r="B579" s="4995"/>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1" t="s">
        <v>3089</v>
      </c>
      <c r="Y579" s="263">
        <v>50</v>
      </c>
      <c r="Z579" s="2115" t="s">
        <v>3090</v>
      </c>
      <c r="AA579" s="1978"/>
      <c r="AB579" s="413"/>
      <c r="AC579" s="2847" t="s">
        <v>1455</v>
      </c>
    </row>
    <row r="580" spans="1:30" ht="12.75" customHeight="1" thickBot="1" x14ac:dyDescent="0.25">
      <c r="A580" s="2029">
        <v>211</v>
      </c>
      <c r="B580" s="4995"/>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94" t="s">
        <v>9198</v>
      </c>
      <c r="U580" s="5095"/>
      <c r="V580" s="5096"/>
      <c r="X580" s="2642" t="s">
        <v>3091</v>
      </c>
      <c r="Y580" s="1590">
        <v>50</v>
      </c>
      <c r="Z580" s="2627" t="s">
        <v>3092</v>
      </c>
      <c r="AA580" s="2006"/>
      <c r="AB580" s="413"/>
      <c r="AC580" s="2845" t="s">
        <v>1456</v>
      </c>
    </row>
    <row r="581" spans="1:30" ht="12.75" customHeight="1" x14ac:dyDescent="0.2">
      <c r="A581" s="2029">
        <v>211</v>
      </c>
      <c r="B581" s="4995"/>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097" t="s">
        <v>1842</v>
      </c>
      <c r="U581" s="4937"/>
      <c r="V581" s="2391" t="s">
        <v>2740</v>
      </c>
      <c r="X581" s="5223" t="str">
        <f>X580</f>
        <v>Tabla de armas arquetípicas</v>
      </c>
      <c r="Y581" s="5224"/>
      <c r="Z581" s="5224"/>
      <c r="AA581" s="5225"/>
      <c r="AB581" s="413"/>
      <c r="AC581" s="2845" t="s">
        <v>1457</v>
      </c>
    </row>
    <row r="582" spans="1:30" ht="12.75" customHeight="1" thickBot="1" x14ac:dyDescent="0.25">
      <c r="A582" s="2029">
        <v>211</v>
      </c>
      <c r="B582" s="4995"/>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98" t="s">
        <v>1966</v>
      </c>
      <c r="U582" s="5099"/>
      <c r="V582" s="2394">
        <f>COUNTIF(Personalización!$W$9:$Y$10,Tablas!$T582)</f>
        <v>2</v>
      </c>
      <c r="X582" s="2524" t="str">
        <f>IF(Personalización!Y36=0,"Tabla personalizada #1",Personalización!Y36)</f>
        <v>Tabla personalizada #1</v>
      </c>
      <c r="Y582" s="516"/>
      <c r="Z582" s="516"/>
      <c r="AA582" s="2453">
        <f>COUNTIF(PDs!$Y$40:$AA$45,Tablas!X582)</f>
        <v>0</v>
      </c>
      <c r="AB582" s="413"/>
      <c r="AC582" s="2846" t="s">
        <v>1881</v>
      </c>
    </row>
    <row r="583" spans="1:30" ht="12.75" customHeight="1" thickBot="1" x14ac:dyDescent="0.25">
      <c r="A583" s="2029">
        <v>211</v>
      </c>
      <c r="B583" s="4995"/>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98" t="s">
        <v>1969</v>
      </c>
      <c r="U583" s="5099"/>
      <c r="V583" s="2394">
        <f>COUNTIF(Personalización!$W$9:$Y$10,Tablas!$T583)</f>
        <v>0</v>
      </c>
      <c r="X583" s="2524" t="str">
        <f>IF(Personalización!AB36=0,"Tabla personalizada #2",Personalización!AB36)</f>
        <v>Tabla personalizada #2</v>
      </c>
      <c r="Y583" s="516"/>
      <c r="Z583" s="516"/>
      <c r="AA583" s="2453">
        <f>COUNTIF(PDs!$Y$40:$AA$45,Tablas!X583)</f>
        <v>0</v>
      </c>
      <c r="AB583" s="413"/>
      <c r="AC583" s="2795"/>
    </row>
    <row r="584" spans="1:30" ht="12.75" customHeight="1" thickBot="1" x14ac:dyDescent="0.25">
      <c r="A584" s="2029">
        <v>211</v>
      </c>
      <c r="B584" s="4995"/>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98" t="s">
        <v>2601</v>
      </c>
      <c r="U584" s="5099"/>
      <c r="V584" s="2394">
        <f>COUNTIF(Personalización!$W$9:$Y$10,Tablas!$T584)</f>
        <v>0</v>
      </c>
      <c r="X584" s="2524" t="str">
        <f>IF(Personalización!AE36=0,"Tabla personalizada #3",Personalización!AE36)</f>
        <v>Tabla personalizada #3</v>
      </c>
      <c r="Y584" s="516"/>
      <c r="Z584" s="516"/>
      <c r="AA584" s="2453">
        <f>COUNTIF(PDs!$Y$40:$AA$45,Tablas!X584)</f>
        <v>0</v>
      </c>
      <c r="AB584" s="413"/>
      <c r="AC584" s="5168" t="s">
        <v>1486</v>
      </c>
    </row>
    <row r="585" spans="1:30" ht="12.75" customHeight="1" thickBot="1" x14ac:dyDescent="0.25">
      <c r="A585" s="2029">
        <v>211</v>
      </c>
      <c r="B585" s="4995"/>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98" t="s">
        <v>9199</v>
      </c>
      <c r="U585" s="5099"/>
      <c r="V585" s="2394">
        <f>COUNTIF(Personalización!$W$9:$Y$10,Tablas!$T585)</f>
        <v>0</v>
      </c>
      <c r="X585" s="2524" t="str">
        <f>IF(Personalización!AH36=0,"Tabla personalizada #4",Personalización!AH36)</f>
        <v>Tabla personalizada #4</v>
      </c>
      <c r="Y585" s="516"/>
      <c r="Z585" s="516"/>
      <c r="AA585" s="2453">
        <f>COUNTIF(PDs!$Y$40:$AA$45,Tablas!X585)</f>
        <v>0</v>
      </c>
      <c r="AB585" s="413"/>
      <c r="AC585" s="5168"/>
    </row>
    <row r="586" spans="1:30" ht="12.75" customHeight="1" x14ac:dyDescent="0.2">
      <c r="A586" s="2029">
        <v>211</v>
      </c>
      <c r="B586" s="4995"/>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98" t="s">
        <v>9200</v>
      </c>
      <c r="U586" s="5099"/>
      <c r="V586" s="2394">
        <f>COUNTIF(Personalización!$W$9:$Y$10,Tablas!$T586)</f>
        <v>0</v>
      </c>
      <c r="X586" s="2524" t="s">
        <v>3093</v>
      </c>
      <c r="Y586" s="516"/>
      <c r="Z586" s="516" t="s">
        <v>3094</v>
      </c>
      <c r="AA586" s="2453">
        <f>COUNTIF(PDs!$Y$40:$AA$45,Tablas!X586)</f>
        <v>0</v>
      </c>
      <c r="AB586" s="413"/>
      <c r="AC586" s="546">
        <v>-10</v>
      </c>
      <c r="AD586" s="1761"/>
    </row>
    <row r="587" spans="1:30" ht="12.75" customHeight="1" x14ac:dyDescent="0.2">
      <c r="A587" s="2029">
        <v>211</v>
      </c>
      <c r="B587" s="4995"/>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98" t="s">
        <v>9201</v>
      </c>
      <c r="U587" s="5099"/>
      <c r="V587" s="2394">
        <f>COUNTIF(Personalización!$W$9:$Y$10,Tablas!$T587)</f>
        <v>0</v>
      </c>
      <c r="X587" s="2524" t="s">
        <v>3095</v>
      </c>
      <c r="Y587" s="516"/>
      <c r="Z587" s="516" t="s">
        <v>3096</v>
      </c>
      <c r="AA587" s="2453">
        <f>COUNTIF(PDs!$Y$40:$AA$45,Tablas!X587)</f>
        <v>0</v>
      </c>
      <c r="AB587" s="413"/>
      <c r="AC587" s="547">
        <v>-5</v>
      </c>
      <c r="AD587" s="1761"/>
    </row>
    <row r="588" spans="1:30" ht="12.75" customHeight="1" x14ac:dyDescent="0.2">
      <c r="A588" s="2029">
        <v>211</v>
      </c>
      <c r="B588" s="4995"/>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98" t="s">
        <v>9202</v>
      </c>
      <c r="U588" s="5099"/>
      <c r="V588" s="2394">
        <f>COUNTIF(Personalización!$W$9:$Y$10,Tablas!$T588)</f>
        <v>0</v>
      </c>
      <c r="X588" s="2524" t="s">
        <v>3097</v>
      </c>
      <c r="Y588" s="516"/>
      <c r="Z588" s="516" t="s">
        <v>3098</v>
      </c>
      <c r="AA588" s="2453">
        <f>COUNTIF(PDs!$Y$40:$AA$45,Tablas!X588)</f>
        <v>0</v>
      </c>
      <c r="AB588" s="413"/>
      <c r="AC588" s="547">
        <v>0</v>
      </c>
    </row>
    <row r="589" spans="1:30" ht="12.75" customHeight="1" x14ac:dyDescent="0.2">
      <c r="A589" s="2029">
        <v>211</v>
      </c>
      <c r="B589" s="4995"/>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98" t="s">
        <v>9203</v>
      </c>
      <c r="U589" s="5099"/>
      <c r="V589" s="2394">
        <f>COUNTIF(Personalización!$W$9:$Y$10,Tablas!$T589)</f>
        <v>0</v>
      </c>
      <c r="X589" s="2524" t="s">
        <v>3099</v>
      </c>
      <c r="Y589" s="516"/>
      <c r="Z589" s="516" t="s">
        <v>3100</v>
      </c>
      <c r="AA589" s="2453">
        <f>COUNTIF(PDs!$Y$40:$AA$45,Tablas!X589)</f>
        <v>0</v>
      </c>
      <c r="AB589" s="413"/>
      <c r="AC589" s="547">
        <v>5</v>
      </c>
    </row>
    <row r="590" spans="1:30" ht="12.75" customHeight="1" thickBot="1" x14ac:dyDescent="0.25">
      <c r="A590" s="2029">
        <v>211</v>
      </c>
      <c r="B590" s="4995"/>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192" t="s">
        <v>9204</v>
      </c>
      <c r="U590" s="5193"/>
      <c r="V590" s="2397">
        <f>COUNTIF(Personalización!$W$9:$Y$10,Tablas!$T590)</f>
        <v>0</v>
      </c>
      <c r="X590" s="2524" t="s">
        <v>3101</v>
      </c>
      <c r="Y590" s="516"/>
      <c r="Z590" s="516" t="s">
        <v>3102</v>
      </c>
      <c r="AA590" s="2453">
        <f>COUNTIF(PDs!$Y$40:$AA$45,Tablas!X590)</f>
        <v>0</v>
      </c>
      <c r="AB590" s="413"/>
      <c r="AC590" s="547">
        <v>10</v>
      </c>
    </row>
    <row r="591" spans="1:30" ht="12.75" customHeight="1" thickBot="1" x14ac:dyDescent="0.25">
      <c r="A591" s="2029">
        <v>211</v>
      </c>
      <c r="B591" s="4995"/>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4" t="s">
        <v>3103</v>
      </c>
      <c r="Y591" s="516"/>
      <c r="Z591" s="516" t="s">
        <v>3104</v>
      </c>
      <c r="AA591" s="2453">
        <f>COUNTIF(PDs!$Y$40:$AA$45,Tablas!X591)</f>
        <v>0</v>
      </c>
      <c r="AB591" s="413"/>
      <c r="AC591" s="547">
        <v>15</v>
      </c>
    </row>
    <row r="592" spans="1:30" ht="12.75" customHeight="1" x14ac:dyDescent="0.2">
      <c r="A592" s="2029">
        <v>211</v>
      </c>
      <c r="B592" s="4995"/>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94" t="s">
        <v>9206</v>
      </c>
      <c r="U592" s="5095"/>
      <c r="V592" s="5096"/>
      <c r="X592" s="2524" t="s">
        <v>2523</v>
      </c>
      <c r="Y592" s="516"/>
      <c r="Z592" s="516" t="s">
        <v>3105</v>
      </c>
      <c r="AA592" s="2453">
        <f>COUNTIF(PDs!$Y$40:$AA$45,Tablas!X592)</f>
        <v>0</v>
      </c>
      <c r="AB592" s="413"/>
      <c r="AC592" s="547">
        <v>20</v>
      </c>
    </row>
    <row r="593" spans="1:30" ht="12.75" customHeight="1" x14ac:dyDescent="0.2">
      <c r="A593" s="2029">
        <v>211</v>
      </c>
      <c r="B593" s="4995"/>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190" t="s">
        <v>8389</v>
      </c>
      <c r="U593" s="5191"/>
      <c r="V593" s="2394">
        <f>COUNTIF(Combate!$X$55:$AC$64,$E$980)*COUNTIF(Personalización!$AB$8:$AE$10,Tablas!$T593)</f>
        <v>0</v>
      </c>
      <c r="X593" s="2524" t="s">
        <v>3106</v>
      </c>
      <c r="Y593" s="516"/>
      <c r="Z593" s="516" t="s">
        <v>3107</v>
      </c>
      <c r="AA593" s="2453">
        <f>COUNTIF(PDs!$Y$40:$AA$45,Tablas!X593)</f>
        <v>0</v>
      </c>
      <c r="AB593" s="413"/>
      <c r="AC593" s="547">
        <v>25</v>
      </c>
    </row>
    <row r="594" spans="1:30" ht="12.75" customHeight="1" thickBot="1" x14ac:dyDescent="0.25">
      <c r="A594" s="2029">
        <v>211</v>
      </c>
      <c r="B594" s="4995"/>
      <c r="C594" s="65"/>
      <c r="D594" s="241" t="s">
        <v>2365</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190" t="s">
        <v>9208</v>
      </c>
      <c r="U594" s="5191"/>
      <c r="V594" s="2394">
        <f>COUNTIF(Combate!$X$55:$AC$64,$E$980)*COUNTIF(Personalización!$AB$8:$AE$10,Tablas!$T594)</f>
        <v>0</v>
      </c>
      <c r="X594" s="2524" t="s">
        <v>3108</v>
      </c>
      <c r="Y594" s="516"/>
      <c r="Z594" s="516" t="s">
        <v>3109</v>
      </c>
      <c r="AA594" s="2453">
        <f>COUNTIF(PDs!$Y$40:$AA$45,Tablas!X594)</f>
        <v>0</v>
      </c>
      <c r="AB594" s="413"/>
      <c r="AC594" s="548">
        <v>30</v>
      </c>
    </row>
    <row r="595" spans="1:30" ht="12.75" customHeight="1" x14ac:dyDescent="0.2">
      <c r="A595" s="2029">
        <v>211</v>
      </c>
      <c r="B595" s="4995"/>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190" t="s">
        <v>135</v>
      </c>
      <c r="U595" s="5191"/>
      <c r="V595" s="2394">
        <f>COUNTIF(Combate!$X$55:$AC$64,$E$980)*COUNTIF(Personalización!$AB$8:$AE$10,Tablas!$T595)</f>
        <v>0</v>
      </c>
      <c r="X595" s="2524" t="s">
        <v>3110</v>
      </c>
      <c r="Y595" s="516"/>
      <c r="Z595" s="516" t="s">
        <v>3111</v>
      </c>
      <c r="AA595" s="2453">
        <f>COUNTIF(PDs!$Y$40:$AA$45,Tablas!X595)</f>
        <v>0</v>
      </c>
      <c r="AB595" s="413"/>
      <c r="AC595" s="2795"/>
    </row>
    <row r="596" spans="1:30" ht="12.75" customHeight="1" x14ac:dyDescent="0.2">
      <c r="A596" s="2029">
        <v>211</v>
      </c>
      <c r="B596" s="4995"/>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190" t="s">
        <v>9211</v>
      </c>
      <c r="U596" s="5191"/>
      <c r="V596" s="2394">
        <f>COUNTIF(Combate!$X$55:$AC$64,$E$980)*COUNTIF(Personalización!$AB$8:$AE$10,Tablas!$T596)</f>
        <v>0</v>
      </c>
      <c r="X596" s="2524" t="s">
        <v>3112</v>
      </c>
      <c r="Y596" s="516"/>
      <c r="Z596" s="516" t="s">
        <v>3113</v>
      </c>
      <c r="AA596" s="2453">
        <f>COUNTIF(PDs!$Y$40:$AA$45,Tablas!X596)</f>
        <v>0</v>
      </c>
      <c r="AB596" s="413"/>
      <c r="AC596" s="2795"/>
    </row>
    <row r="597" spans="1:30" ht="12.75" customHeight="1" thickBot="1" x14ac:dyDescent="0.25">
      <c r="A597" s="2029">
        <v>211</v>
      </c>
      <c r="B597" s="4995"/>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190" t="s">
        <v>9213</v>
      </c>
      <c r="U597" s="5191"/>
      <c r="V597" s="2394">
        <f>COUNTIF(Combate!$X$55:$AC$64,$E$980)*COUNTIF(Personalización!$AB$8:$AE$10,Tablas!$T597)</f>
        <v>0</v>
      </c>
      <c r="X597" s="2526" t="s">
        <v>3114</v>
      </c>
      <c r="Y597" s="2527"/>
      <c r="Z597" s="2527" t="s">
        <v>3115</v>
      </c>
      <c r="AA597" s="2455">
        <f>COUNTIF(PDs!$Y$40:$AA$45,Tablas!X597)</f>
        <v>0</v>
      </c>
      <c r="AB597" s="413"/>
      <c r="AC597" s="2795"/>
      <c r="AD597" s="1761"/>
    </row>
    <row r="598" spans="1:30" ht="12.75" customHeight="1" thickBot="1" x14ac:dyDescent="0.25">
      <c r="A598" s="2029">
        <v>211</v>
      </c>
      <c r="B598" s="4995"/>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170" t="s">
        <v>9215</v>
      </c>
      <c r="U598" s="5171"/>
      <c r="V598" s="2397">
        <f>COUNTIF(Combate!$X$55:$AC$64,$E$980)*COUNTIF(Personalización!$AB$8:$AE$10,Tablas!$T598)</f>
        <v>0</v>
      </c>
      <c r="X598" s="5223" t="str">
        <f>X578</f>
        <v>Tabla de tipología</v>
      </c>
      <c r="Y598" s="5224"/>
      <c r="Z598" s="5224"/>
      <c r="AA598" s="5225"/>
      <c r="AB598" s="413"/>
      <c r="AC598" s="2795"/>
      <c r="AD598" s="1761"/>
    </row>
    <row r="599" spans="1:30" ht="12.75" customHeight="1" thickBot="1" x14ac:dyDescent="0.25">
      <c r="A599" s="2029">
        <v>211</v>
      </c>
      <c r="B599" s="4995"/>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4" t="s">
        <v>1769</v>
      </c>
      <c r="Y599" s="516"/>
      <c r="Z599" s="516"/>
      <c r="AA599" s="2453"/>
      <c r="AB599" s="413"/>
      <c r="AC599" s="2795"/>
      <c r="AD599" s="1761"/>
    </row>
    <row r="600" spans="1:30" ht="12.75" customHeight="1" x14ac:dyDescent="0.2">
      <c r="A600" s="2029">
        <v>211</v>
      </c>
      <c r="B600" s="4995"/>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94" t="s">
        <v>9205</v>
      </c>
      <c r="U600" s="5096"/>
      <c r="X600" s="2524" t="s">
        <v>2573</v>
      </c>
      <c r="Y600" s="516"/>
      <c r="Z600" s="516" t="s">
        <v>10485</v>
      </c>
      <c r="AA600" s="2453">
        <f>COUNTIF(PDs!$Y$40:$AA$45,Tablas!X600)</f>
        <v>0</v>
      </c>
      <c r="AB600" s="413"/>
      <c r="AC600" s="2795"/>
      <c r="AD600" s="1761"/>
    </row>
    <row r="601" spans="1:30" ht="12.75" customHeight="1" x14ac:dyDescent="0.2">
      <c r="A601" s="2029">
        <v>211</v>
      </c>
      <c r="B601" s="4995"/>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9199</v>
      </c>
      <c r="U601" s="2394">
        <f>COUNTIF(Combate!$X$55:$AC$64,$E$974)*COUNTIF(Personalización!$AG$7:$AJ$9,Tablas!$T601)</f>
        <v>0</v>
      </c>
      <c r="X601" s="2524" t="s">
        <v>2587</v>
      </c>
      <c r="Y601" s="516"/>
      <c r="Z601" s="516" t="s">
        <v>10486</v>
      </c>
      <c r="AA601" s="2453">
        <f>COUNTIF(PDs!$Y$40:$AA$45,Tablas!X601)</f>
        <v>0</v>
      </c>
      <c r="AB601" s="413"/>
      <c r="AC601" s="2795"/>
      <c r="AD601" s="1761"/>
    </row>
    <row r="602" spans="1:30" ht="12.75" customHeight="1" x14ac:dyDescent="0.2">
      <c r="A602" s="2029">
        <v>211</v>
      </c>
      <c r="B602" s="4995"/>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9207</v>
      </c>
      <c r="U602" s="2394">
        <f>COUNTIF(Combate!$X$55:$AC$64,$E$974)*COUNTIF(Personalización!$AG$7:$AJ$9,Tablas!$T602)</f>
        <v>0</v>
      </c>
      <c r="X602" s="2524" t="s">
        <v>2584</v>
      </c>
      <c r="Y602" s="516"/>
      <c r="Z602" s="516" t="s">
        <v>10487</v>
      </c>
      <c r="AA602" s="2453">
        <f>COUNTIF(PDs!$Y$40:$AA$45,Tablas!X602)</f>
        <v>0</v>
      </c>
      <c r="AB602" s="413"/>
      <c r="AC602" s="2795"/>
      <c r="AD602" s="1761"/>
    </row>
    <row r="603" spans="1:30" ht="12.75" customHeight="1" x14ac:dyDescent="0.2">
      <c r="A603" s="2029">
        <v>211</v>
      </c>
      <c r="B603" s="4995"/>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9209</v>
      </c>
      <c r="U603" s="2394">
        <f>COUNTIF(Combate!$X$55:$AC$64,$E$974)*COUNTIF(Personalización!$AG$7:$AJ$9,Tablas!$T603)</f>
        <v>0</v>
      </c>
      <c r="X603" s="2524" t="s">
        <v>2644</v>
      </c>
      <c r="Y603" s="516"/>
      <c r="Z603" s="516" t="s">
        <v>10488</v>
      </c>
      <c r="AA603" s="2453">
        <f>COUNTIF(PDs!$Y$40:$AA$45,Tablas!X603)</f>
        <v>0</v>
      </c>
      <c r="AB603" s="413"/>
      <c r="AC603" s="2795"/>
      <c r="AD603" s="1761"/>
    </row>
    <row r="604" spans="1:30" ht="12.75" customHeight="1" x14ac:dyDescent="0.2">
      <c r="A604" s="2029">
        <v>211</v>
      </c>
      <c r="B604" s="4995"/>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9210</v>
      </c>
      <c r="U604" s="2394">
        <f>COUNTIF(Combate!$X$55:$AC$64,$E$974)*COUNTIF(Personalización!$AG$7:$AJ$9,Tablas!$T604)</f>
        <v>0</v>
      </c>
      <c r="X604" s="2524" t="s">
        <v>2589</v>
      </c>
      <c r="Y604" s="516"/>
      <c r="Z604" s="516" t="s">
        <v>10489</v>
      </c>
      <c r="AA604" s="2453">
        <f>COUNTIF(PDs!$Y$40:$AA$45,Tablas!X604)</f>
        <v>0</v>
      </c>
      <c r="AB604" s="413"/>
      <c r="AC604" s="2795"/>
      <c r="AD604" s="1761"/>
    </row>
    <row r="605" spans="1:30" ht="12.75" customHeight="1" x14ac:dyDescent="0.2">
      <c r="A605" s="2029">
        <v>211</v>
      </c>
      <c r="B605" s="4995"/>
      <c r="C605" s="65"/>
      <c r="D605" s="241" t="str">
        <f>IF(Personalización!Y26=0,"Armadura #1",Personalización!Y26)</f>
        <v>Armadura #1</v>
      </c>
      <c r="E605" s="2546">
        <f>Personalización!W28</f>
        <v>0</v>
      </c>
      <c r="F605" s="2546">
        <f>Personalización!Y28</f>
        <v>0</v>
      </c>
      <c r="G605" s="216">
        <f>Personalización!AA28</f>
        <v>0</v>
      </c>
      <c r="H605" s="216">
        <f>Personalización!AC32</f>
        <v>0</v>
      </c>
      <c r="I605" s="1830">
        <f>Personalización!AC33</f>
        <v>0</v>
      </c>
      <c r="J605" s="2546">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9212</v>
      </c>
      <c r="U605" s="2394">
        <f>COUNTIF(Combate!$X$55:$AC$64,$E$974)*COUNTIF(Personalización!$AG$7:$AJ$9,Tablas!$T605)</f>
        <v>0</v>
      </c>
      <c r="X605" s="2524" t="s">
        <v>2613</v>
      </c>
      <c r="Y605" s="516"/>
      <c r="Z605" s="516" t="s">
        <v>10490</v>
      </c>
      <c r="AA605" s="2453">
        <f>COUNTIF(PDs!$Y$40:$AA$45,Tablas!X605)</f>
        <v>0</v>
      </c>
      <c r="AB605" s="413"/>
      <c r="AC605" s="517"/>
    </row>
    <row r="606" spans="1:30" ht="12.75" customHeight="1" thickBot="1" x14ac:dyDescent="0.25">
      <c r="A606" s="2029">
        <v>211</v>
      </c>
      <c r="B606" s="4995"/>
      <c r="C606" s="65"/>
      <c r="D606" s="241" t="str">
        <f>IF(Personalización!AF26=0,"Armadura #2",Personalización!AF26)</f>
        <v>Armadura #2</v>
      </c>
      <c r="E606" s="2695">
        <f>Personalización!AD28</f>
        <v>0</v>
      </c>
      <c r="F606" s="2695">
        <f>Personalización!AF28</f>
        <v>0</v>
      </c>
      <c r="G606" s="2695">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9214</v>
      </c>
      <c r="U606" s="2397">
        <f>COUNTIF(Combate!$X$55:$AC$64,$E$974)*COUNTIF(Personalización!$AG$7:$AJ$9,Tablas!$T606)</f>
        <v>0</v>
      </c>
      <c r="X606" s="2524" t="s">
        <v>2574</v>
      </c>
      <c r="Y606" s="516"/>
      <c r="Z606" s="516" t="s">
        <v>10491</v>
      </c>
      <c r="AA606" s="2453">
        <f>COUNTIF(PDs!$Y$40:$AA$45,Tablas!X606)</f>
        <v>0</v>
      </c>
      <c r="AB606" s="413"/>
      <c r="AC606" s="517"/>
    </row>
    <row r="607" spans="1:30" ht="12.75" customHeight="1" x14ac:dyDescent="0.2">
      <c r="A607" s="2029">
        <v>211</v>
      </c>
      <c r="B607" s="4995"/>
      <c r="C607" s="5004" t="s">
        <v>9451</v>
      </c>
      <c r="D607" s="5005"/>
      <c r="E607" s="5005"/>
      <c r="F607" s="5005"/>
      <c r="G607" s="5006"/>
      <c r="H607" s="413"/>
      <c r="I607" s="1761"/>
      <c r="N607" s="413"/>
      <c r="O607" s="2112"/>
      <c r="X607" s="2524" t="s">
        <v>2609</v>
      </c>
      <c r="Y607" s="516"/>
      <c r="Z607" s="516" t="s">
        <v>10492</v>
      </c>
      <c r="AA607" s="2453">
        <f>COUNTIF(PDs!$Y$40:$AA$45,Tablas!X607)</f>
        <v>0</v>
      </c>
      <c r="AB607" s="413"/>
      <c r="AC607" s="517"/>
    </row>
    <row r="608" spans="1:30" ht="12.75" customHeight="1" thickBot="1" x14ac:dyDescent="0.25">
      <c r="A608" s="2029">
        <v>211</v>
      </c>
      <c r="B608" s="4995"/>
      <c r="H608" s="413"/>
      <c r="I608" s="1761"/>
      <c r="N608" s="413"/>
      <c r="O608" s="2112"/>
      <c r="X608" s="2524" t="s">
        <v>2578</v>
      </c>
      <c r="Y608" s="516"/>
      <c r="Z608" s="516" t="s">
        <v>10493</v>
      </c>
      <c r="AA608" s="2453">
        <f>COUNTIF(PDs!$Y$40:$AA$45,Tablas!X608)</f>
        <v>0</v>
      </c>
      <c r="AB608" s="413"/>
      <c r="AC608" s="517"/>
    </row>
    <row r="609" spans="1:469" ht="12.75" customHeight="1" x14ac:dyDescent="0.2">
      <c r="A609" s="2029">
        <v>211</v>
      </c>
      <c r="B609" s="4995"/>
      <c r="C609" s="5051" t="s">
        <v>1487</v>
      </c>
      <c r="D609" s="5051"/>
      <c r="E609" s="5051"/>
      <c r="F609" s="5051"/>
      <c r="G609" s="5051"/>
      <c r="H609" s="5051"/>
      <c r="I609" s="5051"/>
      <c r="J609" s="5051"/>
      <c r="K609" s="5051"/>
      <c r="L609" s="5051"/>
      <c r="M609" s="5051"/>
      <c r="N609" s="5051"/>
      <c r="O609" s="5051"/>
      <c r="P609" s="5051"/>
      <c r="Q609" s="5051"/>
      <c r="X609" s="2524" t="s">
        <v>2677</v>
      </c>
      <c r="Y609" s="516"/>
      <c r="Z609" s="516" t="s">
        <v>10516</v>
      </c>
      <c r="AA609" s="2453">
        <f>COUNTIF(PDs!$Y$40:$AA$45,Tablas!X609)</f>
        <v>0</v>
      </c>
      <c r="AB609" s="413"/>
      <c r="AC609" s="2795"/>
      <c r="AD609" s="1761"/>
    </row>
    <row r="610" spans="1:469" ht="12.75" customHeight="1" thickBot="1" x14ac:dyDescent="0.25">
      <c r="A610" s="2029">
        <v>211</v>
      </c>
      <c r="B610" s="4995"/>
      <c r="C610" s="455"/>
      <c r="D610" s="2214" t="s">
        <v>1864</v>
      </c>
      <c r="E610" s="2214" t="s">
        <v>2173</v>
      </c>
      <c r="F610" s="2214" t="s">
        <v>1488</v>
      </c>
      <c r="G610" s="2214" t="s">
        <v>2404</v>
      </c>
      <c r="H610" s="2214" t="s">
        <v>2563</v>
      </c>
      <c r="I610" s="2214" t="s">
        <v>1633</v>
      </c>
      <c r="J610" s="2214" t="s">
        <v>1682</v>
      </c>
      <c r="K610" s="2214" t="s">
        <v>1868</v>
      </c>
      <c r="L610" s="2214" t="s">
        <v>1813</v>
      </c>
      <c r="M610" s="2214" t="s">
        <v>1869</v>
      </c>
      <c r="N610" s="2214" t="s">
        <v>1870</v>
      </c>
      <c r="O610" s="2214" t="s">
        <v>1871</v>
      </c>
      <c r="P610" s="2214" t="s">
        <v>1872</v>
      </c>
      <c r="Q610" s="457" t="s">
        <v>1873</v>
      </c>
      <c r="X610" s="2526" t="s">
        <v>1908</v>
      </c>
      <c r="Y610" s="2527"/>
      <c r="Z610" s="2527" t="s">
        <v>10494</v>
      </c>
      <c r="AA610" s="2455">
        <f>COUNTIF(PDs!$Y$40:$AA$45,Tablas!X610)</f>
        <v>0</v>
      </c>
      <c r="AB610" s="413"/>
      <c r="AD610" s="1761"/>
    </row>
    <row r="611" spans="1:469" ht="12.75" customHeight="1" thickBot="1" x14ac:dyDescent="0.25">
      <c r="A611" s="2029">
        <v>211</v>
      </c>
      <c r="B611" s="4995"/>
      <c r="C611" s="266"/>
      <c r="D611" s="241" t="s">
        <v>1489</v>
      </c>
      <c r="E611" s="2546">
        <v>0</v>
      </c>
      <c r="F611" s="2546">
        <v>0</v>
      </c>
      <c r="G611" s="2546">
        <v>0</v>
      </c>
      <c r="H611" s="2546">
        <v>0</v>
      </c>
      <c r="I611" s="2546" t="s">
        <v>1769</v>
      </c>
      <c r="J611" s="2546" t="s">
        <v>1769</v>
      </c>
      <c r="K611" s="2546">
        <v>0</v>
      </c>
      <c r="L611" s="2546">
        <v>0</v>
      </c>
      <c r="M611" s="2546">
        <v>0</v>
      </c>
      <c r="N611" s="2546">
        <v>0</v>
      </c>
      <c r="O611" s="2546">
        <v>0</v>
      </c>
      <c r="P611" s="2546">
        <v>0</v>
      </c>
      <c r="Q611" s="523">
        <v>0</v>
      </c>
      <c r="AB611" s="413"/>
      <c r="AD611" s="1761"/>
    </row>
    <row r="612" spans="1:469" ht="12.75" customHeight="1" x14ac:dyDescent="0.2">
      <c r="A612" s="2029">
        <v>211</v>
      </c>
      <c r="B612" s="4995"/>
      <c r="C612" s="266"/>
      <c r="D612" s="549" t="str">
        <f>IF(Personalización!Y26=0,"Armadura #1",Personalización!Y26)</f>
        <v>Armadura #1</v>
      </c>
      <c r="E612" s="2546">
        <f>Personalización!W28</f>
        <v>0</v>
      </c>
      <c r="F612" s="2546">
        <f>Personalización!Y28</f>
        <v>0</v>
      </c>
      <c r="G612" s="2546">
        <f>Personalización!AC32</f>
        <v>0</v>
      </c>
      <c r="H612" s="2546">
        <f>Personalización!AC33</f>
        <v>0</v>
      </c>
      <c r="I612" s="2546">
        <f>Personalización!Y33</f>
        <v>0</v>
      </c>
      <c r="J612" s="2546">
        <f>Personalización!Y32</f>
        <v>0</v>
      </c>
      <c r="K612" s="2608">
        <f>Personalización!W30</f>
        <v>0</v>
      </c>
      <c r="L612" s="2546">
        <f>Personalización!X30</f>
        <v>0</v>
      </c>
      <c r="M612" s="2546">
        <f>Personalización!Y30</f>
        <v>0</v>
      </c>
      <c r="N612" s="2546">
        <f>Personalización!Z30</f>
        <v>0</v>
      </c>
      <c r="O612" s="2546">
        <f>Personalización!AA30</f>
        <v>0</v>
      </c>
      <c r="P612" s="2546">
        <f>Personalización!AB30</f>
        <v>0</v>
      </c>
      <c r="Q612" s="523">
        <f>Personalización!AC30</f>
        <v>0</v>
      </c>
      <c r="S612" s="5007" t="s">
        <v>9387</v>
      </c>
      <c r="T612" s="5008"/>
      <c r="U612" s="5008"/>
      <c r="V612" s="5008"/>
      <c r="W612" s="5008"/>
      <c r="X612" s="5008"/>
      <c r="Y612" s="5008"/>
      <c r="Z612" s="5008"/>
      <c r="AA612" s="5008"/>
      <c r="AC612" s="5067" t="s">
        <v>1497</v>
      </c>
      <c r="AD612" s="5067"/>
      <c r="AE612" s="5067"/>
      <c r="AF612" s="5067"/>
      <c r="AG612" s="5067"/>
      <c r="AH612" s="5067"/>
      <c r="AI612" s="5067"/>
    </row>
    <row r="613" spans="1:469" ht="12.75" customHeight="1" thickBot="1" x14ac:dyDescent="0.25">
      <c r="A613" s="2029">
        <v>211</v>
      </c>
      <c r="B613" s="4995"/>
      <c r="C613" s="266"/>
      <c r="D613" s="241" t="str">
        <f>IF(Personalización!AF26=0,"Armadura #2",Personalización!AF26)</f>
        <v>Armadura #2</v>
      </c>
      <c r="E613" s="2546">
        <f>Personalización!AD28</f>
        <v>0</v>
      </c>
      <c r="F613" s="2546">
        <f>Personalización!AF28</f>
        <v>0</v>
      </c>
      <c r="G613" s="2546">
        <f>Personalización!AJ32</f>
        <v>0</v>
      </c>
      <c r="H613" s="2546">
        <f>Personalización!AJ33</f>
        <v>0</v>
      </c>
      <c r="I613" s="2546">
        <f>Personalización!AF33</f>
        <v>0</v>
      </c>
      <c r="J613" s="2546">
        <f>Personalización!AF32</f>
        <v>0</v>
      </c>
      <c r="K613" s="2546">
        <f>Personalización!AD30</f>
        <v>0</v>
      </c>
      <c r="L613" s="2546">
        <f>Personalización!AE30</f>
        <v>0</v>
      </c>
      <c r="M613" s="2546">
        <f>Personalización!AF30</f>
        <v>0</v>
      </c>
      <c r="N613" s="2546">
        <f>Personalización!AG30</f>
        <v>0</v>
      </c>
      <c r="O613" s="2546">
        <f>Personalización!AH30</f>
        <v>0</v>
      </c>
      <c r="P613" s="2546">
        <f>Personalización!AI30</f>
        <v>0</v>
      </c>
      <c r="Q613" s="523">
        <f>Personalización!AJ30</f>
        <v>0</v>
      </c>
      <c r="S613" s="5007"/>
      <c r="T613" s="5008"/>
      <c r="U613" s="5008"/>
      <c r="V613" s="5008"/>
      <c r="W613" s="5008"/>
      <c r="X613" s="5008"/>
      <c r="Y613" s="5008"/>
      <c r="Z613" s="5008"/>
      <c r="AA613" s="5008"/>
      <c r="AC613" s="550" t="s">
        <v>1498</v>
      </c>
      <c r="AD613" s="551" t="s">
        <v>1499</v>
      </c>
      <c r="AE613" s="551" t="s">
        <v>1500</v>
      </c>
      <c r="AF613" s="551" t="s">
        <v>1501</v>
      </c>
      <c r="AG613" s="551" t="s">
        <v>1502</v>
      </c>
      <c r="AH613" s="551" t="s">
        <v>1503</v>
      </c>
      <c r="AI613" s="1868" t="s">
        <v>1504</v>
      </c>
    </row>
    <row r="614" spans="1:469" ht="12.75" customHeight="1" x14ac:dyDescent="0.2">
      <c r="A614" s="2029">
        <v>211</v>
      </c>
      <c r="B614" s="4995"/>
      <c r="C614" s="266"/>
      <c r="D614" s="241" t="s">
        <v>1490</v>
      </c>
      <c r="E614" s="2546">
        <v>0</v>
      </c>
      <c r="F614" s="2546">
        <v>0</v>
      </c>
      <c r="G614" s="2546">
        <v>8</v>
      </c>
      <c r="H614" s="2546">
        <v>15</v>
      </c>
      <c r="I614" s="2546" t="s">
        <v>1881</v>
      </c>
      <c r="J614" s="2546" t="s">
        <v>1454</v>
      </c>
      <c r="K614" s="2546">
        <v>2</v>
      </c>
      <c r="L614" s="2546">
        <v>2</v>
      </c>
      <c r="M614" s="2546">
        <v>1</v>
      </c>
      <c r="N614" s="2546">
        <v>1</v>
      </c>
      <c r="O614" s="2546">
        <v>1</v>
      </c>
      <c r="P614" s="2546">
        <v>1</v>
      </c>
      <c r="Q614" s="523">
        <v>0</v>
      </c>
      <c r="S614" s="5029" t="s">
        <v>10496</v>
      </c>
      <c r="T614" s="5030"/>
      <c r="U614" s="2885" t="str">
        <f>Arma_Desarrollada</f>
        <v>Desarmado</v>
      </c>
      <c r="V614" s="2883"/>
      <c r="W614" s="2883"/>
      <c r="X614" s="2883"/>
      <c r="Y614" s="2883"/>
      <c r="Z614" s="2883"/>
      <c r="AA614" s="2884"/>
      <c r="AC614" s="552" t="s">
        <v>1902</v>
      </c>
      <c r="AD614" s="441">
        <v>1</v>
      </c>
      <c r="AE614" s="441">
        <v>1</v>
      </c>
      <c r="AF614" s="441">
        <v>0</v>
      </c>
      <c r="AG614" s="441">
        <v>1</v>
      </c>
      <c r="AH614" s="441">
        <v>0</v>
      </c>
      <c r="AI614" s="1869">
        <v>0</v>
      </c>
    </row>
    <row r="615" spans="1:469" ht="12.75" customHeight="1" x14ac:dyDescent="0.2">
      <c r="A615" s="2029">
        <v>211</v>
      </c>
      <c r="B615" s="4995"/>
      <c r="C615" s="266"/>
      <c r="D615" s="241" t="s">
        <v>1491</v>
      </c>
      <c r="E615" s="2546">
        <v>0</v>
      </c>
      <c r="F615" s="2546">
        <v>0</v>
      </c>
      <c r="G615" s="2546">
        <v>10</v>
      </c>
      <c r="H615" s="2546">
        <v>15</v>
      </c>
      <c r="I615" s="2546" t="s">
        <v>1881</v>
      </c>
      <c r="J615" s="2546" t="s">
        <v>1453</v>
      </c>
      <c r="K615" s="2546">
        <v>1</v>
      </c>
      <c r="L615" s="2546">
        <v>0</v>
      </c>
      <c r="M615" s="2546">
        <v>2</v>
      </c>
      <c r="N615" s="2546">
        <v>1</v>
      </c>
      <c r="O615" s="2546">
        <v>3</v>
      </c>
      <c r="P615" s="2546">
        <v>1</v>
      </c>
      <c r="Q615" s="523">
        <v>0</v>
      </c>
      <c r="S615" s="5031" t="s">
        <v>10500</v>
      </c>
      <c r="T615" s="5032"/>
      <c r="U615" s="2885" t="str">
        <f>IF(V615="","",", "&amp;V615)&amp;IF(W615="","",", "&amp;W615)&amp;IF(X615="","",", "&amp;X615)&amp;IF(Y615="","",", "&amp;Y615)&amp;IF(Z615="","",", "&amp;Z615)&amp;IF(AA615="","",", "&amp;AA615)</f>
        <v/>
      </c>
      <c r="V615" s="2883" t="str">
        <f>IF(OR(ISNUMBER(SEARCH("similar",INDEX(Compra_TablasArmas,Tablas!A1,18))),ISNUMBER(SEARCH("mixta",INDEX(Compra_TablasArmas,Tablas!A1,18))),ISNUMBER(SEARCH("distinta",INDEX(Compra_TablasArmas,Tablas!A1,18)))),INDEX(Compra_TablasArmas,Tablas!A1,21),"")</f>
        <v/>
      </c>
      <c r="W615" s="2883" t="str">
        <f>IF(OR(ISNUMBER(SEARCH("similar",INDEX(Compra_TablasArmas,Tablas!B1,18))),ISNUMBER(SEARCH("mixta",INDEX(Compra_TablasArmas,Tablas!B1,18))),ISNUMBER(SEARCH("distinta",INDEX(Compra_TablasArmas,Tablas!B1,18)))),INDEX(Compra_TablasArmas,Tablas!B1,21),"")</f>
        <v/>
      </c>
      <c r="X615" s="2883" t="str">
        <f>IF(OR(ISNUMBER(SEARCH("similar",INDEX(Compra_TablasArmas,Tablas!C1,18))),ISNUMBER(SEARCH("mixta",INDEX(Compra_TablasArmas,Tablas!C1,18))),ISNUMBER(SEARCH("distinta",INDEX(Compra_TablasArmas,Tablas!C1,18)))),INDEX(Compra_TablasArmas,Tablas!C1,21),"")</f>
        <v/>
      </c>
      <c r="Y615" s="2883" t="str">
        <f>IF(OR(ISNUMBER(SEARCH("similar",INDEX(Compra_TablasArmas,Tablas!D1,18))),ISNUMBER(SEARCH("mixta",INDEX(Compra_TablasArmas,Tablas!D1,18))),ISNUMBER(SEARCH("distinta",INDEX(Compra_TablasArmas,Tablas!D1,18)))),INDEX(Compra_TablasArmas,Tablas!D1,21),"")</f>
        <v/>
      </c>
      <c r="Z615" s="2883" t="str">
        <f>IF(OR(ISNUMBER(SEARCH("similar",INDEX(Compra_TablasArmas,Tablas!E1,18))),ISNUMBER(SEARCH("mixta",INDEX(Compra_TablasArmas,Tablas!E1,18))),ISNUMBER(SEARCH("distinta",INDEX(Compra_TablasArmas,Tablas!E1,18)))),INDEX(Compra_TablasArmas,Tablas!E1,21),"")</f>
        <v/>
      </c>
      <c r="AA615" s="2884" t="str">
        <f>IF(OR(ISNUMBER(SEARCH("similar",INDEX(Compra_TablasArmas,Tablas!F1,18))),ISNUMBER(SEARCH("mixta",INDEX(Compra_TablasArmas,Tablas!F1,18))),ISNUMBER(SEARCH("distinta",INDEX(Compra_TablasArmas,Tablas!F1,18)))),INDEX(Compra_TablasArmas,Tablas!F1,21),"")</f>
        <v/>
      </c>
      <c r="AC615" s="208" t="s">
        <v>2408</v>
      </c>
      <c r="AD615" s="263">
        <v>9</v>
      </c>
      <c r="AE615" s="263">
        <v>23</v>
      </c>
      <c r="AF615" s="263">
        <v>2</v>
      </c>
      <c r="AG615" s="263">
        <v>1.5</v>
      </c>
      <c r="AH615" s="263">
        <v>6</v>
      </c>
      <c r="AI615" s="345">
        <v>3</v>
      </c>
    </row>
    <row r="616" spans="1:469" ht="12.75" customHeight="1" thickBot="1" x14ac:dyDescent="0.25">
      <c r="A616" s="2029">
        <v>211</v>
      </c>
      <c r="B616" s="4995"/>
      <c r="C616" s="266"/>
      <c r="D616" s="241" t="s">
        <v>1492</v>
      </c>
      <c r="E616" s="2546">
        <v>0</v>
      </c>
      <c r="F616" s="2546">
        <v>-10</v>
      </c>
      <c r="G616" s="2546">
        <v>13</v>
      </c>
      <c r="H616" s="2546">
        <v>20</v>
      </c>
      <c r="I616" s="2546" t="s">
        <v>1881</v>
      </c>
      <c r="J616" s="2546" t="s">
        <v>1453</v>
      </c>
      <c r="K616" s="2546">
        <v>4</v>
      </c>
      <c r="L616" s="2546">
        <v>2</v>
      </c>
      <c r="M616" s="2546">
        <v>1</v>
      </c>
      <c r="N616" s="2546">
        <v>2</v>
      </c>
      <c r="O616" s="2546">
        <v>0</v>
      </c>
      <c r="P616" s="2546">
        <v>1</v>
      </c>
      <c r="Q616" s="523">
        <v>0</v>
      </c>
      <c r="S616" s="5031" t="s">
        <v>10497</v>
      </c>
      <c r="T616" s="5032"/>
      <c r="U616" s="2885" t="str">
        <f>IF(V616="","",", "&amp;V616)&amp;IF(W616="","",", "&amp;W616)&amp;IF(X616="","",", "&amp;X616)&amp;IF(Y616="","",", "&amp;Y616)&amp;IF(Z616="","",", "&amp;Z616)&amp;IF(AA616="","",", "&amp;AA616)</f>
        <v/>
      </c>
      <c r="V616" s="2883" t="str">
        <f>IF(ISNUMBER(SEARCH("profesión",INDEX(Compra_TablasArmas,Tablas!A1,18))),VLOOKUP(INDEX(Compra_TablasArmas,Tablas!A1,21),Tabla_ArmasArquetípicas,3,FALSE),"")</f>
        <v/>
      </c>
      <c r="W616" s="2883" t="str">
        <f>IF(ISNUMBER(SEARCH("profesión",INDEX(Compra_TablasArmas,Tablas!B1,18))),VLOOKUP(INDEX(Compra_TablasArmas,Tablas!B1,21),Tabla_ArmasArquetípicas,3,FALSE),"")</f>
        <v/>
      </c>
      <c r="X616" s="2883" t="str">
        <f>IF(ISNUMBER(SEARCH("profesión",INDEX(Compra_TablasArmas,Tablas!C1,18))),VLOOKUP(INDEX(Compra_TablasArmas,Tablas!C1,21),Tabla_ArmasArquetípicas,3,FALSE),"")</f>
        <v/>
      </c>
      <c r="Y616" s="2883" t="str">
        <f>IF(ISNUMBER(SEARCH("profesión",INDEX(Compra_TablasArmas,Tablas!D1,18))),VLOOKUP(INDEX(Compra_TablasArmas,Tablas!D1,21),Tabla_ArmasArquetípicas,3,FALSE),"")</f>
        <v/>
      </c>
      <c r="Z616" s="2883" t="str">
        <f>IF(ISNUMBER(SEARCH("profesión",INDEX(Compra_TablasArmas,Tablas!E1,18))),VLOOKUP(INDEX(Compra_TablasArmas,Tablas!E1,21),Tabla_ArmasArquetípicas,3,FALSE),"")</f>
        <v/>
      </c>
      <c r="AA616" s="2884"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4995"/>
      <c r="C617" s="266"/>
      <c r="D617" s="241" t="s">
        <v>1493</v>
      </c>
      <c r="E617" s="2546">
        <v>0</v>
      </c>
      <c r="F617" s="2546">
        <v>0</v>
      </c>
      <c r="G617" s="2546">
        <v>12</v>
      </c>
      <c r="H617" s="2546">
        <v>15</v>
      </c>
      <c r="I617" s="2546" t="s">
        <v>1881</v>
      </c>
      <c r="J617" s="2546" t="s">
        <v>1454</v>
      </c>
      <c r="K617" s="2546">
        <v>4</v>
      </c>
      <c r="L617" s="2546">
        <v>4</v>
      </c>
      <c r="M617" s="2546">
        <v>3</v>
      </c>
      <c r="N617" s="2546">
        <v>2</v>
      </c>
      <c r="O617" s="2546">
        <v>0</v>
      </c>
      <c r="P617" s="2546">
        <v>3</v>
      </c>
      <c r="Q617" s="523">
        <v>0</v>
      </c>
      <c r="S617" s="5031" t="s">
        <v>10498</v>
      </c>
      <c r="T617" s="5032"/>
      <c r="U617" s="2885" t="str">
        <f>IF(V617="","",", "&amp;V617)&amp;IF(W617="","",", "&amp;W617)&amp;IF(X617="","",", "&amp;X617)</f>
        <v/>
      </c>
      <c r="V617" s="2883" t="str">
        <f>IF(INDEX(PDs!$E$75:$E$77,Tablas!A1)="","",VLOOKUP(INDEX(PDs!$E$75:$E$77,Tablas!A1),Tabla_AM_Armas,5,FALSE))</f>
        <v/>
      </c>
      <c r="W617" s="2883" t="str">
        <f>IF(INDEX(PDs!$E$75:$E$77,Tablas!B1)="","",VLOOKUP(INDEX(PDs!$E$75:$E$77,Tablas!B1),Tabla_AM_Armas,5,FALSE))</f>
        <v/>
      </c>
      <c r="X617" s="2883" t="str">
        <f>IF(INDEX(PDs!$E$75:$E$77,Tablas!C1)="","",VLOOKUP(INDEX(PDs!$E$75:$E$77,Tablas!C1),Tabla_AM_Armas,5,FALSE))</f>
        <v/>
      </c>
      <c r="Y617" s="2883"/>
      <c r="Z617" s="2883"/>
      <c r="AA617" s="2884"/>
    </row>
    <row r="618" spans="1:469" ht="12.75" customHeight="1" x14ac:dyDescent="0.2">
      <c r="A618" s="2029">
        <v>211</v>
      </c>
      <c r="B618" s="4995"/>
      <c r="C618" s="266"/>
      <c r="D618" s="241" t="s">
        <v>1494</v>
      </c>
      <c r="E618" s="2546">
        <v>0</v>
      </c>
      <c r="F618" s="2546">
        <v>0</v>
      </c>
      <c r="G618" s="2546">
        <v>12</v>
      </c>
      <c r="H618" s="2546">
        <v>15</v>
      </c>
      <c r="I618" s="2546" t="s">
        <v>1881</v>
      </c>
      <c r="J618" s="2546" t="s">
        <v>1454</v>
      </c>
      <c r="K618" s="2546">
        <v>3</v>
      </c>
      <c r="L618" s="2546">
        <v>3</v>
      </c>
      <c r="M618" s="2546">
        <v>3</v>
      </c>
      <c r="N618" s="2546">
        <v>1</v>
      </c>
      <c r="O618" s="2546">
        <v>1</v>
      </c>
      <c r="P618" s="2546">
        <v>2</v>
      </c>
      <c r="Q618" s="523">
        <v>0</v>
      </c>
      <c r="S618" s="5031" t="s">
        <v>10499</v>
      </c>
      <c r="T618" s="5032"/>
      <c r="U618" s="2886" t="str">
        <f>IF(V618="","",", "&amp;V618)&amp;IF(W618="","",", "&amp;W618)&amp;IF(X618="","",", "&amp;X618)&amp;IF(Y618="","",", "&amp;Y618)&amp;IF(Z618="","",", "&amp;Z618)&amp;IF(AA618="","",", "&amp;AA618)</f>
        <v/>
      </c>
      <c r="V618" s="2883" t="str">
        <f>IF(ISNUMBER(SEARCH("tipología",INDEX(Compra_TablasArmas,Tablas!A1,18))),VLOOKUP(INDEX(Compra_TablasArmas,Tablas!A1,21),Tipologías,3,FALSE),"")</f>
        <v/>
      </c>
      <c r="W618" s="2883" t="str">
        <f>IF(ISNUMBER(SEARCH("tipología",INDEX(Compra_TablasArmas,Tablas!B1,18))),VLOOKUP(INDEX(Compra_TablasArmas,Tablas!B1,21),Tipologías,3,FALSE),"")</f>
        <v/>
      </c>
      <c r="X618" s="2883" t="str">
        <f>IF(ISNUMBER(SEARCH("tipología",INDEX(Compra_TablasArmas,Tablas!C1,18))),VLOOKUP(INDEX(Compra_TablasArmas,Tablas!C1,21),Tipologías,3,FALSE),"")</f>
        <v/>
      </c>
      <c r="Y618" s="2883" t="str">
        <f>IF(ISNUMBER(SEARCH("tipología",INDEX(Compra_TablasArmas,Tablas!D1,18))),VLOOKUP(INDEX(Compra_TablasArmas,Tablas!D1,21),Tipologías,3,FALSE),"")</f>
        <v/>
      </c>
      <c r="Z618" s="2883" t="str">
        <f>IF(ISNUMBER(SEARCH("tipología",INDEX(Compra_TablasArmas,Tablas!E1,18))),VLOOKUP(INDEX(Compra_TablasArmas,Tablas!E1,21),Tipologías,3,FALSE),"")</f>
        <v/>
      </c>
      <c r="AA618" s="2884" t="str">
        <f>IF(ISNUMBER(SEARCH("tipología",INDEX(Compra_TablasArmas,Tablas!F1,18))),VLOOKUP(INDEX(Compra_TablasArmas,Tablas!F1,21),Tipologías,3,FALSE),"")</f>
        <v/>
      </c>
    </row>
    <row r="619" spans="1:469" ht="12.75" customHeight="1" thickBot="1" x14ac:dyDescent="0.25">
      <c r="A619" s="2029">
        <v>211</v>
      </c>
      <c r="B619" s="4995"/>
      <c r="C619" s="266"/>
      <c r="D619" s="241" t="s">
        <v>1495</v>
      </c>
      <c r="E619" s="2546">
        <v>5</v>
      </c>
      <c r="F619" s="2546">
        <v>-20</v>
      </c>
      <c r="G619" s="2546">
        <v>16</v>
      </c>
      <c r="H619" s="2546">
        <v>25</v>
      </c>
      <c r="I619" s="2546" t="s">
        <v>1881</v>
      </c>
      <c r="J619" s="2546" t="s">
        <v>1454</v>
      </c>
      <c r="K619" s="2546">
        <v>5</v>
      </c>
      <c r="L619" s="2546">
        <v>4</v>
      </c>
      <c r="M619" s="2546">
        <v>5</v>
      </c>
      <c r="N619" s="2546">
        <v>3</v>
      </c>
      <c r="O619" s="2546">
        <v>0</v>
      </c>
      <c r="P619" s="2546">
        <v>3</v>
      </c>
      <c r="Q619" s="523">
        <v>1</v>
      </c>
      <c r="S619" s="5045" t="s">
        <v>4684</v>
      </c>
      <c r="T619" s="5046"/>
      <c r="U619" s="2887" t="str">
        <f>U614&amp;U615&amp;U616&amp;U617&amp;U618</f>
        <v>Desarmado</v>
      </c>
      <c r="V619" s="2888"/>
      <c r="W619" s="2888"/>
      <c r="X619" s="2888"/>
      <c r="Y619" s="2888"/>
      <c r="Z619" s="2888"/>
      <c r="AA619" s="2889"/>
    </row>
    <row r="620" spans="1:469" ht="12.75" customHeight="1" thickBot="1" x14ac:dyDescent="0.25">
      <c r="A620" s="2029">
        <v>211</v>
      </c>
      <c r="B620" s="4995"/>
      <c r="C620" s="438"/>
      <c r="D620" s="545" t="s">
        <v>1496</v>
      </c>
      <c r="E620" s="2547">
        <v>10</v>
      </c>
      <c r="F620" s="2547">
        <v>-30</v>
      </c>
      <c r="G620" s="2547">
        <v>16</v>
      </c>
      <c r="H620" s="2547">
        <v>25</v>
      </c>
      <c r="I620" s="2547" t="s">
        <v>1881</v>
      </c>
      <c r="J620" s="2547" t="s">
        <v>1454</v>
      </c>
      <c r="K620" s="2547">
        <v>5</v>
      </c>
      <c r="L620" s="2547">
        <v>5</v>
      </c>
      <c r="M620" s="2547">
        <v>5</v>
      </c>
      <c r="N620" s="2547">
        <v>4</v>
      </c>
      <c r="O620" s="2547">
        <v>0</v>
      </c>
      <c r="P620" s="2547">
        <v>4</v>
      </c>
      <c r="Q620" s="524">
        <v>2</v>
      </c>
    </row>
    <row r="621" spans="1:469" ht="12.75" customHeight="1" x14ac:dyDescent="0.2">
      <c r="A621" s="2029">
        <v>211</v>
      </c>
      <c r="B621" s="4995"/>
    </row>
    <row r="622" spans="1:469" ht="12.75" customHeight="1" x14ac:dyDescent="0.2">
      <c r="A622" s="2029">
        <v>211</v>
      </c>
      <c r="B622" s="4995"/>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4995"/>
    </row>
    <row r="624" spans="1:469" ht="12.75" customHeight="1" x14ac:dyDescent="0.2">
      <c r="A624" s="2029">
        <v>211</v>
      </c>
      <c r="B624" s="4995"/>
    </row>
    <row r="625" spans="1:31" ht="12.75" customHeight="1" thickBot="1" x14ac:dyDescent="0.25">
      <c r="A625" s="2029">
        <v>211</v>
      </c>
      <c r="B625" s="4995"/>
    </row>
    <row r="626" spans="1:31" ht="12.75" customHeight="1" thickBot="1" x14ac:dyDescent="0.25">
      <c r="A626" s="2029">
        <v>211</v>
      </c>
      <c r="B626" s="4995"/>
      <c r="C626" s="5226" t="s">
        <v>2557</v>
      </c>
      <c r="D626" s="5227"/>
      <c r="E626" s="5227"/>
      <c r="F626" s="5227"/>
      <c r="G626" s="5227"/>
      <c r="H626" s="5227"/>
      <c r="I626" s="5227"/>
      <c r="J626" s="5227"/>
      <c r="K626" s="5227"/>
      <c r="L626" s="5227"/>
      <c r="M626" s="5227"/>
      <c r="N626" s="5227"/>
      <c r="O626" s="5227"/>
      <c r="P626" s="5227"/>
      <c r="Q626" s="5227"/>
      <c r="R626" s="5227"/>
      <c r="S626" s="5227"/>
      <c r="T626" s="5227"/>
      <c r="U626" s="5227"/>
      <c r="V626" s="5227"/>
      <c r="W626" s="5227"/>
      <c r="X626" s="5228"/>
      <c r="AB626" s="413"/>
      <c r="AC626" s="2795"/>
    </row>
    <row r="627" spans="1:31" ht="12.75" customHeight="1" thickBot="1" x14ac:dyDescent="0.25">
      <c r="A627" s="2029">
        <v>211</v>
      </c>
      <c r="B627" s="4995"/>
      <c r="C627" s="5229"/>
      <c r="D627" s="5230"/>
      <c r="E627" s="5230"/>
      <c r="F627" s="5230"/>
      <c r="G627" s="5230"/>
      <c r="H627" s="5230"/>
      <c r="I627" s="5230"/>
      <c r="J627" s="5230"/>
      <c r="K627" s="5230"/>
      <c r="L627" s="5230"/>
      <c r="M627" s="5230"/>
      <c r="N627" s="5230"/>
      <c r="O627" s="5230"/>
      <c r="P627" s="5230"/>
      <c r="Q627" s="5230"/>
      <c r="R627" s="5230"/>
      <c r="S627" s="5230"/>
      <c r="T627" s="5230"/>
      <c r="U627" s="5230"/>
      <c r="V627" s="5230"/>
      <c r="W627" s="5230"/>
      <c r="X627" s="5231"/>
      <c r="Z627" s="5069" t="s">
        <v>9357</v>
      </c>
      <c r="AB627" s="413"/>
      <c r="AC627" s="2795"/>
    </row>
    <row r="628" spans="1:31" ht="12.75" customHeight="1" x14ac:dyDescent="0.2">
      <c r="A628" s="2029">
        <v>211</v>
      </c>
      <c r="B628" s="4995"/>
      <c r="C628" s="2936"/>
      <c r="D628" s="2595">
        <v>1</v>
      </c>
      <c r="E628" s="2595">
        <v>2</v>
      </c>
      <c r="F628" s="2595">
        <v>3</v>
      </c>
      <c r="G628" s="2595">
        <v>4</v>
      </c>
      <c r="H628" s="2595">
        <v>5</v>
      </c>
      <c r="I628" s="2595">
        <v>6</v>
      </c>
      <c r="J628" s="2595">
        <v>7</v>
      </c>
      <c r="K628" s="2595">
        <v>8</v>
      </c>
      <c r="L628" s="2595">
        <v>9</v>
      </c>
      <c r="M628" s="2595">
        <v>10</v>
      </c>
      <c r="N628" s="2595">
        <v>11</v>
      </c>
      <c r="O628" s="2595">
        <v>12</v>
      </c>
      <c r="P628" s="2595">
        <v>13</v>
      </c>
      <c r="Q628" s="2595">
        <v>14</v>
      </c>
      <c r="R628" s="2595">
        <v>15</v>
      </c>
      <c r="S628" s="2595">
        <v>16</v>
      </c>
      <c r="T628" s="2595">
        <v>17</v>
      </c>
      <c r="U628" s="2595">
        <v>18</v>
      </c>
      <c r="V628" s="2595">
        <v>19</v>
      </c>
      <c r="W628" s="2595">
        <v>20</v>
      </c>
      <c r="X628" s="2937">
        <v>21</v>
      </c>
      <c r="Z628" s="5070"/>
      <c r="AB628" s="3997" t="s">
        <v>1509</v>
      </c>
      <c r="AC628" s="3998"/>
      <c r="AD628" s="3998"/>
      <c r="AE628" s="3999"/>
    </row>
    <row r="629" spans="1:31" ht="12.75" customHeight="1" thickBot="1" x14ac:dyDescent="0.25">
      <c r="A629" s="2029">
        <v>211</v>
      </c>
      <c r="B629" s="4995"/>
      <c r="C629" s="2938"/>
      <c r="D629" s="2229" t="s">
        <v>1728</v>
      </c>
      <c r="E629" s="2229" t="s">
        <v>1891</v>
      </c>
      <c r="F629" s="2229" t="s">
        <v>1705</v>
      </c>
      <c r="G629" s="2229" t="s">
        <v>2558</v>
      </c>
      <c r="H629" s="2229" t="s">
        <v>2559</v>
      </c>
      <c r="I629" s="2229" t="s">
        <v>2560</v>
      </c>
      <c r="J629" s="2229" t="s">
        <v>2561</v>
      </c>
      <c r="K629" s="2229" t="s">
        <v>2562</v>
      </c>
      <c r="L629" s="2229" t="s">
        <v>9411</v>
      </c>
      <c r="M629" s="2229" t="s">
        <v>2404</v>
      </c>
      <c r="N629" s="2229" t="s">
        <v>1895</v>
      </c>
      <c r="O629" s="2229" t="s">
        <v>2563</v>
      </c>
      <c r="P629" s="2229" t="s">
        <v>2564</v>
      </c>
      <c r="Q629" s="2229" t="s">
        <v>2565</v>
      </c>
      <c r="R629" s="2229" t="s">
        <v>2566</v>
      </c>
      <c r="S629" s="2229" t="s">
        <v>2567</v>
      </c>
      <c r="T629" s="2229" t="s">
        <v>2568</v>
      </c>
      <c r="U629" s="2229" t="s">
        <v>2569</v>
      </c>
      <c r="V629" s="2638" t="s">
        <v>1791</v>
      </c>
      <c r="W629" s="2638"/>
      <c r="X629" s="2939"/>
      <c r="Y629" s="2620"/>
      <c r="Z629" s="278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07"/>
      <c r="AC629" s="5008"/>
      <c r="AD629" s="5008"/>
      <c r="AE629" s="5009"/>
    </row>
    <row r="630" spans="1:31" ht="12.75" customHeight="1" thickBot="1" x14ac:dyDescent="0.25">
      <c r="A630" s="2029">
        <v>211</v>
      </c>
      <c r="B630" s="4995"/>
      <c r="C630" s="2940"/>
      <c r="D630" s="2230" t="s">
        <v>2570</v>
      </c>
      <c r="E630" s="2231"/>
      <c r="F630" s="2231"/>
      <c r="G630" s="2231"/>
      <c r="H630" s="2231"/>
      <c r="I630" s="2231"/>
      <c r="J630" s="2231"/>
      <c r="K630" s="2636" t="s">
        <v>9410</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9"/>
      <c r="W630" s="2231"/>
      <c r="X630" s="2941"/>
      <c r="Y630" s="2620"/>
      <c r="Z630" s="2881" t="str">
        <f>IF(AND(K630&lt;&gt;"Natural/-",ISNUMBER(SEARCH(D630,Armas_Conocidas))),", "&amp;K630,"")</f>
        <v/>
      </c>
      <c r="AA630" s="413" t="s">
        <v>3361</v>
      </c>
      <c r="AB630" s="2432" t="s">
        <v>1510</v>
      </c>
      <c r="AC630" s="2433" t="s">
        <v>1906</v>
      </c>
      <c r="AD630" s="2433" t="s">
        <v>2677</v>
      </c>
      <c r="AE630" s="2059" t="s">
        <v>1908</v>
      </c>
    </row>
    <row r="631" spans="1:31" ht="12.75" customHeight="1" x14ac:dyDescent="0.2">
      <c r="A631" s="2029">
        <v>211</v>
      </c>
      <c r="B631" s="4995"/>
      <c r="C631" s="2942"/>
      <c r="D631" s="2232" t="s">
        <v>2312</v>
      </c>
      <c r="E631" s="2771">
        <f>IF(Raza="Tuan Dalyr",40,IF(Raza="Ebudan",60,IF(Raza="Turak",40,IF(OR(Raza="Daimah",Raza="Jayán",Nephilim="Nephilim Turak"),30,VLOOKUP(Tamaño,Tabla_CreaciónSeres,8)+25*$V$582))))</f>
        <v>70</v>
      </c>
      <c r="F631" s="2771">
        <f>IF(Raza="Ebudan","20",IF(OR(Raza="Daimah",Raza="Jayán",Raza="Turak",General!$J$23="Turak"),20+VLOOKUP(Tamaño,$F$90:$O$97,3),20+VLOOKUP(Tamaño,$F$90:$O$97,3)+20*$V$583))</f>
        <v>60</v>
      </c>
      <c r="G631" s="2771">
        <v>0</v>
      </c>
      <c r="H631" s="2771">
        <v>0</v>
      </c>
      <c r="I631" s="2771" t="str">
        <f>IF(Raza="Ebudan","FIL",IF(Raza="Turak","FIL",IF(OR(Raza="Daimah",Raza="Jayán"),"FIL",IF(General!$J$23="Turak","FIL",Personalización!$Y$6))))</f>
        <v>-</v>
      </c>
      <c r="J631" s="2771" t="str">
        <f>IF(Raza="Ebudan","-",IF(Raza="Turak","-",IF(OR(Raza="Daimah",Raza="Jayán"),"PEN",IF(General!$J$23="Turak","-",Personalización!$Y$7))))</f>
        <v>-</v>
      </c>
      <c r="K631" s="2115" t="str">
        <f>IF(Raza="Ebudan","Mandoble/-","Natural/-")</f>
        <v>Natural/-</v>
      </c>
      <c r="L631" s="2645" t="str">
        <f>IF(OR(Arma_Desarrollada=$D631,COUNTIF(PDs!Y40:AA45,$D631)&gt;0,$R$1817&gt;0,$P$256&gt;0),"Conocida","Distinta")</f>
        <v>Distinta</v>
      </c>
      <c r="M631" s="467">
        <f>IF(Raza="Ebudan","20",VLOOKUP(Tamaño,$F$90:$O$97,10))</f>
        <v>4</v>
      </c>
      <c r="N631" s="467">
        <f>IF(Raza="Ebudan","5",VLOOKUP(Tamaño,$F$90:$O$97,9))</f>
        <v>-4</v>
      </c>
      <c r="O631" s="2316"/>
      <c r="P631" s="2771"/>
      <c r="Q631" s="2771"/>
      <c r="R631" s="2771"/>
      <c r="S631" s="2771"/>
      <c r="T631" s="2771"/>
      <c r="U631" s="2771"/>
      <c r="V631" s="2624"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3"/>
      <c r="Y631" s="2620"/>
      <c r="Z631" s="2881"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4995"/>
      <c r="C632" s="2942"/>
      <c r="D632" s="2232" t="str">
        <f>IF(Personalización!X13=0,"Arma #1",Personalización!X13)</f>
        <v>Arma #1</v>
      </c>
      <c r="E632" s="2771">
        <f>Personalización!$Z$15</f>
        <v>0</v>
      </c>
      <c r="F632" s="2771">
        <f>Personalización!$Y$15</f>
        <v>0</v>
      </c>
      <c r="G632" s="2771">
        <f>Personalización!$AC$14</f>
        <v>0</v>
      </c>
      <c r="H632" s="2771">
        <f>Personalización!$AE$14</f>
        <v>0</v>
      </c>
      <c r="I632" s="2771">
        <f>Personalización!$AA$16</f>
        <v>0</v>
      </c>
      <c r="J632" s="2771">
        <f>Personalización!$AB$16</f>
        <v>0</v>
      </c>
      <c r="K632" s="2115" t="str">
        <f>Personalización!$W$15&amp;"/"&amp;Personalización!$X$15</f>
        <v>/</v>
      </c>
      <c r="L632" s="2645" t="str">
        <f>IF(Personalización!$X$14="Si","Conocida","Distinta")</f>
        <v>Conocida</v>
      </c>
      <c r="M632" s="467">
        <f>Personalización!$AC$16</f>
        <v>0</v>
      </c>
      <c r="N632" s="467">
        <f>Personalización!$AD$16</f>
        <v>0</v>
      </c>
      <c r="O632" s="467">
        <f>Personalización!$AE$16</f>
        <v>0</v>
      </c>
      <c r="P632" s="2771">
        <f>IF(ISNUMBER(SEARCH("Escudo",$K632)),Personalización!$AJ$14,0)</f>
        <v>0</v>
      </c>
      <c r="Q632" s="2771">
        <f>IF(ISNUMBER(SEARCH("Escudo",$K632)),Personalización!$AJ$15,0)</f>
        <v>0</v>
      </c>
      <c r="R632" s="2771" t="s">
        <v>1769</v>
      </c>
      <c r="S632" s="2771">
        <f>IF(ISNUMBER(SEARCH("Proyectiles",$K632)),Personalización!$AJ$15,0)</f>
        <v>0</v>
      </c>
      <c r="T632" s="2771">
        <f>Personalización!$AJ$16</f>
        <v>0</v>
      </c>
      <c r="U632" s="2771" t="str">
        <f>IF(ISNUMBER(SEARCH("Proyectiles",$K632)),Personalización!$AJ$14,"")</f>
        <v/>
      </c>
      <c r="V632" s="2624">
        <f>Personalización!$AB$13</f>
        <v>0</v>
      </c>
      <c r="W632" s="162"/>
      <c r="X632" s="2943"/>
      <c r="Y632" s="2620"/>
      <c r="Z632" s="2882"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4995"/>
      <c r="C633" s="2942"/>
      <c r="D633" s="2232" t="str">
        <f>IF(Personalización!X17=0,"Arma #2",Personalización!X17)</f>
        <v>Arma #2</v>
      </c>
      <c r="E633" s="2771">
        <f>Personalización!$Z$19</f>
        <v>0</v>
      </c>
      <c r="F633" s="2771">
        <f>Personalización!$Y$19</f>
        <v>0</v>
      </c>
      <c r="G633" s="2771">
        <f>Personalización!$AC$18</f>
        <v>0</v>
      </c>
      <c r="H633" s="2771">
        <f>Personalización!$AE$18</f>
        <v>0</v>
      </c>
      <c r="I633" s="2771">
        <f>Personalización!$AA$20</f>
        <v>0</v>
      </c>
      <c r="J633" s="2771">
        <f>Personalización!$AB$20</f>
        <v>0</v>
      </c>
      <c r="K633" s="2115" t="str">
        <f>Personalización!$W$19&amp;"/"&amp;Personalización!$X$19</f>
        <v>/</v>
      </c>
      <c r="L633" s="2645" t="str">
        <f>IF(Personalización!$X$18="Si","Conocida","Distinta")</f>
        <v>Conocida</v>
      </c>
      <c r="M633" s="467">
        <f>Personalización!$AC$20</f>
        <v>0</v>
      </c>
      <c r="N633" s="467">
        <f>Personalización!$AD$20</f>
        <v>0</v>
      </c>
      <c r="O633" s="467">
        <f>Personalización!$AE$20</f>
        <v>0</v>
      </c>
      <c r="P633" s="2771">
        <f>IF(ISNUMBER(SEARCH("Escudo",$K633)),Personalización!$AJ$18,0)</f>
        <v>0</v>
      </c>
      <c r="Q633" s="2771">
        <f>IF(ISNUMBER(SEARCH("Escudo",$K633)),Personalización!$AJ$19,0)</f>
        <v>0</v>
      </c>
      <c r="R633" s="2771" t="s">
        <v>1769</v>
      </c>
      <c r="S633" s="2771">
        <f>IF(ISNUMBER(SEARCH("Proyectiles",$K633)),Personalización!$AJ$19,0)</f>
        <v>0</v>
      </c>
      <c r="T633" s="2771">
        <f>Personalización!$AJ$20</f>
        <v>0</v>
      </c>
      <c r="U633" s="2771" t="str">
        <f>IF(ISNUMBER(SEARCH("Proyectiles",$K633)),Personalización!$AJ$18,"")</f>
        <v/>
      </c>
      <c r="V633" s="2624">
        <f>Personalización!$AB$13</f>
        <v>0</v>
      </c>
      <c r="W633" s="162"/>
      <c r="X633" s="2943"/>
      <c r="Y633" s="2620"/>
      <c r="Z633" s="2882"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4995"/>
      <c r="C634" s="2942"/>
      <c r="D634" s="2232" t="str">
        <f>IF(Personalización!X21=0,"Arma #3",Personalización!X21)</f>
        <v>Arma #3</v>
      </c>
      <c r="E634" s="2771">
        <f>Personalización!$Z$23</f>
        <v>0</v>
      </c>
      <c r="F634" s="2771">
        <f>Personalización!$Y$23</f>
        <v>0</v>
      </c>
      <c r="G634" s="2771">
        <f>Personalización!$AC$22</f>
        <v>0</v>
      </c>
      <c r="H634" s="2771">
        <f>Personalización!$AE$22</f>
        <v>0</v>
      </c>
      <c r="I634" s="2771">
        <f>Personalización!$AA$24</f>
        <v>0</v>
      </c>
      <c r="J634" s="2771">
        <f>Personalización!$AB$24</f>
        <v>0</v>
      </c>
      <c r="K634" s="2115" t="str">
        <f>Personalización!$W$23&amp;"/"&amp;Personalización!$X$23</f>
        <v>/</v>
      </c>
      <c r="L634" s="2645" t="str">
        <f>IF(Personalización!$X$22="Si","Conocida","Distinta")</f>
        <v>Conocida</v>
      </c>
      <c r="M634" s="467">
        <f>Personalización!$AC$24</f>
        <v>0</v>
      </c>
      <c r="N634" s="467">
        <f>Personalización!$AD$24</f>
        <v>0</v>
      </c>
      <c r="O634" s="467">
        <f>Personalización!$AE$24</f>
        <v>0</v>
      </c>
      <c r="P634" s="2771">
        <f>IF(ISNUMBER(SEARCH("Escudo",$K634)),Personalización!$AJ$22,0)</f>
        <v>0</v>
      </c>
      <c r="Q634" s="2771">
        <f>IF(ISNUMBER(SEARCH("Escudo",$K634)),Personalización!$AJ$23,0)</f>
        <v>0</v>
      </c>
      <c r="R634" s="2771" t="s">
        <v>1769</v>
      </c>
      <c r="S634" s="2771">
        <f>IF(ISNUMBER(SEARCH("Proyectiles",$K634)),Personalización!$AJ$23,0)</f>
        <v>0</v>
      </c>
      <c r="T634" s="2771">
        <f>Personalización!$AJ$24</f>
        <v>0</v>
      </c>
      <c r="U634" s="2771" t="str">
        <f>IF(ISNUMBER(SEARCH("Proyectiles",$K634)),Personalización!$AJ$22,"")</f>
        <v/>
      </c>
      <c r="V634" s="2624">
        <f>Personalización!$AB$13</f>
        <v>0</v>
      </c>
      <c r="W634" s="162"/>
      <c r="X634" s="2943"/>
      <c r="Y634" s="2620"/>
      <c r="Z634" s="2882" t="str">
        <f>IF(L634="Conocida",", "&amp;K634,"")</f>
        <v>, /</v>
      </c>
      <c r="AB634" s="2403" t="str">
        <f t="shared" si="62"/>
        <v>Arma #3</v>
      </c>
      <c r="AC634" s="2115" t="str">
        <f t="shared" si="62"/>
        <v>Arma #3</v>
      </c>
      <c r="AD634" s="2115" t="str">
        <f t="shared" si="62"/>
        <v>Arma #3</v>
      </c>
      <c r="AE634" s="2404" t="s">
        <v>2689</v>
      </c>
    </row>
    <row r="635" spans="1:31" ht="12.75" customHeight="1" x14ac:dyDescent="0.2">
      <c r="A635" s="2029">
        <v>211</v>
      </c>
      <c r="B635" s="4995"/>
      <c r="C635" s="2942"/>
      <c r="D635" s="2232" t="s">
        <v>2571</v>
      </c>
      <c r="E635" s="2236"/>
      <c r="F635" s="2236"/>
      <c r="G635" s="2236"/>
      <c r="H635" s="2236"/>
      <c r="I635" s="2236"/>
      <c r="J635" s="2236"/>
      <c r="K635" s="2637" t="s">
        <v>9388</v>
      </c>
      <c r="L635" s="2236"/>
      <c r="M635" s="2236"/>
      <c r="N635" s="2236"/>
      <c r="O635" s="2236"/>
      <c r="P635" s="2236"/>
      <c r="Q635" s="2236"/>
      <c r="R635" s="2236"/>
      <c r="S635" s="2236"/>
      <c r="T635" s="2236"/>
      <c r="U635" s="2236"/>
      <c r="V635" s="2237"/>
      <c r="W635" s="2237"/>
      <c r="X635" s="2944"/>
      <c r="Z635" s="2881" t="str">
        <f t="shared" ref="Z635:Z666" si="63">IF(AND(K635&lt;&gt;"Natural/-",ISNUMBER(SEARCH(D635,Armas_Conocidas))),", "&amp;K635,"")</f>
        <v/>
      </c>
      <c r="AB635" s="2403" t="s">
        <v>2571</v>
      </c>
      <c r="AC635" s="2115" t="s">
        <v>2571</v>
      </c>
      <c r="AD635" s="2115" t="s">
        <v>2675</v>
      </c>
      <c r="AE635" s="2404" t="s">
        <v>2690</v>
      </c>
    </row>
    <row r="636" spans="1:31" ht="12.75" customHeight="1" x14ac:dyDescent="0.2">
      <c r="A636" s="2029">
        <v>211</v>
      </c>
      <c r="B636" s="4995"/>
      <c r="C636" s="2942"/>
      <c r="D636" s="2232" t="s">
        <v>2572</v>
      </c>
      <c r="E636" s="2238">
        <v>60</v>
      </c>
      <c r="F636" s="2233">
        <v>-15</v>
      </c>
      <c r="G636" s="2233">
        <v>11</v>
      </c>
      <c r="H636" s="2233">
        <v>6</v>
      </c>
      <c r="I636" s="2233" t="s">
        <v>1868</v>
      </c>
      <c r="J636" s="2233" t="s">
        <v>1813</v>
      </c>
      <c r="K636" s="2770" t="s">
        <v>9389</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9" t="s">
        <v>1906</v>
      </c>
      <c r="W636" s="2769"/>
      <c r="X636" s="2945"/>
      <c r="Z636" s="2881" t="str">
        <f t="shared" si="63"/>
        <v/>
      </c>
      <c r="AB636" s="2403" t="s">
        <v>2575</v>
      </c>
      <c r="AC636" s="2115" t="s">
        <v>2572</v>
      </c>
      <c r="AD636" s="2115" t="s">
        <v>2676</v>
      </c>
      <c r="AE636" s="2848" t="s">
        <v>2692</v>
      </c>
    </row>
    <row r="637" spans="1:31" ht="12.75" customHeight="1" x14ac:dyDescent="0.2">
      <c r="A637" s="2029">
        <v>211</v>
      </c>
      <c r="B637" s="4995"/>
      <c r="C637" s="2942"/>
      <c r="D637" s="2232" t="s">
        <v>2575</v>
      </c>
      <c r="E637" s="2238">
        <v>35</v>
      </c>
      <c r="F637" s="2233">
        <v>-5</v>
      </c>
      <c r="G637" s="2233">
        <v>5</v>
      </c>
      <c r="H637" s="2233">
        <v>5</v>
      </c>
      <c r="I637" s="2233" t="s">
        <v>1869</v>
      </c>
      <c r="J637" s="2233" t="s">
        <v>1769</v>
      </c>
      <c r="K637" s="2770" t="s">
        <v>9390</v>
      </c>
      <c r="L637" s="2233" t="str">
        <f t="shared" si="64"/>
        <v>Distinta</v>
      </c>
      <c r="M637" s="2235">
        <v>11</v>
      </c>
      <c r="N637" s="2235">
        <v>0</v>
      </c>
      <c r="O637" s="2235">
        <v>15</v>
      </c>
      <c r="P637" s="2233"/>
      <c r="Q637" s="2233"/>
      <c r="R637" s="2235">
        <v>100</v>
      </c>
      <c r="S637" s="2233" t="s">
        <v>1769</v>
      </c>
      <c r="T637" s="2233">
        <v>20</v>
      </c>
      <c r="U637" s="2233"/>
      <c r="V637" s="2769" t="s">
        <v>2576</v>
      </c>
      <c r="W637" s="2769"/>
      <c r="X637" s="2945"/>
      <c r="Z637" s="2881" t="str">
        <f t="shared" si="63"/>
        <v/>
      </c>
      <c r="AB637" s="2403" t="s">
        <v>9035</v>
      </c>
      <c r="AC637" s="2115" t="s">
        <v>2575</v>
      </c>
      <c r="AD637" s="2115" t="s">
        <v>2678</v>
      </c>
      <c r="AE637" s="2404" t="s">
        <v>2694</v>
      </c>
    </row>
    <row r="638" spans="1:31" ht="12.75" customHeight="1" x14ac:dyDescent="0.2">
      <c r="A638" s="2029">
        <v>211</v>
      </c>
      <c r="B638" s="4995"/>
      <c r="C638" s="2942"/>
      <c r="D638" s="2232" t="s">
        <v>9035</v>
      </c>
      <c r="E638" s="2238">
        <v>25</v>
      </c>
      <c r="F638" s="2233">
        <v>15</v>
      </c>
      <c r="G638" s="2233">
        <v>5</v>
      </c>
      <c r="H638" s="2233">
        <v>5</v>
      </c>
      <c r="I638" s="2233" t="s">
        <v>1813</v>
      </c>
      <c r="J638" s="2233" t="s">
        <v>1769</v>
      </c>
      <c r="K638" s="2770" t="s">
        <v>9390</v>
      </c>
      <c r="L638" s="2233" t="str">
        <f t="shared" si="64"/>
        <v>Distinta</v>
      </c>
      <c r="M638" s="2235">
        <v>10</v>
      </c>
      <c r="N638" s="2235">
        <v>-1</v>
      </c>
      <c r="O638" s="2235">
        <v>15</v>
      </c>
      <c r="P638" s="2233"/>
      <c r="Q638" s="2233"/>
      <c r="R638" s="2233" t="s">
        <v>1769</v>
      </c>
      <c r="S638" s="2233" t="s">
        <v>1769</v>
      </c>
      <c r="T638" s="2233" t="s">
        <v>1769</v>
      </c>
      <c r="U638" s="2233"/>
      <c r="V638" s="2769" t="s">
        <v>1769</v>
      </c>
      <c r="W638" s="2769"/>
      <c r="X638" s="2945"/>
      <c r="Z638" s="2881" t="str">
        <f t="shared" si="63"/>
        <v/>
      </c>
      <c r="AB638" s="2403" t="s">
        <v>2577</v>
      </c>
      <c r="AC638" s="2115" t="s">
        <v>9036</v>
      </c>
      <c r="AD638" s="2115" t="s">
        <v>9038</v>
      </c>
      <c r="AE638" s="2404" t="s">
        <v>2696</v>
      </c>
    </row>
    <row r="639" spans="1:31" ht="12.75" customHeight="1" x14ac:dyDescent="0.2">
      <c r="A639" s="2029">
        <v>211</v>
      </c>
      <c r="B639" s="4995"/>
      <c r="C639" s="2942"/>
      <c r="D639" s="2232" t="s">
        <v>9036</v>
      </c>
      <c r="E639" s="2238">
        <v>50</v>
      </c>
      <c r="F639" s="2233">
        <v>-10</v>
      </c>
      <c r="G639" s="2233" t="s">
        <v>1769</v>
      </c>
      <c r="H639" s="2233">
        <v>6</v>
      </c>
      <c r="I639" s="2233" t="s">
        <v>1869</v>
      </c>
      <c r="J639" s="2233" t="s">
        <v>9088</v>
      </c>
      <c r="K639" s="2770" t="s">
        <v>9391</v>
      </c>
      <c r="L639" s="2233" t="str">
        <f t="shared" si="64"/>
        <v>Distinta</v>
      </c>
      <c r="M639" s="2235">
        <v>12</v>
      </c>
      <c r="N639" s="2235">
        <v>2</v>
      </c>
      <c r="O639" s="2235">
        <v>20</v>
      </c>
      <c r="P639" s="2233"/>
      <c r="Q639" s="2233"/>
      <c r="R639" s="2233" t="s">
        <v>1769</v>
      </c>
      <c r="S639" s="2233" t="s">
        <v>1769</v>
      </c>
      <c r="T639" s="2233" t="s">
        <v>1769</v>
      </c>
      <c r="U639" s="2233"/>
      <c r="V639" s="2769" t="s">
        <v>1906</v>
      </c>
      <c r="W639" s="2239"/>
      <c r="X639" s="2946"/>
      <c r="Z639" s="2881" t="str">
        <f t="shared" si="63"/>
        <v/>
      </c>
      <c r="AB639" s="2403" t="s">
        <v>2580</v>
      </c>
      <c r="AC639" s="2115" t="s">
        <v>9037</v>
      </c>
      <c r="AD639" s="2115" t="s">
        <v>2679</v>
      </c>
      <c r="AE639" s="2404" t="s">
        <v>2698</v>
      </c>
    </row>
    <row r="640" spans="1:31" ht="12.75" customHeight="1" x14ac:dyDescent="0.2">
      <c r="A640" s="2029">
        <v>211</v>
      </c>
      <c r="B640" s="4995"/>
      <c r="C640" s="2942"/>
      <c r="D640" s="2232" t="s">
        <v>9037</v>
      </c>
      <c r="E640" s="2238">
        <v>50</v>
      </c>
      <c r="F640" s="2233">
        <v>-15</v>
      </c>
      <c r="G640" s="2233" t="s">
        <v>1769</v>
      </c>
      <c r="H640" s="2233">
        <v>6</v>
      </c>
      <c r="I640" s="2233" t="s">
        <v>1868</v>
      </c>
      <c r="J640" s="2233" t="s">
        <v>1813</v>
      </c>
      <c r="K640" s="2770" t="s">
        <v>9390</v>
      </c>
      <c r="L640" s="2233" t="str">
        <f t="shared" si="64"/>
        <v>Distinta</v>
      </c>
      <c r="M640" s="2235">
        <v>12</v>
      </c>
      <c r="N640" s="2235">
        <v>4</v>
      </c>
      <c r="O640" s="2235">
        <v>20</v>
      </c>
      <c r="P640" s="2233"/>
      <c r="Q640" s="2233"/>
      <c r="R640" s="2233" t="s">
        <v>1769</v>
      </c>
      <c r="S640" s="2233" t="s">
        <v>1769</v>
      </c>
      <c r="T640" s="2233" t="s">
        <v>1769</v>
      </c>
      <c r="U640" s="2233"/>
      <c r="V640" s="2769" t="s">
        <v>1906</v>
      </c>
      <c r="W640" s="2769"/>
      <c r="X640" s="2945"/>
      <c r="Z640" s="2881" t="str">
        <f t="shared" si="63"/>
        <v/>
      </c>
      <c r="AB640" s="2403" t="s">
        <v>9040</v>
      </c>
      <c r="AC640" s="2115" t="s">
        <v>9039</v>
      </c>
      <c r="AD640" s="2115" t="s">
        <v>9042</v>
      </c>
      <c r="AE640" s="2404" t="s">
        <v>2700</v>
      </c>
    </row>
    <row r="641" spans="1:31" ht="12.75" customHeight="1" x14ac:dyDescent="0.2">
      <c r="A641" s="2029">
        <v>211</v>
      </c>
      <c r="B641" s="4995"/>
      <c r="C641" s="2942"/>
      <c r="D641" s="2232" t="s">
        <v>2577</v>
      </c>
      <c r="E641" s="2233">
        <v>20</v>
      </c>
      <c r="F641" s="2233">
        <v>0</v>
      </c>
      <c r="G641" s="2233">
        <v>5</v>
      </c>
      <c r="H641" s="2233">
        <v>5</v>
      </c>
      <c r="I641" s="2233" t="s">
        <v>1813</v>
      </c>
      <c r="J641" s="2233" t="s">
        <v>1769</v>
      </c>
      <c r="K641" s="2770" t="s">
        <v>9392</v>
      </c>
      <c r="L641" s="2233" t="str">
        <f t="shared" si="64"/>
        <v>Distinta</v>
      </c>
      <c r="M641" s="2235">
        <v>10</v>
      </c>
      <c r="N641" s="2235">
        <v>2</v>
      </c>
      <c r="O641" s="2235">
        <v>15</v>
      </c>
      <c r="P641" s="2233"/>
      <c r="Q641" s="2233"/>
      <c r="R641" s="2235">
        <v>50</v>
      </c>
      <c r="S641" s="2233" t="s">
        <v>1769</v>
      </c>
      <c r="T641" s="2233">
        <v>20</v>
      </c>
      <c r="U641" s="2233"/>
      <c r="V641" s="2769" t="s">
        <v>2579</v>
      </c>
      <c r="W641" s="2769"/>
      <c r="X641" s="2945"/>
      <c r="Z641" s="2881" t="str">
        <f t="shared" si="63"/>
        <v/>
      </c>
      <c r="AB641" s="2403" t="s">
        <v>2583</v>
      </c>
      <c r="AC641" s="2115" t="s">
        <v>9041</v>
      </c>
      <c r="AD641" s="19" t="s">
        <v>2680</v>
      </c>
      <c r="AE641" s="2848" t="s">
        <v>2702</v>
      </c>
    </row>
    <row r="642" spans="1:31" ht="12.75" customHeight="1" x14ac:dyDescent="0.2">
      <c r="A642" s="2029">
        <v>211</v>
      </c>
      <c r="B642" s="4995"/>
      <c r="C642" s="2942"/>
      <c r="D642" s="2232" t="s">
        <v>2580</v>
      </c>
      <c r="E642" s="2233">
        <v>30</v>
      </c>
      <c r="F642" s="2233">
        <v>-10</v>
      </c>
      <c r="G642" s="2233">
        <v>5</v>
      </c>
      <c r="H642" s="2233">
        <v>5</v>
      </c>
      <c r="I642" s="2233" t="s">
        <v>2581</v>
      </c>
      <c r="J642" s="2233" t="s">
        <v>1813</v>
      </c>
      <c r="K642" s="2770" t="s">
        <v>9392</v>
      </c>
      <c r="L642" s="2233" t="str">
        <f t="shared" si="64"/>
        <v>Distinta</v>
      </c>
      <c r="M642" s="2235">
        <v>6</v>
      </c>
      <c r="N642" s="2235">
        <v>2</v>
      </c>
      <c r="O642" s="2235">
        <v>15</v>
      </c>
      <c r="P642" s="2233"/>
      <c r="Q642" s="2233"/>
      <c r="R642" s="2235">
        <v>80</v>
      </c>
      <c r="S642" s="2233" t="s">
        <v>1769</v>
      </c>
      <c r="T642" s="2233">
        <v>20</v>
      </c>
      <c r="U642" s="2233"/>
      <c r="V642" s="2239" t="s">
        <v>2582</v>
      </c>
      <c r="W642" s="2769"/>
      <c r="X642" s="2945"/>
      <c r="Z642" s="2881" t="str">
        <f t="shared" si="63"/>
        <v/>
      </c>
      <c r="AB642" s="2403" t="s">
        <v>2586</v>
      </c>
      <c r="AC642" s="2115" t="s">
        <v>2596</v>
      </c>
      <c r="AD642" s="19" t="s">
        <v>2682</v>
      </c>
      <c r="AE642" s="2404" t="s">
        <v>2704</v>
      </c>
    </row>
    <row r="643" spans="1:31" ht="12.75" customHeight="1" x14ac:dyDescent="0.2">
      <c r="A643" s="2029">
        <v>211</v>
      </c>
      <c r="B643" s="4995"/>
      <c r="C643" s="2942"/>
      <c r="D643" s="2232" t="s">
        <v>9040</v>
      </c>
      <c r="E643" s="2238">
        <v>60</v>
      </c>
      <c r="F643" s="2233">
        <v>-10</v>
      </c>
      <c r="G643" s="2233">
        <v>7</v>
      </c>
      <c r="H643" s="2233">
        <v>7</v>
      </c>
      <c r="I643" s="2233" t="s">
        <v>1868</v>
      </c>
      <c r="J643" s="2233" t="s">
        <v>1769</v>
      </c>
      <c r="K643" s="2770" t="s">
        <v>9393</v>
      </c>
      <c r="L643" s="2233" t="str">
        <f t="shared" si="64"/>
        <v>Distinta</v>
      </c>
      <c r="M643" s="2235">
        <v>15</v>
      </c>
      <c r="N643" s="2235">
        <v>4</v>
      </c>
      <c r="O643" s="2235">
        <v>20</v>
      </c>
      <c r="P643" s="2233"/>
      <c r="Q643" s="2233"/>
      <c r="R643" s="2233" t="s">
        <v>1769</v>
      </c>
      <c r="S643" s="2233" t="s">
        <v>1769</v>
      </c>
      <c r="T643" s="2233" t="s">
        <v>1769</v>
      </c>
      <c r="U643" s="2233"/>
      <c r="V643" s="2769" t="s">
        <v>1769</v>
      </c>
      <c r="W643" s="2769"/>
      <c r="X643" s="2945"/>
      <c r="Z643" s="2881" t="str">
        <f t="shared" si="63"/>
        <v/>
      </c>
      <c r="AB643" s="2403" t="s">
        <v>9043</v>
      </c>
      <c r="AC643" s="2115" t="s">
        <v>2599</v>
      </c>
      <c r="AD643" s="19" t="s">
        <v>2683</v>
      </c>
      <c r="AE643" s="2404" t="s">
        <v>2706</v>
      </c>
    </row>
    <row r="644" spans="1:31" ht="12.75" customHeight="1" x14ac:dyDescent="0.2">
      <c r="A644" s="2029">
        <v>211</v>
      </c>
      <c r="B644" s="4995"/>
      <c r="C644" s="2942"/>
      <c r="D644" s="2232" t="s">
        <v>9039</v>
      </c>
      <c r="E644" s="2238">
        <v>40</v>
      </c>
      <c r="F644" s="2233">
        <v>0</v>
      </c>
      <c r="G644" s="2233" t="s">
        <v>1769</v>
      </c>
      <c r="H644" s="2233">
        <v>6</v>
      </c>
      <c r="I644" s="2233" t="s">
        <v>1869</v>
      </c>
      <c r="J644" s="2233" t="s">
        <v>1813</v>
      </c>
      <c r="K644" s="2770" t="s">
        <v>9390</v>
      </c>
      <c r="L644" s="2233" t="str">
        <f t="shared" si="64"/>
        <v>Distinta</v>
      </c>
      <c r="M644" s="2235">
        <v>9</v>
      </c>
      <c r="N644" s="2235">
        <v>3</v>
      </c>
      <c r="O644" s="2235">
        <v>25</v>
      </c>
      <c r="P644" s="2233"/>
      <c r="Q644" s="2233"/>
      <c r="R644" s="2233" t="s">
        <v>1769</v>
      </c>
      <c r="S644" s="2233" t="s">
        <v>1769</v>
      </c>
      <c r="T644" s="2233" t="s">
        <v>1769</v>
      </c>
      <c r="U644" s="2233"/>
      <c r="V644" s="2769" t="s">
        <v>9089</v>
      </c>
      <c r="W644" s="2769"/>
      <c r="X644" s="2945"/>
      <c r="Z644" s="2881" t="str">
        <f t="shared" si="63"/>
        <v/>
      </c>
      <c r="AB644" s="2403" t="s">
        <v>2588</v>
      </c>
      <c r="AC644" s="2115" t="s">
        <v>9044</v>
      </c>
      <c r="AD644" s="2115" t="s">
        <v>2684</v>
      </c>
      <c r="AE644" s="2404" t="s">
        <v>2708</v>
      </c>
    </row>
    <row r="645" spans="1:31" ht="12.75" customHeight="1" x14ac:dyDescent="0.2">
      <c r="A645" s="2029">
        <v>211</v>
      </c>
      <c r="B645" s="4995"/>
      <c r="C645" s="2942"/>
      <c r="D645" s="2232" t="s">
        <v>2583</v>
      </c>
      <c r="E645" s="2238">
        <v>25</v>
      </c>
      <c r="F645" s="2233">
        <v>0</v>
      </c>
      <c r="G645" s="2233">
        <v>6</v>
      </c>
      <c r="H645" s="2233">
        <v>6</v>
      </c>
      <c r="I645" s="2233" t="s">
        <v>1813</v>
      </c>
      <c r="J645" s="2233" t="s">
        <v>1769</v>
      </c>
      <c r="K645" s="2770" t="s">
        <v>9394</v>
      </c>
      <c r="L645" s="2233" t="str">
        <f t="shared" si="64"/>
        <v>Distinta</v>
      </c>
      <c r="M645" s="2235">
        <v>13</v>
      </c>
      <c r="N645" s="2235">
        <v>2</v>
      </c>
      <c r="O645" s="2235">
        <v>15</v>
      </c>
      <c r="P645" s="2233"/>
      <c r="Q645" s="2233"/>
      <c r="R645" s="2233" t="s">
        <v>1769</v>
      </c>
      <c r="S645" s="2233" t="s">
        <v>1769</v>
      </c>
      <c r="T645" s="2233" t="s">
        <v>1769</v>
      </c>
      <c r="U645" s="2233"/>
      <c r="V645" s="2769" t="s">
        <v>2585</v>
      </c>
      <c r="W645" s="2769"/>
      <c r="X645" s="2945"/>
      <c r="Z645" s="2881" t="str">
        <f t="shared" si="63"/>
        <v/>
      </c>
      <c r="AB645" s="2403" t="s">
        <v>9046</v>
      </c>
      <c r="AC645" s="2115" t="s">
        <v>9045</v>
      </c>
      <c r="AD645" s="2115" t="s">
        <v>2685</v>
      </c>
      <c r="AE645" s="2849"/>
    </row>
    <row r="646" spans="1:31" ht="12.75" customHeight="1" x14ac:dyDescent="0.2">
      <c r="A646" s="2029">
        <v>211</v>
      </c>
      <c r="B646" s="4995"/>
      <c r="C646" s="2942"/>
      <c r="D646" s="2232" t="s">
        <v>2586</v>
      </c>
      <c r="E646" s="2238">
        <v>25</v>
      </c>
      <c r="F646" s="2233">
        <v>10</v>
      </c>
      <c r="G646" s="2233">
        <v>3</v>
      </c>
      <c r="H646" s="2233">
        <v>3</v>
      </c>
      <c r="I646" s="2233" t="s">
        <v>1869</v>
      </c>
      <c r="J646" s="2233" t="s">
        <v>1868</v>
      </c>
      <c r="K646" s="2770" t="s">
        <v>9395</v>
      </c>
      <c r="L646" s="2233" t="str">
        <f t="shared" si="64"/>
        <v>Distinta</v>
      </c>
      <c r="M646" s="2235">
        <v>11</v>
      </c>
      <c r="N646" s="2235">
        <v>-2</v>
      </c>
      <c r="O646" s="2235">
        <v>15</v>
      </c>
      <c r="P646" s="2233"/>
      <c r="Q646" s="2233"/>
      <c r="R646" s="2233" t="s">
        <v>1769</v>
      </c>
      <c r="S646" s="2233" t="s">
        <v>1769</v>
      </c>
      <c r="T646" s="2233" t="s">
        <v>1769</v>
      </c>
      <c r="U646" s="2233"/>
      <c r="V646" s="2769" t="s">
        <v>1769</v>
      </c>
      <c r="W646" s="2769"/>
      <c r="X646" s="2945"/>
      <c r="Z646" s="2881" t="str">
        <f t="shared" si="63"/>
        <v/>
      </c>
      <c r="AB646" s="2403" t="s">
        <v>2590</v>
      </c>
      <c r="AC646" s="2115" t="s">
        <v>9047</v>
      </c>
      <c r="AD646" s="2115" t="s">
        <v>9048</v>
      </c>
      <c r="AE646" s="2850"/>
    </row>
    <row r="647" spans="1:31" ht="12.75" customHeight="1" x14ac:dyDescent="0.2">
      <c r="A647" s="2029">
        <v>211</v>
      </c>
      <c r="B647" s="4995"/>
      <c r="C647" s="2942"/>
      <c r="D647" s="2232" t="s">
        <v>9043</v>
      </c>
      <c r="E647" s="2238">
        <v>40</v>
      </c>
      <c r="F647" s="2233">
        <v>5</v>
      </c>
      <c r="G647" s="2233">
        <v>6</v>
      </c>
      <c r="H647" s="2233">
        <v>6</v>
      </c>
      <c r="I647" s="2233" t="s">
        <v>1813</v>
      </c>
      <c r="J647" s="2233" t="s">
        <v>1769</v>
      </c>
      <c r="K647" s="2770" t="s">
        <v>9396</v>
      </c>
      <c r="L647" s="2233" t="str">
        <f t="shared" si="64"/>
        <v>Distinta</v>
      </c>
      <c r="M647" s="2235">
        <v>13</v>
      </c>
      <c r="N647" s="2235">
        <v>3</v>
      </c>
      <c r="O647" s="2235">
        <v>15</v>
      </c>
      <c r="P647" s="2233"/>
      <c r="Q647" s="2233"/>
      <c r="R647" s="2233" t="s">
        <v>1769</v>
      </c>
      <c r="S647" s="2233" t="s">
        <v>1769</v>
      </c>
      <c r="T647" s="2233" t="s">
        <v>1769</v>
      </c>
      <c r="U647" s="2233"/>
      <c r="V647" s="2769" t="s">
        <v>1769</v>
      </c>
      <c r="W647" s="2769"/>
      <c r="X647" s="2945"/>
      <c r="Z647" s="2881" t="str">
        <f t="shared" si="63"/>
        <v/>
      </c>
      <c r="AB647" s="2403" t="s">
        <v>2592</v>
      </c>
      <c r="AC647" s="2115" t="s">
        <v>2610</v>
      </c>
      <c r="AD647" s="19" t="s">
        <v>2686</v>
      </c>
      <c r="AE647" s="2850"/>
    </row>
    <row r="648" spans="1:31" ht="12.75" customHeight="1" x14ac:dyDescent="0.2">
      <c r="A648" s="2029">
        <v>211</v>
      </c>
      <c r="B648" s="4995"/>
      <c r="C648" s="2942"/>
      <c r="D648" s="2232" t="s">
        <v>2588</v>
      </c>
      <c r="E648" s="2238">
        <v>50</v>
      </c>
      <c r="F648" s="2233">
        <v>-5</v>
      </c>
      <c r="G648" s="2233">
        <v>5</v>
      </c>
      <c r="H648" s="2233">
        <v>5</v>
      </c>
      <c r="I648" s="2233" t="s">
        <v>1868</v>
      </c>
      <c r="J648" s="2233" t="s">
        <v>1769</v>
      </c>
      <c r="K648" s="2770" t="s">
        <v>9393</v>
      </c>
      <c r="L648" s="2233" t="str">
        <f t="shared" si="64"/>
        <v>Distinta</v>
      </c>
      <c r="M648" s="2235">
        <v>13</v>
      </c>
      <c r="N648" s="2235">
        <v>4</v>
      </c>
      <c r="O648" s="2235">
        <v>20</v>
      </c>
      <c r="P648" s="2233"/>
      <c r="Q648" s="2233"/>
      <c r="R648" s="2233" t="s">
        <v>1769</v>
      </c>
      <c r="S648" s="2233" t="s">
        <v>1769</v>
      </c>
      <c r="T648" s="2233" t="s">
        <v>1769</v>
      </c>
      <c r="U648" s="2233"/>
      <c r="V648" s="2769" t="s">
        <v>1769</v>
      </c>
      <c r="W648" s="2769"/>
      <c r="X648" s="2945"/>
      <c r="Z648" s="2881" t="str">
        <f t="shared" si="63"/>
        <v/>
      </c>
      <c r="AB648" s="2403" t="s">
        <v>2594</v>
      </c>
      <c r="AC648" s="2115" t="s">
        <v>2611</v>
      </c>
      <c r="AD648" s="19" t="s">
        <v>2687</v>
      </c>
      <c r="AE648" s="2850"/>
    </row>
    <row r="649" spans="1:31" ht="12.75" customHeight="1" x14ac:dyDescent="0.2">
      <c r="A649" s="2029">
        <v>211</v>
      </c>
      <c r="B649" s="4995"/>
      <c r="C649" s="2942"/>
      <c r="D649" s="2232" t="s">
        <v>9046</v>
      </c>
      <c r="E649" s="2238">
        <v>35</v>
      </c>
      <c r="F649" s="2233">
        <v>0</v>
      </c>
      <c r="G649" s="2233">
        <v>4</v>
      </c>
      <c r="H649" s="2233">
        <v>4</v>
      </c>
      <c r="I649" s="2233" t="s">
        <v>1869</v>
      </c>
      <c r="J649" s="2233" t="s">
        <v>1868</v>
      </c>
      <c r="K649" s="2770" t="s">
        <v>9395</v>
      </c>
      <c r="L649" s="2233" t="str">
        <f t="shared" si="64"/>
        <v>Distinta</v>
      </c>
      <c r="M649" s="2235">
        <v>12</v>
      </c>
      <c r="N649" s="2235">
        <v>0</v>
      </c>
      <c r="O649" s="2235">
        <v>20</v>
      </c>
      <c r="P649" s="2233"/>
      <c r="Q649" s="2233"/>
      <c r="R649" s="2233" t="s">
        <v>1769</v>
      </c>
      <c r="S649" s="2233" t="s">
        <v>1769</v>
      </c>
      <c r="T649" s="2233" t="s">
        <v>1769</v>
      </c>
      <c r="U649" s="2233"/>
      <c r="V649" s="2769" t="s">
        <v>2601</v>
      </c>
      <c r="W649" s="2769"/>
      <c r="X649" s="2945"/>
      <c r="Z649" s="2881" t="str">
        <f t="shared" si="63"/>
        <v/>
      </c>
      <c r="AB649" s="2403" t="s">
        <v>9050</v>
      </c>
      <c r="AC649" s="2115" t="s">
        <v>9049</v>
      </c>
      <c r="AD649" s="19" t="s">
        <v>2688</v>
      </c>
      <c r="AE649" s="2850"/>
    </row>
    <row r="650" spans="1:31" ht="12.75" customHeight="1" x14ac:dyDescent="0.2">
      <c r="A650" s="2029">
        <v>211</v>
      </c>
      <c r="B650" s="4995"/>
      <c r="C650" s="2942"/>
      <c r="D650" s="2232" t="s">
        <v>9041</v>
      </c>
      <c r="E650" s="2238">
        <v>65</v>
      </c>
      <c r="F650" s="2233">
        <v>-20</v>
      </c>
      <c r="G650" s="2233" t="s">
        <v>1769</v>
      </c>
      <c r="H650" s="2233">
        <v>7</v>
      </c>
      <c r="I650" s="2233" t="s">
        <v>1868</v>
      </c>
      <c r="J650" s="2233" t="s">
        <v>1813</v>
      </c>
      <c r="K650" s="2770" t="s">
        <v>9397</v>
      </c>
      <c r="L650" s="2233" t="str">
        <f t="shared" si="64"/>
        <v>Distinta</v>
      </c>
      <c r="M650" s="2235">
        <v>6</v>
      </c>
      <c r="N650" s="2235">
        <v>5</v>
      </c>
      <c r="O650" s="2235">
        <v>25</v>
      </c>
      <c r="P650" s="2233"/>
      <c r="Q650" s="2233"/>
      <c r="R650" s="2233" t="s">
        <v>1769</v>
      </c>
      <c r="S650" s="2233" t="s">
        <v>1769</v>
      </c>
      <c r="T650" s="2233" t="s">
        <v>1769</v>
      </c>
      <c r="U650" s="2233"/>
      <c r="V650" s="2769" t="s">
        <v>1906</v>
      </c>
      <c r="W650" s="2769"/>
      <c r="X650" s="2945"/>
      <c r="Z650" s="2881" t="str">
        <f t="shared" si="63"/>
        <v/>
      </c>
      <c r="AB650" s="2403" t="s">
        <v>9051</v>
      </c>
      <c r="AC650" s="2115" t="s">
        <v>2612</v>
      </c>
      <c r="AD650" s="19" t="s">
        <v>10512</v>
      </c>
      <c r="AE650" s="2850"/>
    </row>
    <row r="651" spans="1:31" ht="12.75" customHeight="1" x14ac:dyDescent="0.2">
      <c r="A651" s="2029">
        <v>211</v>
      </c>
      <c r="B651" s="4995"/>
      <c r="C651" s="2942"/>
      <c r="D651" s="2232" t="s">
        <v>2590</v>
      </c>
      <c r="E651" s="2238">
        <v>30</v>
      </c>
      <c r="F651" s="2233">
        <v>20</v>
      </c>
      <c r="G651" s="2233">
        <v>3</v>
      </c>
      <c r="H651" s="2233">
        <v>3</v>
      </c>
      <c r="I651" s="2233" t="s">
        <v>1869</v>
      </c>
      <c r="J651" s="2233" t="s">
        <v>1868</v>
      </c>
      <c r="K651" s="2770" t="s">
        <v>9395</v>
      </c>
      <c r="L651" s="2233" t="str">
        <f t="shared" si="64"/>
        <v>Distinta</v>
      </c>
      <c r="M651" s="2235">
        <v>10</v>
      </c>
      <c r="N651" s="2235">
        <v>-2</v>
      </c>
      <c r="O651" s="2235">
        <v>15</v>
      </c>
      <c r="P651" s="2233"/>
      <c r="Q651" s="2233"/>
      <c r="R651" s="2235">
        <v>50</v>
      </c>
      <c r="S651" s="2233" t="s">
        <v>1769</v>
      </c>
      <c r="T651" s="2233">
        <v>20</v>
      </c>
      <c r="U651" s="2233"/>
      <c r="V651" s="2769" t="s">
        <v>2591</v>
      </c>
      <c r="W651" s="2769"/>
      <c r="X651" s="2945"/>
      <c r="Z651" s="2881" t="str">
        <f t="shared" si="63"/>
        <v/>
      </c>
      <c r="AB651" s="2403" t="s">
        <v>2596</v>
      </c>
      <c r="AC651" s="2115" t="s">
        <v>2620</v>
      </c>
      <c r="AD651" s="19" t="s">
        <v>10513</v>
      </c>
      <c r="AE651" s="2850"/>
    </row>
    <row r="652" spans="1:31" ht="12.75" customHeight="1" x14ac:dyDescent="0.2">
      <c r="A652" s="2029">
        <v>211</v>
      </c>
      <c r="B652" s="4995"/>
      <c r="C652" s="2942"/>
      <c r="D652" s="2232" t="s">
        <v>2592</v>
      </c>
      <c r="E652" s="2238">
        <v>30</v>
      </c>
      <c r="F652" s="2233">
        <v>15</v>
      </c>
      <c r="G652" s="2233">
        <v>3</v>
      </c>
      <c r="H652" s="2233">
        <v>3</v>
      </c>
      <c r="I652" s="2233" t="s">
        <v>1869</v>
      </c>
      <c r="J652" s="2233" t="s">
        <v>1868</v>
      </c>
      <c r="K652" s="2770" t="s">
        <v>9395</v>
      </c>
      <c r="L652" s="2233" t="str">
        <f t="shared" si="64"/>
        <v>Distinta</v>
      </c>
      <c r="M652" s="2235">
        <v>12</v>
      </c>
      <c r="N652" s="2235">
        <v>0</v>
      </c>
      <c r="O652" s="2235">
        <v>20</v>
      </c>
      <c r="P652" s="2233"/>
      <c r="Q652" s="2233"/>
      <c r="R652" s="2235">
        <v>50</v>
      </c>
      <c r="S652" s="2233" t="s">
        <v>1769</v>
      </c>
      <c r="T652" s="2233">
        <v>15</v>
      </c>
      <c r="U652" s="2233"/>
      <c r="V652" s="2769" t="s">
        <v>2593</v>
      </c>
      <c r="W652" s="2769"/>
      <c r="X652" s="2945"/>
      <c r="Z652" s="2881" t="str">
        <f t="shared" si="63"/>
        <v/>
      </c>
      <c r="AB652" s="2403" t="s">
        <v>2598</v>
      </c>
      <c r="AC652" s="2115" t="s">
        <v>9052</v>
      </c>
      <c r="AD652" s="19" t="s">
        <v>10514</v>
      </c>
      <c r="AE652" s="2850"/>
    </row>
    <row r="653" spans="1:31" ht="12.75" customHeight="1" x14ac:dyDescent="0.2">
      <c r="A653" s="2029">
        <v>211</v>
      </c>
      <c r="B653" s="4995"/>
      <c r="C653" s="2942"/>
      <c r="D653" s="2232" t="s">
        <v>2594</v>
      </c>
      <c r="E653" s="2233">
        <v>20</v>
      </c>
      <c r="F653" s="2233">
        <v>20</v>
      </c>
      <c r="G653" s="2233">
        <v>3</v>
      </c>
      <c r="H653" s="2233">
        <v>3</v>
      </c>
      <c r="I653" s="2233" t="s">
        <v>1869</v>
      </c>
      <c r="J653" s="2233" t="s">
        <v>1769</v>
      </c>
      <c r="K653" s="2770" t="s">
        <v>9392</v>
      </c>
      <c r="L653" s="2233" t="str">
        <f t="shared" si="64"/>
        <v>Distinta</v>
      </c>
      <c r="M653" s="2235">
        <v>3</v>
      </c>
      <c r="N653" s="2235">
        <v>-4</v>
      </c>
      <c r="O653" s="2235">
        <v>15</v>
      </c>
      <c r="P653" s="2233"/>
      <c r="Q653" s="2233"/>
      <c r="R653" s="2235">
        <v>40</v>
      </c>
      <c r="S653" s="2233" t="s">
        <v>1769</v>
      </c>
      <c r="T653" s="2233">
        <v>20</v>
      </c>
      <c r="U653" s="2233"/>
      <c r="V653" s="2769" t="s">
        <v>2595</v>
      </c>
      <c r="W653" s="2769"/>
      <c r="X653" s="2945"/>
      <c r="Z653" s="2881" t="str">
        <f t="shared" si="63"/>
        <v/>
      </c>
      <c r="AB653" s="2403" t="s">
        <v>2599</v>
      </c>
      <c r="AC653" s="2115" t="s">
        <v>9053</v>
      </c>
      <c r="AD653" s="19" t="s">
        <v>10515</v>
      </c>
      <c r="AE653" s="2850"/>
    </row>
    <row r="654" spans="1:31" ht="12.75" customHeight="1" x14ac:dyDescent="0.2">
      <c r="A654" s="2029">
        <v>211</v>
      </c>
      <c r="B654" s="4995"/>
      <c r="C654" s="2942"/>
      <c r="D654" s="2232" t="s">
        <v>9050</v>
      </c>
      <c r="E654" s="2238">
        <v>35</v>
      </c>
      <c r="F654" s="2233">
        <v>15</v>
      </c>
      <c r="G654" s="2233">
        <v>5</v>
      </c>
      <c r="H654" s="2233">
        <v>5</v>
      </c>
      <c r="I654" s="2233" t="s">
        <v>1869</v>
      </c>
      <c r="J654" s="2233" t="s">
        <v>1769</v>
      </c>
      <c r="K654" s="2770" t="s">
        <v>9395</v>
      </c>
      <c r="L654" s="2233" t="str">
        <f t="shared" si="64"/>
        <v>Distinta</v>
      </c>
      <c r="M654" s="2235">
        <v>10</v>
      </c>
      <c r="N654" s="2235">
        <v>-2</v>
      </c>
      <c r="O654" s="2235">
        <v>15</v>
      </c>
      <c r="P654" s="2233"/>
      <c r="Q654" s="2233"/>
      <c r="R654" s="2233" t="s">
        <v>1769</v>
      </c>
      <c r="S654" s="2233" t="s">
        <v>1769</v>
      </c>
      <c r="T654" s="2233" t="s">
        <v>1769</v>
      </c>
      <c r="U654" s="2233"/>
      <c r="V654" s="2769" t="s">
        <v>2601</v>
      </c>
      <c r="W654" s="2769"/>
      <c r="X654" s="2945"/>
      <c r="Z654" s="2881" t="str">
        <f t="shared" si="63"/>
        <v/>
      </c>
      <c r="AB654" s="2403" t="s">
        <v>2600</v>
      </c>
      <c r="AC654" s="2115" t="s">
        <v>2633</v>
      </c>
      <c r="AD654" s="19" t="s">
        <v>2710</v>
      </c>
      <c r="AE654" s="2850"/>
    </row>
    <row r="655" spans="1:31" ht="12.75" customHeight="1" x14ac:dyDescent="0.2">
      <c r="A655" s="2029">
        <v>211</v>
      </c>
      <c r="B655" s="4995"/>
      <c r="C655" s="2942"/>
      <c r="D655" s="2232" t="s">
        <v>9051</v>
      </c>
      <c r="E655" s="2238">
        <v>45</v>
      </c>
      <c r="F655" s="2233">
        <v>0</v>
      </c>
      <c r="G655" s="2233">
        <v>4</v>
      </c>
      <c r="H655" s="2233">
        <v>4</v>
      </c>
      <c r="I655" s="2233" t="s">
        <v>1868</v>
      </c>
      <c r="J655" s="2233" t="s">
        <v>1869</v>
      </c>
      <c r="K655" s="2770" t="s">
        <v>9395</v>
      </c>
      <c r="L655" s="2233" t="str">
        <f t="shared" si="64"/>
        <v>Distinta</v>
      </c>
      <c r="M655" s="2235">
        <v>14</v>
      </c>
      <c r="N655" s="2235">
        <v>4</v>
      </c>
      <c r="O655" s="2235">
        <v>20</v>
      </c>
      <c r="P655" s="2233"/>
      <c r="Q655" s="2233"/>
      <c r="R655" s="2233" t="s">
        <v>1769</v>
      </c>
      <c r="S655" s="2233" t="s">
        <v>1769</v>
      </c>
      <c r="T655" s="2233" t="s">
        <v>1769</v>
      </c>
      <c r="U655" s="2233"/>
      <c r="V655" s="2769" t="s">
        <v>1769</v>
      </c>
      <c r="W655" s="2769"/>
      <c r="X655" s="2945"/>
      <c r="Z655" s="2881" t="str">
        <f t="shared" si="63"/>
        <v/>
      </c>
      <c r="AB655" s="2403" t="s">
        <v>2602</v>
      </c>
      <c r="AC655" s="19" t="s">
        <v>9054</v>
      </c>
      <c r="AD655" s="19" t="s">
        <v>2720</v>
      </c>
      <c r="AE655" s="2850"/>
    </row>
    <row r="656" spans="1:31" ht="12.75" customHeight="1" x14ac:dyDescent="0.2">
      <c r="A656" s="2029">
        <v>211</v>
      </c>
      <c r="B656" s="4995"/>
      <c r="C656" s="2942"/>
      <c r="D656" s="2232" t="s">
        <v>2596</v>
      </c>
      <c r="E656" s="2238">
        <v>90</v>
      </c>
      <c r="F656" s="2233">
        <v>-60</v>
      </c>
      <c r="G656" s="2233">
        <v>10</v>
      </c>
      <c r="H656" s="2233">
        <v>8</v>
      </c>
      <c r="I656" s="2233" t="s">
        <v>1868</v>
      </c>
      <c r="J656" s="2233" t="s">
        <v>1813</v>
      </c>
      <c r="K656" s="2770" t="s">
        <v>9397</v>
      </c>
      <c r="L656" s="2233" t="str">
        <f t="shared" si="64"/>
        <v>Distinta</v>
      </c>
      <c r="M656" s="2235">
        <v>18</v>
      </c>
      <c r="N656" s="2235">
        <v>6</v>
      </c>
      <c r="O656" s="2235">
        <v>30</v>
      </c>
      <c r="P656" s="2233"/>
      <c r="Q656" s="2233"/>
      <c r="R656" s="2233" t="s">
        <v>1769</v>
      </c>
      <c r="S656" s="2233" t="s">
        <v>1769</v>
      </c>
      <c r="T656" s="2233" t="s">
        <v>1769</v>
      </c>
      <c r="U656" s="2233"/>
      <c r="V656" s="2769" t="s">
        <v>2597</v>
      </c>
      <c r="W656" s="2769"/>
      <c r="X656" s="2945"/>
      <c r="Z656" s="2881" t="str">
        <f t="shared" si="63"/>
        <v/>
      </c>
      <c r="AB656" s="2403" t="s">
        <v>2603</v>
      </c>
      <c r="AC656" s="19" t="s">
        <v>9056</v>
      </c>
      <c r="AD656" s="19" t="s">
        <v>2722</v>
      </c>
      <c r="AE656" s="2850"/>
    </row>
    <row r="657" spans="1:31" ht="12.75" customHeight="1" x14ac:dyDescent="0.2">
      <c r="A657" s="2029">
        <v>211</v>
      </c>
      <c r="B657" s="4995"/>
      <c r="C657" s="2942"/>
      <c r="D657" s="2232" t="s">
        <v>2598</v>
      </c>
      <c r="E657" s="2238">
        <v>55</v>
      </c>
      <c r="F657" s="2233">
        <v>-5</v>
      </c>
      <c r="G657" s="2233">
        <v>5</v>
      </c>
      <c r="H657" s="2233">
        <v>5</v>
      </c>
      <c r="I657" s="2233" t="s">
        <v>1868</v>
      </c>
      <c r="J657" s="2233" t="s">
        <v>1769</v>
      </c>
      <c r="K657" s="2770" t="s">
        <v>9393</v>
      </c>
      <c r="L657" s="2233" t="str">
        <f t="shared" si="64"/>
        <v>Distinta</v>
      </c>
      <c r="M657" s="2235">
        <v>15</v>
      </c>
      <c r="N657" s="2235">
        <v>3</v>
      </c>
      <c r="O657" s="2235">
        <v>25</v>
      </c>
      <c r="P657" s="2233"/>
      <c r="Q657" s="2233"/>
      <c r="R657" s="2233" t="s">
        <v>1769</v>
      </c>
      <c r="S657" s="2233" t="s">
        <v>1769</v>
      </c>
      <c r="T657" s="2233" t="s">
        <v>1769</v>
      </c>
      <c r="U657" s="2233"/>
      <c r="V657" s="2769" t="s">
        <v>1769</v>
      </c>
      <c r="W657" s="2769"/>
      <c r="X657" s="2945"/>
      <c r="Z657" s="2881" t="str">
        <f t="shared" si="63"/>
        <v/>
      </c>
      <c r="AB657" s="2403" t="s">
        <v>2605</v>
      </c>
      <c r="AC657" s="19" t="s">
        <v>2637</v>
      </c>
      <c r="AD657" s="19" t="s">
        <v>2723</v>
      </c>
      <c r="AE657" s="2850"/>
    </row>
    <row r="658" spans="1:31" ht="12.75" customHeight="1" x14ac:dyDescent="0.2">
      <c r="A658" s="2029">
        <v>211</v>
      </c>
      <c r="B658" s="4995"/>
      <c r="C658" s="2942"/>
      <c r="D658" s="2232" t="s">
        <v>2599</v>
      </c>
      <c r="E658" s="2238">
        <v>70</v>
      </c>
      <c r="F658" s="2233">
        <v>-30</v>
      </c>
      <c r="G658" s="2233">
        <v>7</v>
      </c>
      <c r="H658" s="2233">
        <v>7</v>
      </c>
      <c r="I658" s="2233" t="s">
        <v>1868</v>
      </c>
      <c r="J658" s="2233" t="s">
        <v>1813</v>
      </c>
      <c r="K658" s="2770" t="s">
        <v>9398</v>
      </c>
      <c r="L658" s="2233" t="str">
        <f t="shared" si="64"/>
        <v>Distinta</v>
      </c>
      <c r="M658" s="2235">
        <v>15</v>
      </c>
      <c r="N658" s="2235">
        <v>5</v>
      </c>
      <c r="O658" s="2235">
        <v>25</v>
      </c>
      <c r="P658" s="2233"/>
      <c r="Q658" s="2233"/>
      <c r="R658" s="2233" t="s">
        <v>1769</v>
      </c>
      <c r="S658" s="2233" t="s">
        <v>1769</v>
      </c>
      <c r="T658" s="2233" t="s">
        <v>1769</v>
      </c>
      <c r="U658" s="2233"/>
      <c r="V658" s="2769" t="s">
        <v>2597</v>
      </c>
      <c r="W658" s="2769"/>
      <c r="X658" s="2945"/>
      <c r="Z658" s="2881" t="str">
        <f t="shared" si="63"/>
        <v/>
      </c>
      <c r="AB658" s="2403" t="s">
        <v>9058</v>
      </c>
      <c r="AC658" s="19" t="s">
        <v>9057</v>
      </c>
      <c r="AD658" s="19"/>
      <c r="AE658" s="2850"/>
    </row>
    <row r="659" spans="1:31" ht="12.75" customHeight="1" x14ac:dyDescent="0.2">
      <c r="A659" s="2029">
        <v>211</v>
      </c>
      <c r="B659" s="4995"/>
      <c r="C659" s="2942"/>
      <c r="D659" s="2232" t="s">
        <v>2600</v>
      </c>
      <c r="E659" s="2238">
        <v>40</v>
      </c>
      <c r="F659" s="2233">
        <v>15</v>
      </c>
      <c r="G659" s="2233">
        <v>4</v>
      </c>
      <c r="H659" s="2233">
        <v>4</v>
      </c>
      <c r="I659" s="2233" t="s">
        <v>1869</v>
      </c>
      <c r="J659" s="2233" t="s">
        <v>1868</v>
      </c>
      <c r="K659" s="2770" t="s">
        <v>9395</v>
      </c>
      <c r="L659" s="2233" t="str">
        <f t="shared" si="64"/>
        <v>Distinta</v>
      </c>
      <c r="M659" s="2235">
        <v>12</v>
      </c>
      <c r="N659" s="2235">
        <v>1</v>
      </c>
      <c r="O659" s="2235">
        <v>20</v>
      </c>
      <c r="P659" s="2233"/>
      <c r="Q659" s="2233"/>
      <c r="R659" s="2233" t="s">
        <v>1769</v>
      </c>
      <c r="S659" s="2233" t="s">
        <v>1769</v>
      </c>
      <c r="T659" s="2233" t="s">
        <v>1769</v>
      </c>
      <c r="U659" s="2233"/>
      <c r="V659" s="2769" t="s">
        <v>2601</v>
      </c>
      <c r="W659" s="2769"/>
      <c r="X659" s="2945"/>
      <c r="Z659" s="2881" t="str">
        <f t="shared" si="63"/>
        <v/>
      </c>
      <c r="AB659" s="2403" t="s">
        <v>2606</v>
      </c>
      <c r="AC659" s="19" t="s">
        <v>2641</v>
      </c>
      <c r="AD659" s="19"/>
      <c r="AE659" s="2850"/>
    </row>
    <row r="660" spans="1:31" ht="12.75" customHeight="1" x14ac:dyDescent="0.2">
      <c r="A660" s="2029">
        <v>211</v>
      </c>
      <c r="B660" s="4995"/>
      <c r="C660" s="2942"/>
      <c r="D660" s="2232" t="s">
        <v>2602</v>
      </c>
      <c r="E660" s="2238">
        <v>50</v>
      </c>
      <c r="F660" s="2233">
        <v>0</v>
      </c>
      <c r="G660" s="2233">
        <v>6</v>
      </c>
      <c r="H660" s="2233">
        <v>6</v>
      </c>
      <c r="I660" s="2233" t="s">
        <v>1868</v>
      </c>
      <c r="J660" s="2233" t="s">
        <v>1769</v>
      </c>
      <c r="K660" s="2770" t="s">
        <v>9393</v>
      </c>
      <c r="L660" s="2233" t="str">
        <f t="shared" si="64"/>
        <v>Distinta</v>
      </c>
      <c r="M660" s="2235">
        <v>13</v>
      </c>
      <c r="N660" s="2235">
        <v>3</v>
      </c>
      <c r="O660" s="2235">
        <v>25</v>
      </c>
      <c r="P660" s="2233"/>
      <c r="Q660" s="2233"/>
      <c r="R660" s="2233" t="s">
        <v>1769</v>
      </c>
      <c r="S660" s="2233" t="s">
        <v>1769</v>
      </c>
      <c r="T660" s="2233" t="s">
        <v>1769</v>
      </c>
      <c r="U660" s="2233"/>
      <c r="V660" s="2769" t="s">
        <v>1769</v>
      </c>
      <c r="W660" s="2769"/>
      <c r="X660" s="2945"/>
      <c r="Z660" s="2881" t="str">
        <f t="shared" si="63"/>
        <v/>
      </c>
      <c r="AB660" s="2403" t="s">
        <v>2607</v>
      </c>
      <c r="AC660" s="19" t="s">
        <v>2647</v>
      </c>
      <c r="AD660" s="19"/>
      <c r="AE660" s="2850"/>
    </row>
    <row r="661" spans="1:31" ht="12.75" customHeight="1" x14ac:dyDescent="0.2">
      <c r="A661" s="2029">
        <v>211</v>
      </c>
      <c r="B661" s="4995"/>
      <c r="C661" s="2942"/>
      <c r="D661" s="2232" t="s">
        <v>2603</v>
      </c>
      <c r="E661" s="2238">
        <v>25</v>
      </c>
      <c r="F661" s="2233">
        <v>20</v>
      </c>
      <c r="G661" s="2233">
        <v>3</v>
      </c>
      <c r="H661" s="2233">
        <v>3</v>
      </c>
      <c r="I661" s="2233" t="s">
        <v>1869</v>
      </c>
      <c r="J661" s="2233" t="s">
        <v>1769</v>
      </c>
      <c r="K661" s="2770" t="s">
        <v>9395</v>
      </c>
      <c r="L661" s="2233" t="str">
        <f t="shared" si="64"/>
        <v>Distinta</v>
      </c>
      <c r="M661" s="2235">
        <v>8</v>
      </c>
      <c r="N661" s="2235">
        <v>-3</v>
      </c>
      <c r="O661" s="2235">
        <v>15</v>
      </c>
      <c r="P661" s="2233"/>
      <c r="Q661" s="2233"/>
      <c r="R661" s="2235">
        <v>30</v>
      </c>
      <c r="S661" s="2233" t="s">
        <v>1769</v>
      </c>
      <c r="T661" s="2233">
        <v>30</v>
      </c>
      <c r="U661" s="2233"/>
      <c r="V661" s="2769" t="s">
        <v>2604</v>
      </c>
      <c r="W661" s="2769"/>
      <c r="X661" s="2945"/>
      <c r="Z661" s="2881" t="str">
        <f t="shared" si="63"/>
        <v/>
      </c>
      <c r="AB661" s="2403" t="s">
        <v>2608</v>
      </c>
      <c r="AC661" s="19" t="s">
        <v>2650</v>
      </c>
      <c r="AD661" s="19"/>
      <c r="AE661" s="2850"/>
    </row>
    <row r="662" spans="1:31" ht="12.75" customHeight="1" x14ac:dyDescent="0.2">
      <c r="A662" s="2029">
        <v>211</v>
      </c>
      <c r="B662" s="4995"/>
      <c r="C662" s="2942"/>
      <c r="D662" s="2232" t="s">
        <v>2605</v>
      </c>
      <c r="E662" s="2238">
        <v>40</v>
      </c>
      <c r="F662" s="2233">
        <v>15</v>
      </c>
      <c r="G662" s="2233">
        <v>4</v>
      </c>
      <c r="H662" s="2233">
        <v>4</v>
      </c>
      <c r="I662" s="2233" t="s">
        <v>1869</v>
      </c>
      <c r="J662" s="2233" t="s">
        <v>1868</v>
      </c>
      <c r="K662" s="2770" t="s">
        <v>9393</v>
      </c>
      <c r="L662" s="2233" t="str">
        <f t="shared" si="64"/>
        <v>Distinta</v>
      </c>
      <c r="M662" s="2235">
        <v>11</v>
      </c>
      <c r="N662" s="2235">
        <v>2</v>
      </c>
      <c r="O662" s="2235">
        <v>20</v>
      </c>
      <c r="P662" s="2233"/>
      <c r="Q662" s="2233"/>
      <c r="R662" s="2233" t="s">
        <v>1769</v>
      </c>
      <c r="S662" s="2233" t="s">
        <v>1769</v>
      </c>
      <c r="T662" s="2233" t="s">
        <v>1769</v>
      </c>
      <c r="U662" s="2233"/>
      <c r="V662" s="2769" t="s">
        <v>2601</v>
      </c>
      <c r="W662" s="2769"/>
      <c r="X662" s="2945"/>
      <c r="Z662" s="2881" t="str">
        <f t="shared" si="63"/>
        <v/>
      </c>
      <c r="AB662" s="2403" t="s">
        <v>9044</v>
      </c>
      <c r="AC662" s="19" t="s">
        <v>2657</v>
      </c>
      <c r="AD662" s="19"/>
      <c r="AE662" s="2850"/>
    </row>
    <row r="663" spans="1:31" ht="12.75" customHeight="1" x14ac:dyDescent="0.2">
      <c r="A663" s="2029">
        <v>211</v>
      </c>
      <c r="B663" s="4995"/>
      <c r="C663" s="2942"/>
      <c r="D663" s="2232" t="s">
        <v>9058</v>
      </c>
      <c r="E663" s="2238">
        <v>60</v>
      </c>
      <c r="F663" s="2233">
        <v>-10</v>
      </c>
      <c r="G663" s="2233">
        <v>7</v>
      </c>
      <c r="H663" s="2233">
        <v>7</v>
      </c>
      <c r="I663" s="2233" t="s">
        <v>1868</v>
      </c>
      <c r="J663" s="2233" t="s">
        <v>1769</v>
      </c>
      <c r="K663" s="2770" t="s">
        <v>9399</v>
      </c>
      <c r="L663" s="2233" t="str">
        <f t="shared" si="64"/>
        <v>Distinta</v>
      </c>
      <c r="M663" s="2235">
        <v>12</v>
      </c>
      <c r="N663" s="2235">
        <v>5</v>
      </c>
      <c r="O663" s="2235">
        <v>20</v>
      </c>
      <c r="P663" s="2233"/>
      <c r="Q663" s="2233"/>
      <c r="R663" s="2233" t="s">
        <v>1769</v>
      </c>
      <c r="S663" s="2233" t="s">
        <v>1769</v>
      </c>
      <c r="T663" s="2233" t="s">
        <v>1769</v>
      </c>
      <c r="U663" s="2233"/>
      <c r="V663" s="2769" t="s">
        <v>1769</v>
      </c>
      <c r="W663" s="2769"/>
      <c r="X663" s="2945"/>
      <c r="Z663" s="2881" t="str">
        <f t="shared" si="63"/>
        <v/>
      </c>
      <c r="AB663" s="2403" t="s">
        <v>9045</v>
      </c>
      <c r="AC663" s="19" t="s">
        <v>2658</v>
      </c>
      <c r="AD663" s="19"/>
      <c r="AE663" s="2850"/>
    </row>
    <row r="664" spans="1:31" ht="12.75" customHeight="1" x14ac:dyDescent="0.2">
      <c r="A664" s="2029">
        <v>211</v>
      </c>
      <c r="B664" s="4995"/>
      <c r="C664" s="2942"/>
      <c r="D664" s="2232" t="s">
        <v>2606</v>
      </c>
      <c r="E664" s="2238">
        <v>35</v>
      </c>
      <c r="F664" s="2233">
        <v>15</v>
      </c>
      <c r="G664" s="2233">
        <v>3</v>
      </c>
      <c r="H664" s="2233">
        <v>3</v>
      </c>
      <c r="I664" s="2233" t="s">
        <v>1869</v>
      </c>
      <c r="J664" s="2233" t="s">
        <v>1769</v>
      </c>
      <c r="K664" s="2770" t="s">
        <v>9400</v>
      </c>
      <c r="L664" s="2233" t="str">
        <f t="shared" si="64"/>
        <v>Distinta</v>
      </c>
      <c r="M664" s="2235">
        <v>9</v>
      </c>
      <c r="N664" s="2235">
        <v>-2</v>
      </c>
      <c r="O664" s="2235">
        <v>20</v>
      </c>
      <c r="P664" s="2233"/>
      <c r="Q664" s="2233"/>
      <c r="R664" s="2233" t="s">
        <v>1769</v>
      </c>
      <c r="S664" s="2233" t="s">
        <v>1769</v>
      </c>
      <c r="T664" s="2233" t="s">
        <v>1769</v>
      </c>
      <c r="U664" s="2233"/>
      <c r="V664" s="2769" t="s">
        <v>2601</v>
      </c>
      <c r="W664" s="2769"/>
      <c r="X664" s="2945"/>
      <c r="Z664" s="2881" t="str">
        <f t="shared" si="63"/>
        <v/>
      </c>
      <c r="AB664" s="2403" t="s">
        <v>2610</v>
      </c>
      <c r="AC664" s="19" t="s">
        <v>2662</v>
      </c>
      <c r="AD664" s="19"/>
      <c r="AE664" s="2850"/>
    </row>
    <row r="665" spans="1:31" ht="12.75" customHeight="1" x14ac:dyDescent="0.2">
      <c r="A665" s="2029">
        <v>211</v>
      </c>
      <c r="B665" s="4995"/>
      <c r="C665" s="2942"/>
      <c r="D665" s="2232" t="s">
        <v>2607</v>
      </c>
      <c r="E665" s="2238">
        <v>30</v>
      </c>
      <c r="F665" s="2233">
        <v>10</v>
      </c>
      <c r="G665" s="2233">
        <v>3</v>
      </c>
      <c r="H665" s="2233">
        <v>3</v>
      </c>
      <c r="I665" s="2233" t="s">
        <v>1869</v>
      </c>
      <c r="J665" s="2233" t="s">
        <v>1769</v>
      </c>
      <c r="K665" s="2770" t="s">
        <v>9395</v>
      </c>
      <c r="L665" s="2233" t="str">
        <f t="shared" si="64"/>
        <v>Distinta</v>
      </c>
      <c r="M665" s="2235">
        <v>11</v>
      </c>
      <c r="N665" s="2235">
        <v>-2</v>
      </c>
      <c r="O665" s="2235">
        <v>15</v>
      </c>
      <c r="P665" s="2233"/>
      <c r="Q665" s="2233"/>
      <c r="R665" s="2233" t="s">
        <v>1769</v>
      </c>
      <c r="S665" s="2233" t="s">
        <v>1769</v>
      </c>
      <c r="T665" s="2233" t="s">
        <v>1769</v>
      </c>
      <c r="U665" s="2233"/>
      <c r="V665" s="2769" t="s">
        <v>1769</v>
      </c>
      <c r="W665" s="2769"/>
      <c r="X665" s="2945"/>
      <c r="Z665" s="2881" t="str">
        <f t="shared" si="63"/>
        <v/>
      </c>
      <c r="AB665" s="2403" t="s">
        <v>2611</v>
      </c>
      <c r="AC665" s="19" t="s">
        <v>2665</v>
      </c>
      <c r="AD665" s="19"/>
      <c r="AE665" s="2850"/>
    </row>
    <row r="666" spans="1:31" ht="12.75" customHeight="1" x14ac:dyDescent="0.2">
      <c r="A666" s="2029">
        <v>211</v>
      </c>
      <c r="B666" s="4995"/>
      <c r="C666" s="2942"/>
      <c r="D666" s="2232" t="s">
        <v>2608</v>
      </c>
      <c r="E666" s="2238">
        <v>30</v>
      </c>
      <c r="F666" s="2233">
        <v>0</v>
      </c>
      <c r="G666" s="2233">
        <v>5</v>
      </c>
      <c r="H666" s="2233">
        <v>5</v>
      </c>
      <c r="I666" s="2233" t="s">
        <v>1813</v>
      </c>
      <c r="J666" s="2233" t="s">
        <v>1769</v>
      </c>
      <c r="K666" s="2770" t="s">
        <v>9396</v>
      </c>
      <c r="L666" s="2233" t="str">
        <f t="shared" si="64"/>
        <v>Distinta</v>
      </c>
      <c r="M666" s="2235">
        <v>11</v>
      </c>
      <c r="N666" s="2235">
        <v>-2</v>
      </c>
      <c r="O666" s="2235">
        <v>15</v>
      </c>
      <c r="P666" s="2233"/>
      <c r="Q666" s="2233"/>
      <c r="R666" s="2233" t="s">
        <v>1769</v>
      </c>
      <c r="S666" s="2233" t="s">
        <v>1769</v>
      </c>
      <c r="T666" s="2233" t="s">
        <v>1769</v>
      </c>
      <c r="U666" s="2233"/>
      <c r="V666" s="2769" t="s">
        <v>1769</v>
      </c>
      <c r="W666" s="2769"/>
      <c r="X666" s="2945"/>
      <c r="Z666" s="2881" t="str">
        <f t="shared" si="63"/>
        <v/>
      </c>
      <c r="AB666" s="2403" t="s">
        <v>2612</v>
      </c>
      <c r="AC666" s="19" t="s">
        <v>2667</v>
      </c>
      <c r="AD666" s="19"/>
      <c r="AE666" s="2850"/>
    </row>
    <row r="667" spans="1:31" ht="12.75" customHeight="1" x14ac:dyDescent="0.2">
      <c r="A667" s="2029">
        <v>211</v>
      </c>
      <c r="B667" s="4995"/>
      <c r="C667" s="2942"/>
      <c r="D667" s="2232" t="s">
        <v>9044</v>
      </c>
      <c r="E667" s="2238">
        <v>40</v>
      </c>
      <c r="F667" s="2233">
        <v>0</v>
      </c>
      <c r="G667" s="2233">
        <v>6</v>
      </c>
      <c r="H667" s="2233">
        <v>7</v>
      </c>
      <c r="I667" s="2233" t="s">
        <v>1869</v>
      </c>
      <c r="J667" s="2233" t="s">
        <v>1868</v>
      </c>
      <c r="K667" s="2770" t="s">
        <v>9390</v>
      </c>
      <c r="L667" s="2233" t="str">
        <f t="shared" si="64"/>
        <v>Distinta</v>
      </c>
      <c r="M667" s="2235">
        <v>12</v>
      </c>
      <c r="N667" s="2235">
        <v>1</v>
      </c>
      <c r="O667" s="2235">
        <v>20</v>
      </c>
      <c r="P667" s="2233"/>
      <c r="Q667" s="2233"/>
      <c r="R667" s="2233" t="s">
        <v>1769</v>
      </c>
      <c r="S667" s="2233" t="s">
        <v>1769</v>
      </c>
      <c r="T667" s="2233" t="s">
        <v>1769</v>
      </c>
      <c r="U667" s="2233"/>
      <c r="V667" s="2769" t="s">
        <v>2597</v>
      </c>
      <c r="W667" s="2769"/>
      <c r="X667" s="2945"/>
      <c r="Z667" s="2881" t="str">
        <f t="shared" ref="Z667:Z698" si="65">IF(AND(K667&lt;&gt;"Natural/-",ISNUMBER(SEARCH(D667,Armas_Conocidas))),", "&amp;K667,"")</f>
        <v/>
      </c>
      <c r="AB667" s="2403" t="s">
        <v>2614</v>
      </c>
      <c r="AC667" s="19" t="s">
        <v>9059</v>
      </c>
      <c r="AD667" s="19"/>
      <c r="AE667" s="2850"/>
    </row>
    <row r="668" spans="1:31" ht="12.75" customHeight="1" x14ac:dyDescent="0.2">
      <c r="A668" s="2029">
        <v>211</v>
      </c>
      <c r="B668" s="4995"/>
      <c r="C668" s="2942"/>
      <c r="D668" s="2232" t="s">
        <v>9045</v>
      </c>
      <c r="E668" s="2238">
        <v>35</v>
      </c>
      <c r="F668" s="2233">
        <v>5</v>
      </c>
      <c r="G668" s="2233">
        <v>4</v>
      </c>
      <c r="H668" s="2233">
        <v>6</v>
      </c>
      <c r="I668" s="2233" t="s">
        <v>1869</v>
      </c>
      <c r="J668" s="2233" t="s">
        <v>1813</v>
      </c>
      <c r="K668" s="2770" t="s">
        <v>9390</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9" t="s">
        <v>9090</v>
      </c>
      <c r="W668" s="2769"/>
      <c r="X668" s="2945"/>
      <c r="Z668" s="2881" t="str">
        <f t="shared" si="65"/>
        <v/>
      </c>
      <c r="AB668" s="2403" t="s">
        <v>2616</v>
      </c>
      <c r="AC668" s="19" t="s">
        <v>9060</v>
      </c>
      <c r="AD668" s="19"/>
      <c r="AE668" s="2850"/>
    </row>
    <row r="669" spans="1:31" ht="12.75" customHeight="1" x14ac:dyDescent="0.2">
      <c r="A669" s="2029">
        <v>211</v>
      </c>
      <c r="B669" s="4995"/>
      <c r="C669" s="2942"/>
      <c r="D669" s="2232" t="s">
        <v>9047</v>
      </c>
      <c r="E669" s="2238">
        <v>65</v>
      </c>
      <c r="F669" s="2233">
        <v>-20</v>
      </c>
      <c r="G669" s="2233">
        <v>6</v>
      </c>
      <c r="H669" s="2233">
        <v>9</v>
      </c>
      <c r="I669" s="2233" t="s">
        <v>1868</v>
      </c>
      <c r="J669" s="2233" t="s">
        <v>1769</v>
      </c>
      <c r="K669" s="2770" t="s">
        <v>9397</v>
      </c>
      <c r="L669" s="2233" t="str">
        <f t="shared" si="66"/>
        <v>Distinta</v>
      </c>
      <c r="M669" s="2235">
        <v>12</v>
      </c>
      <c r="N669" s="2235">
        <v>3</v>
      </c>
      <c r="O669" s="2235">
        <v>20</v>
      </c>
      <c r="P669" s="2233"/>
      <c r="Q669" s="2233"/>
      <c r="R669" s="2233" t="s">
        <v>1769</v>
      </c>
      <c r="S669" s="2233" t="s">
        <v>1769</v>
      </c>
      <c r="T669" s="2233" t="s">
        <v>1769</v>
      </c>
      <c r="U669" s="2233"/>
      <c r="V669" s="2769" t="s">
        <v>1906</v>
      </c>
      <c r="W669" s="2769"/>
      <c r="X669" s="2945"/>
      <c r="Z669" s="2881" t="str">
        <f t="shared" si="65"/>
        <v/>
      </c>
      <c r="AB669" s="2403" t="s">
        <v>9063</v>
      </c>
      <c r="AC669" s="19" t="s">
        <v>9062</v>
      </c>
      <c r="AD669" s="19"/>
      <c r="AE669" s="2850"/>
    </row>
    <row r="670" spans="1:31" ht="12.75" customHeight="1" x14ac:dyDescent="0.2">
      <c r="A670" s="2029">
        <v>211</v>
      </c>
      <c r="B670" s="4995"/>
      <c r="C670" s="2942"/>
      <c r="D670" s="2232" t="s">
        <v>2610</v>
      </c>
      <c r="E670" s="2238">
        <v>70</v>
      </c>
      <c r="F670" s="2233">
        <v>-35</v>
      </c>
      <c r="G670" s="2233">
        <v>10</v>
      </c>
      <c r="H670" s="2233">
        <v>7</v>
      </c>
      <c r="I670" s="2233" t="s">
        <v>1813</v>
      </c>
      <c r="J670" s="2233" t="s">
        <v>1769</v>
      </c>
      <c r="K670" s="2770" t="s">
        <v>9396</v>
      </c>
      <c r="L670" s="2233" t="str">
        <f t="shared" si="66"/>
        <v>Distinta</v>
      </c>
      <c r="M670" s="2235">
        <v>16</v>
      </c>
      <c r="N670" s="2235">
        <v>6</v>
      </c>
      <c r="O670" s="2235">
        <v>20</v>
      </c>
      <c r="P670" s="2233"/>
      <c r="Q670" s="2233"/>
      <c r="R670" s="2233" t="s">
        <v>1769</v>
      </c>
      <c r="S670" s="2233" t="s">
        <v>1769</v>
      </c>
      <c r="T670" s="2233" t="s">
        <v>1769</v>
      </c>
      <c r="U670" s="2233"/>
      <c r="V670" s="2769" t="s">
        <v>2597</v>
      </c>
      <c r="W670" s="2769"/>
      <c r="X670" s="2945"/>
      <c r="Z670" s="2881" t="str">
        <f t="shared" si="65"/>
        <v/>
      </c>
      <c r="AB670" s="2403" t="s">
        <v>2618</v>
      </c>
      <c r="AC670" s="19" t="s">
        <v>9064</v>
      </c>
      <c r="AD670" s="19"/>
      <c r="AE670" s="2850"/>
    </row>
    <row r="671" spans="1:31" ht="12.75" customHeight="1" x14ac:dyDescent="0.2">
      <c r="A671" s="2029">
        <v>211</v>
      </c>
      <c r="B671" s="4995"/>
      <c r="C671" s="2942"/>
      <c r="D671" s="2232" t="s">
        <v>2611</v>
      </c>
      <c r="E671" s="2238">
        <v>35</v>
      </c>
      <c r="F671" s="2233">
        <v>0</v>
      </c>
      <c r="G671" s="2233">
        <v>9</v>
      </c>
      <c r="H671" s="2233">
        <v>5</v>
      </c>
      <c r="I671" s="2233" t="s">
        <v>1868</v>
      </c>
      <c r="J671" s="2233" t="s">
        <v>1813</v>
      </c>
      <c r="K671" s="2770" t="s">
        <v>9389</v>
      </c>
      <c r="L671" s="2233" t="str">
        <f t="shared" si="66"/>
        <v>Distinta</v>
      </c>
      <c r="M671" s="2235">
        <v>12</v>
      </c>
      <c r="N671" s="2235">
        <v>2</v>
      </c>
      <c r="O671" s="2235">
        <v>25</v>
      </c>
      <c r="P671" s="2233"/>
      <c r="Q671" s="2233"/>
      <c r="R671" s="2233" t="s">
        <v>1769</v>
      </c>
      <c r="S671" s="2233" t="s">
        <v>1769</v>
      </c>
      <c r="T671" s="2233" t="s">
        <v>1769</v>
      </c>
      <c r="U671" s="2233"/>
      <c r="V671" s="2769" t="s">
        <v>2597</v>
      </c>
      <c r="W671" s="2769"/>
      <c r="X671" s="2945"/>
      <c r="Z671" s="2881" t="str">
        <f t="shared" si="65"/>
        <v/>
      </c>
      <c r="AB671" s="2403" t="s">
        <v>9066</v>
      </c>
      <c r="AC671" s="19" t="s">
        <v>9065</v>
      </c>
      <c r="AD671" s="19"/>
      <c r="AE671" s="2850"/>
    </row>
    <row r="672" spans="1:31" ht="12.75" customHeight="1" x14ac:dyDescent="0.2">
      <c r="A672" s="2029">
        <v>211</v>
      </c>
      <c r="B672" s="4995"/>
      <c r="C672" s="2942"/>
      <c r="D672" s="2232" t="s">
        <v>9049</v>
      </c>
      <c r="E672" s="2238">
        <v>65</v>
      </c>
      <c r="F672" s="2233">
        <v>-20</v>
      </c>
      <c r="G672" s="2233">
        <v>7</v>
      </c>
      <c r="H672" s="2233">
        <v>11</v>
      </c>
      <c r="I672" s="2233" t="s">
        <v>1868</v>
      </c>
      <c r="J672" s="2233" t="s">
        <v>1869</v>
      </c>
      <c r="K672" s="2770" t="s">
        <v>9390</v>
      </c>
      <c r="L672" s="2233" t="str">
        <f t="shared" si="66"/>
        <v>Distinta</v>
      </c>
      <c r="M672" s="2235">
        <v>13</v>
      </c>
      <c r="N672" s="2235">
        <v>3</v>
      </c>
      <c r="O672" s="2235">
        <v>20</v>
      </c>
      <c r="P672" s="2233"/>
      <c r="Q672" s="2233"/>
      <c r="R672" s="2233" t="s">
        <v>1769</v>
      </c>
      <c r="S672" s="2233" t="s">
        <v>1769</v>
      </c>
      <c r="T672" s="2233" t="s">
        <v>1769</v>
      </c>
      <c r="U672" s="2233"/>
      <c r="V672" s="2769" t="s">
        <v>1906</v>
      </c>
      <c r="W672" s="2769"/>
      <c r="X672" s="2945"/>
      <c r="Z672" s="2881" t="str">
        <f t="shared" si="65"/>
        <v/>
      </c>
      <c r="AB672" s="2403" t="s">
        <v>9068</v>
      </c>
      <c r="AC672" s="19" t="s">
        <v>9067</v>
      </c>
      <c r="AD672" s="19"/>
      <c r="AE672" s="2850"/>
    </row>
    <row r="673" spans="1:31" ht="12.75" customHeight="1" x14ac:dyDescent="0.2">
      <c r="A673" s="2029">
        <v>211</v>
      </c>
      <c r="B673" s="4995"/>
      <c r="C673" s="2942"/>
      <c r="D673" s="2232" t="s">
        <v>2612</v>
      </c>
      <c r="E673" s="2238">
        <v>100</v>
      </c>
      <c r="F673" s="2233">
        <v>-70</v>
      </c>
      <c r="G673" s="2233">
        <v>11</v>
      </c>
      <c r="H673" s="2233">
        <v>9</v>
      </c>
      <c r="I673" s="2233" t="s">
        <v>1868</v>
      </c>
      <c r="J673" s="2233" t="s">
        <v>1813</v>
      </c>
      <c r="K673" s="2770" t="s">
        <v>9401</v>
      </c>
      <c r="L673" s="2233" t="str">
        <f t="shared" si="66"/>
        <v>Distinta</v>
      </c>
      <c r="M673" s="2235">
        <v>17</v>
      </c>
      <c r="N673" s="2235">
        <v>7</v>
      </c>
      <c r="O673" s="2235">
        <v>30</v>
      </c>
      <c r="P673" s="2233"/>
      <c r="Q673" s="2233"/>
      <c r="R673" s="2233" t="s">
        <v>1769</v>
      </c>
      <c r="S673" s="2233" t="s">
        <v>1769</v>
      </c>
      <c r="T673" s="2233" t="s">
        <v>1769</v>
      </c>
      <c r="U673" s="2233"/>
      <c r="V673" s="2769" t="s">
        <v>2597</v>
      </c>
      <c r="W673" s="2769"/>
      <c r="X673" s="2945"/>
      <c r="Z673" s="2881" t="str">
        <f t="shared" si="65"/>
        <v/>
      </c>
      <c r="AB673" s="2403" t="s">
        <v>9069</v>
      </c>
      <c r="AC673" s="19" t="s">
        <v>2710</v>
      </c>
      <c r="AD673" s="19"/>
      <c r="AE673" s="2850"/>
    </row>
    <row r="674" spans="1:31" ht="12.75" customHeight="1" x14ac:dyDescent="0.2">
      <c r="A674" s="2029">
        <v>211</v>
      </c>
      <c r="B674" s="4995"/>
      <c r="C674" s="2942"/>
      <c r="D674" s="2232" t="s">
        <v>2614</v>
      </c>
      <c r="E674" s="2238">
        <v>70</v>
      </c>
      <c r="F674" s="2233">
        <v>-30</v>
      </c>
      <c r="G674" s="2233">
        <v>7</v>
      </c>
      <c r="H674" s="2233">
        <v>7</v>
      </c>
      <c r="I674" s="2233" t="s">
        <v>1868</v>
      </c>
      <c r="J674" s="2233" t="s">
        <v>1813</v>
      </c>
      <c r="K674" s="2770" t="s">
        <v>9402</v>
      </c>
      <c r="L674" s="2233" t="str">
        <f t="shared" si="66"/>
        <v>Distinta</v>
      </c>
      <c r="M674" s="2235">
        <v>15</v>
      </c>
      <c r="N674" s="2235">
        <v>5</v>
      </c>
      <c r="O674" s="2235">
        <v>25</v>
      </c>
      <c r="P674" s="2233"/>
      <c r="Q674" s="2233"/>
      <c r="R674" s="2235">
        <v>100</v>
      </c>
      <c r="S674" s="2233" t="s">
        <v>1769</v>
      </c>
      <c r="T674" s="2235">
        <v>5</v>
      </c>
      <c r="U674" s="2233"/>
      <c r="V674" s="2769" t="s">
        <v>2615</v>
      </c>
      <c r="W674" s="2769"/>
      <c r="X674" s="2945"/>
      <c r="Z674" s="2881" t="str">
        <f t="shared" si="65"/>
        <v/>
      </c>
      <c r="AB674" s="2403" t="s">
        <v>9070</v>
      </c>
      <c r="AC674" s="19" t="s">
        <v>2715</v>
      </c>
      <c r="AD674" s="19"/>
      <c r="AE674" s="2850"/>
    </row>
    <row r="675" spans="1:31" ht="12.75" customHeight="1" x14ac:dyDescent="0.2">
      <c r="A675" s="2029">
        <v>211</v>
      </c>
      <c r="B675" s="4995"/>
      <c r="C675" s="2942"/>
      <c r="D675" s="2232" t="s">
        <v>2616</v>
      </c>
      <c r="E675" s="2238">
        <v>45</v>
      </c>
      <c r="F675" s="2233">
        <v>0</v>
      </c>
      <c r="G675" s="2233">
        <v>5</v>
      </c>
      <c r="H675" s="2233">
        <v>5</v>
      </c>
      <c r="I675" s="2233" t="s">
        <v>1868</v>
      </c>
      <c r="J675" s="2233" t="s">
        <v>1769</v>
      </c>
      <c r="K675" s="2770" t="s">
        <v>9402</v>
      </c>
      <c r="L675" s="2233" t="str">
        <f t="shared" si="66"/>
        <v>Distinta</v>
      </c>
      <c r="M675" s="2235">
        <v>13</v>
      </c>
      <c r="N675" s="2235">
        <v>4</v>
      </c>
      <c r="O675" s="2235">
        <v>15</v>
      </c>
      <c r="P675" s="2233"/>
      <c r="Q675" s="2233"/>
      <c r="R675" s="2235">
        <v>80</v>
      </c>
      <c r="S675" s="2233" t="s">
        <v>1769</v>
      </c>
      <c r="T675" s="2235">
        <v>10</v>
      </c>
      <c r="U675" s="2233"/>
      <c r="V675" s="2769" t="s">
        <v>2617</v>
      </c>
      <c r="W675" s="2769"/>
      <c r="X675" s="2945"/>
      <c r="Z675" s="2881" t="str">
        <f t="shared" si="65"/>
        <v/>
      </c>
      <c r="AB675" s="2403" t="s">
        <v>2620</v>
      </c>
      <c r="AC675" s="19" t="s">
        <v>2717</v>
      </c>
      <c r="AD675" s="19"/>
      <c r="AE675" s="2850"/>
    </row>
    <row r="676" spans="1:31" ht="12.75" customHeight="1" x14ac:dyDescent="0.2">
      <c r="A676" s="2029">
        <v>211</v>
      </c>
      <c r="B676" s="4995"/>
      <c r="C676" s="2942"/>
      <c r="D676" s="2232" t="s">
        <v>9063</v>
      </c>
      <c r="E676" s="2238">
        <v>30</v>
      </c>
      <c r="F676" s="2233">
        <v>15</v>
      </c>
      <c r="G676" s="2233">
        <v>5</v>
      </c>
      <c r="H676" s="2233">
        <v>5</v>
      </c>
      <c r="I676" s="2233" t="s">
        <v>1868</v>
      </c>
      <c r="J676" s="2233" t="s">
        <v>1813</v>
      </c>
      <c r="K676" s="2770" t="s">
        <v>9395</v>
      </c>
      <c r="L676" s="2233" t="str">
        <f t="shared" si="66"/>
        <v>Distinta</v>
      </c>
      <c r="M676" s="2235">
        <v>10</v>
      </c>
      <c r="N676" s="2235">
        <v>-2</v>
      </c>
      <c r="O676" s="2235">
        <v>20</v>
      </c>
      <c r="P676" s="2233"/>
      <c r="Q676" s="2233"/>
      <c r="R676" s="2233" t="s">
        <v>1769</v>
      </c>
      <c r="S676" s="2233" t="s">
        <v>1769</v>
      </c>
      <c r="T676" s="2233" t="s">
        <v>1769</v>
      </c>
      <c r="U676" s="2233"/>
      <c r="V676" s="2769" t="s">
        <v>9091</v>
      </c>
      <c r="W676" s="2769"/>
      <c r="X676" s="2945"/>
      <c r="Z676" s="2881" t="str">
        <f t="shared" si="65"/>
        <v/>
      </c>
      <c r="AB676" s="2403" t="s">
        <v>2622</v>
      </c>
      <c r="AC676" s="19" t="s">
        <v>2719</v>
      </c>
      <c r="AD676" s="19"/>
      <c r="AE676" s="2850"/>
    </row>
    <row r="677" spans="1:31" ht="12.75" customHeight="1" x14ac:dyDescent="0.2">
      <c r="A677" s="2029">
        <v>211</v>
      </c>
      <c r="B677" s="4995"/>
      <c r="C677" s="2942"/>
      <c r="D677" s="2232" t="s">
        <v>2618</v>
      </c>
      <c r="E677" s="2238">
        <v>35</v>
      </c>
      <c r="F677" s="2233">
        <v>5</v>
      </c>
      <c r="G677" s="2233">
        <v>4</v>
      </c>
      <c r="H677" s="2233">
        <v>4</v>
      </c>
      <c r="I677" s="2233" t="s">
        <v>1869</v>
      </c>
      <c r="J677" s="2233" t="s">
        <v>1769</v>
      </c>
      <c r="K677" s="2770" t="s">
        <v>9390</v>
      </c>
      <c r="L677" s="2233" t="str">
        <f t="shared" si="66"/>
        <v>Distinta</v>
      </c>
      <c r="M677" s="2235">
        <v>10</v>
      </c>
      <c r="N677" s="2235">
        <v>-2</v>
      </c>
      <c r="O677" s="2235">
        <v>20</v>
      </c>
      <c r="P677" s="2233"/>
      <c r="Q677" s="2233"/>
      <c r="R677" s="2235">
        <v>100</v>
      </c>
      <c r="S677" s="2233" t="s">
        <v>1769</v>
      </c>
      <c r="T677" s="2235">
        <v>30</v>
      </c>
      <c r="U677" s="2233"/>
      <c r="V677" s="2769" t="s">
        <v>2619</v>
      </c>
      <c r="W677" s="2769"/>
      <c r="X677" s="2945"/>
      <c r="Z677" s="2881" t="str">
        <f t="shared" si="65"/>
        <v/>
      </c>
      <c r="AB677" s="2403" t="s">
        <v>2624</v>
      </c>
      <c r="AC677" s="19" t="s">
        <v>2720</v>
      </c>
      <c r="AD677" s="19"/>
      <c r="AE677" s="2850"/>
    </row>
    <row r="678" spans="1:31" ht="12.75" customHeight="1" x14ac:dyDescent="0.2">
      <c r="A678" s="2029">
        <v>211</v>
      </c>
      <c r="B678" s="4995"/>
      <c r="C678" s="2942"/>
      <c r="D678" s="2232" t="s">
        <v>9066</v>
      </c>
      <c r="E678" s="2238">
        <v>45</v>
      </c>
      <c r="F678" s="2233">
        <v>10</v>
      </c>
      <c r="G678" s="2233">
        <v>5</v>
      </c>
      <c r="H678" s="2233">
        <v>5</v>
      </c>
      <c r="I678" s="2233" t="s">
        <v>1868</v>
      </c>
      <c r="J678" s="2233" t="s">
        <v>1769</v>
      </c>
      <c r="K678" s="2770" t="s">
        <v>9395</v>
      </c>
      <c r="L678" s="2233" t="str">
        <f t="shared" si="66"/>
        <v>Distinta</v>
      </c>
      <c r="M678" s="2235">
        <v>13</v>
      </c>
      <c r="N678" s="2235">
        <v>2</v>
      </c>
      <c r="O678" s="2235">
        <v>20</v>
      </c>
      <c r="P678" s="2233"/>
      <c r="Q678" s="2233"/>
      <c r="R678" s="2233" t="s">
        <v>1769</v>
      </c>
      <c r="S678" s="2233" t="s">
        <v>1769</v>
      </c>
      <c r="T678" s="2233" t="s">
        <v>1769</v>
      </c>
      <c r="U678" s="2233"/>
      <c r="V678" s="2769" t="s">
        <v>1769</v>
      </c>
      <c r="W678" s="2769"/>
      <c r="X678" s="2945"/>
      <c r="Z678" s="2881" t="str">
        <f t="shared" si="65"/>
        <v/>
      </c>
      <c r="AB678" s="2403" t="s">
        <v>2626</v>
      </c>
      <c r="AC678" s="19" t="s">
        <v>2722</v>
      </c>
      <c r="AD678" s="19"/>
      <c r="AE678" s="2850"/>
    </row>
    <row r="679" spans="1:31" ht="12.75" customHeight="1" x14ac:dyDescent="0.2">
      <c r="A679" s="2029">
        <v>211</v>
      </c>
      <c r="B679" s="4995"/>
      <c r="C679" s="2942"/>
      <c r="D679" s="2232" t="s">
        <v>9068</v>
      </c>
      <c r="E679" s="2238">
        <v>25</v>
      </c>
      <c r="F679" s="2233">
        <v>20</v>
      </c>
      <c r="G679" s="2233">
        <v>4</v>
      </c>
      <c r="H679" s="2233">
        <v>4</v>
      </c>
      <c r="I679" s="2233" t="s">
        <v>1868</v>
      </c>
      <c r="J679" s="2233" t="s">
        <v>1813</v>
      </c>
      <c r="K679" s="2770" t="s">
        <v>9395</v>
      </c>
      <c r="L679" s="2233" t="str">
        <f t="shared" si="66"/>
        <v>Distinta</v>
      </c>
      <c r="M679" s="2235">
        <v>10</v>
      </c>
      <c r="N679" s="2235">
        <v>-2</v>
      </c>
      <c r="O679" s="2235">
        <v>15</v>
      </c>
      <c r="P679" s="2233"/>
      <c r="Q679" s="2233"/>
      <c r="R679" s="2233" t="s">
        <v>1769</v>
      </c>
      <c r="S679" s="2233" t="s">
        <v>1769</v>
      </c>
      <c r="T679" s="2233" t="s">
        <v>1769</v>
      </c>
      <c r="U679" s="2233"/>
      <c r="V679" s="2769" t="s">
        <v>9091</v>
      </c>
      <c r="W679" s="2769"/>
      <c r="X679" s="2945"/>
      <c r="Z679" s="2881" t="str">
        <f t="shared" si="65"/>
        <v/>
      </c>
      <c r="AB679" s="2403" t="s">
        <v>9071</v>
      </c>
      <c r="AC679" s="19" t="s">
        <v>2723</v>
      </c>
      <c r="AD679" s="19"/>
      <c r="AE679" s="2850"/>
    </row>
    <row r="680" spans="1:31" ht="12.75" customHeight="1" x14ac:dyDescent="0.2">
      <c r="A680" s="2029">
        <v>211</v>
      </c>
      <c r="B680" s="4995"/>
      <c r="C680" s="2942"/>
      <c r="D680" s="2232" t="s">
        <v>9069</v>
      </c>
      <c r="E680" s="2238">
        <v>60</v>
      </c>
      <c r="F680" s="2233">
        <v>-30</v>
      </c>
      <c r="G680" s="2233">
        <v>8</v>
      </c>
      <c r="H680" s="2233">
        <v>8</v>
      </c>
      <c r="I680" s="2233" t="s">
        <v>1869</v>
      </c>
      <c r="J680" s="2233" t="s">
        <v>1769</v>
      </c>
      <c r="K680" s="2770" t="s">
        <v>9393</v>
      </c>
      <c r="L680" s="2233" t="str">
        <f t="shared" si="66"/>
        <v>Distinta</v>
      </c>
      <c r="M680" s="2235">
        <v>9</v>
      </c>
      <c r="N680" s="2235">
        <v>2</v>
      </c>
      <c r="O680" s="2235">
        <v>20</v>
      </c>
      <c r="P680" s="2233"/>
      <c r="Q680" s="2233"/>
      <c r="R680" s="2233" t="s">
        <v>1769</v>
      </c>
      <c r="S680" s="2233" t="s">
        <v>1769</v>
      </c>
      <c r="T680" s="2233" t="s">
        <v>1769</v>
      </c>
      <c r="U680" s="2233"/>
      <c r="V680" s="2769" t="s">
        <v>2623</v>
      </c>
      <c r="W680" s="2769"/>
      <c r="X680" s="2945"/>
      <c r="Z680" s="2881" t="str">
        <f t="shared" si="65"/>
        <v/>
      </c>
      <c r="AB680" s="2403" t="s">
        <v>2628</v>
      </c>
      <c r="AC680" s="19"/>
      <c r="AD680" s="19"/>
      <c r="AE680" s="2850"/>
    </row>
    <row r="681" spans="1:31" ht="12.75" customHeight="1" x14ac:dyDescent="0.2">
      <c r="A681" s="2029">
        <v>211</v>
      </c>
      <c r="B681" s="4995"/>
      <c r="C681" s="2942"/>
      <c r="D681" s="2232" t="s">
        <v>9070</v>
      </c>
      <c r="E681" s="2238">
        <v>35</v>
      </c>
      <c r="F681" s="2233">
        <v>10</v>
      </c>
      <c r="G681" s="2233">
        <v>6</v>
      </c>
      <c r="H681" s="2233">
        <v>6</v>
      </c>
      <c r="I681" s="2233" t="s">
        <v>1868</v>
      </c>
      <c r="J681" s="2233" t="s">
        <v>1769</v>
      </c>
      <c r="K681" s="2770" t="s">
        <v>9395</v>
      </c>
      <c r="L681" s="2233" t="str">
        <f t="shared" si="66"/>
        <v>Distinta</v>
      </c>
      <c r="M681" s="2235">
        <v>12</v>
      </c>
      <c r="N681" s="2235">
        <v>3</v>
      </c>
      <c r="O681" s="2235">
        <v>20</v>
      </c>
      <c r="P681" s="2233"/>
      <c r="Q681" s="2233"/>
      <c r="R681" s="2233" t="s">
        <v>1769</v>
      </c>
      <c r="S681" s="2233" t="s">
        <v>1769</v>
      </c>
      <c r="T681" s="2233" t="s">
        <v>1769</v>
      </c>
      <c r="U681" s="2233"/>
      <c r="V681" s="2769" t="s">
        <v>1769</v>
      </c>
      <c r="W681" s="2769"/>
      <c r="X681" s="2945"/>
      <c r="Z681" s="2881" t="str">
        <f t="shared" si="65"/>
        <v/>
      </c>
      <c r="AB681" s="2403" t="s">
        <v>2630</v>
      </c>
      <c r="AC681" s="19"/>
      <c r="AD681" s="19"/>
      <c r="AE681" s="2850"/>
    </row>
    <row r="682" spans="1:31" ht="12.75" customHeight="1" x14ac:dyDescent="0.2">
      <c r="A682" s="2029">
        <v>211</v>
      </c>
      <c r="B682" s="4995"/>
      <c r="C682" s="2942"/>
      <c r="D682" s="2232" t="s">
        <v>2620</v>
      </c>
      <c r="E682" s="2238">
        <v>40</v>
      </c>
      <c r="F682" s="2233">
        <v>5</v>
      </c>
      <c r="G682" s="2233">
        <v>4</v>
      </c>
      <c r="H682" s="2233">
        <v>4</v>
      </c>
      <c r="I682" s="2233" t="s">
        <v>1869</v>
      </c>
      <c r="J682" s="2233" t="s">
        <v>1769</v>
      </c>
      <c r="K682" s="2770" t="s">
        <v>9390</v>
      </c>
      <c r="L682" s="2233" t="str">
        <f t="shared" si="66"/>
        <v>Distinta</v>
      </c>
      <c r="M682" s="2235">
        <v>13</v>
      </c>
      <c r="N682" s="2235">
        <v>2</v>
      </c>
      <c r="O682" s="2235">
        <v>25</v>
      </c>
      <c r="P682" s="2233"/>
      <c r="Q682" s="2233"/>
      <c r="R682" s="2235">
        <v>80</v>
      </c>
      <c r="S682" s="2233" t="s">
        <v>1769</v>
      </c>
      <c r="T682" s="2235">
        <v>30</v>
      </c>
      <c r="U682" s="2233"/>
      <c r="V682" s="2769" t="s">
        <v>2621</v>
      </c>
      <c r="W682" s="2769"/>
      <c r="X682" s="2945"/>
      <c r="Z682" s="2881" t="str">
        <f t="shared" si="65"/>
        <v/>
      </c>
      <c r="AB682" s="2403" t="s">
        <v>2631</v>
      </c>
      <c r="AC682" s="19"/>
      <c r="AD682" s="19"/>
      <c r="AE682" s="2850"/>
    </row>
    <row r="683" spans="1:31" ht="12.75" customHeight="1" x14ac:dyDescent="0.2">
      <c r="A683" s="2029">
        <v>211</v>
      </c>
      <c r="B683" s="4995"/>
      <c r="C683" s="2942"/>
      <c r="D683" s="2232" t="s">
        <v>2622</v>
      </c>
      <c r="E683" s="2238">
        <v>80</v>
      </c>
      <c r="F683" s="2233">
        <v>-30</v>
      </c>
      <c r="G683" s="2233">
        <v>8</v>
      </c>
      <c r="H683" s="2233">
        <v>8</v>
      </c>
      <c r="I683" s="2233" t="s">
        <v>1869</v>
      </c>
      <c r="J683" s="2233" t="s">
        <v>1769</v>
      </c>
      <c r="K683" s="2770" t="s">
        <v>9390</v>
      </c>
      <c r="L683" s="2233" t="str">
        <f t="shared" si="66"/>
        <v>Distinta</v>
      </c>
      <c r="M683" s="2235">
        <v>12</v>
      </c>
      <c r="N683" s="2235">
        <v>7</v>
      </c>
      <c r="O683" s="2235">
        <v>25</v>
      </c>
      <c r="P683" s="2233"/>
      <c r="Q683" s="2233"/>
      <c r="R683" s="2233" t="s">
        <v>1769</v>
      </c>
      <c r="S683" s="2233" t="s">
        <v>1769</v>
      </c>
      <c r="T683" s="2233" t="s">
        <v>1769</v>
      </c>
      <c r="U683" s="2233"/>
      <c r="V683" s="2769" t="s">
        <v>2623</v>
      </c>
      <c r="W683" s="2769"/>
      <c r="X683" s="2945"/>
      <c r="Z683" s="2881" t="str">
        <f t="shared" si="65"/>
        <v/>
      </c>
      <c r="AB683" s="2403" t="s">
        <v>9053</v>
      </c>
      <c r="AC683" s="19"/>
      <c r="AD683" s="19"/>
      <c r="AE683" s="2850"/>
    </row>
    <row r="684" spans="1:31" ht="12.75" customHeight="1" x14ac:dyDescent="0.2">
      <c r="A684" s="2029">
        <v>211</v>
      </c>
      <c r="B684" s="4995"/>
      <c r="C684" s="2942"/>
      <c r="D684" s="2232" t="s">
        <v>2624</v>
      </c>
      <c r="E684" s="2238">
        <v>35</v>
      </c>
      <c r="F684" s="2233">
        <v>-20</v>
      </c>
      <c r="G684" s="2233">
        <v>4</v>
      </c>
      <c r="H684" s="2233">
        <v>4</v>
      </c>
      <c r="I684" s="2233" t="s">
        <v>1868</v>
      </c>
      <c r="J684" s="2233" t="s">
        <v>1813</v>
      </c>
      <c r="K684" s="2770" t="s">
        <v>9394</v>
      </c>
      <c r="L684" s="2233" t="str">
        <f t="shared" si="66"/>
        <v>Distinta</v>
      </c>
      <c r="M684" s="2235">
        <v>9</v>
      </c>
      <c r="N684" s="2235">
        <v>-3</v>
      </c>
      <c r="O684" s="2235">
        <v>20</v>
      </c>
      <c r="P684" s="2233"/>
      <c r="Q684" s="2233"/>
      <c r="R684" s="2233" t="s">
        <v>1769</v>
      </c>
      <c r="S684" s="2233" t="s">
        <v>1769</v>
      </c>
      <c r="T684" s="2233" t="s">
        <v>1769</v>
      </c>
      <c r="U684" s="2233"/>
      <c r="V684" s="2769" t="s">
        <v>2625</v>
      </c>
      <c r="W684" s="2769"/>
      <c r="X684" s="2945"/>
      <c r="Z684" s="2881" t="str">
        <f t="shared" si="65"/>
        <v/>
      </c>
      <c r="AB684" s="2403" t="s">
        <v>2632</v>
      </c>
      <c r="AC684" s="19"/>
      <c r="AD684" s="19"/>
      <c r="AE684" s="2850"/>
    </row>
    <row r="685" spans="1:31" ht="12.75" customHeight="1" x14ac:dyDescent="0.2">
      <c r="A685" s="2029">
        <v>211</v>
      </c>
      <c r="B685" s="4995"/>
      <c r="C685" s="2942"/>
      <c r="D685" s="2232" t="s">
        <v>2626</v>
      </c>
      <c r="E685" s="2238">
        <v>5</v>
      </c>
      <c r="F685" s="2233">
        <v>10</v>
      </c>
      <c r="G685" s="2233">
        <v>4</v>
      </c>
      <c r="H685" s="2233">
        <v>4</v>
      </c>
      <c r="I685" s="2233" t="s">
        <v>1813</v>
      </c>
      <c r="J685" s="2233" t="s">
        <v>1769</v>
      </c>
      <c r="K685" s="2770" t="s">
        <v>9394</v>
      </c>
      <c r="L685" s="2233" t="str">
        <f t="shared" si="66"/>
        <v>Distinta</v>
      </c>
      <c r="M685" s="2235">
        <v>9</v>
      </c>
      <c r="N685" s="2235">
        <v>-4</v>
      </c>
      <c r="O685" s="2235">
        <v>20</v>
      </c>
      <c r="P685" s="2233"/>
      <c r="Q685" s="2233"/>
      <c r="R685" s="2233" t="s">
        <v>1769</v>
      </c>
      <c r="S685" s="2233" t="s">
        <v>1769</v>
      </c>
      <c r="T685" s="2233" t="s">
        <v>1769</v>
      </c>
      <c r="U685" s="2233"/>
      <c r="V685" s="2769" t="s">
        <v>2627</v>
      </c>
      <c r="W685" s="2769"/>
      <c r="X685" s="2945"/>
      <c r="Z685" s="2881" t="str">
        <f t="shared" si="65"/>
        <v/>
      </c>
      <c r="AB685" s="2403" t="s">
        <v>2633</v>
      </c>
      <c r="AC685" s="19"/>
      <c r="AD685" s="19"/>
      <c r="AE685" s="2850"/>
    </row>
    <row r="686" spans="1:31" ht="12.75" customHeight="1" x14ac:dyDescent="0.2">
      <c r="A686" s="2029">
        <v>211</v>
      </c>
      <c r="B686" s="4995"/>
      <c r="C686" s="2942"/>
      <c r="D686" s="2232" t="s">
        <v>9052</v>
      </c>
      <c r="E686" s="2238">
        <v>30</v>
      </c>
      <c r="F686" s="2233">
        <v>15</v>
      </c>
      <c r="G686" s="2233">
        <v>5</v>
      </c>
      <c r="H686" s="2233">
        <v>5</v>
      </c>
      <c r="I686" s="2233" t="s">
        <v>1813</v>
      </c>
      <c r="J686" s="2233" t="s">
        <v>1769</v>
      </c>
      <c r="K686" s="2770" t="s">
        <v>9394</v>
      </c>
      <c r="L686" s="2233" t="str">
        <f t="shared" si="66"/>
        <v>Distinta</v>
      </c>
      <c r="M686" s="2235">
        <v>8</v>
      </c>
      <c r="N686" s="2235">
        <v>1</v>
      </c>
      <c r="O686" s="2235">
        <v>15</v>
      </c>
      <c r="P686" s="2233"/>
      <c r="Q686" s="2233"/>
      <c r="R686" s="2233" t="s">
        <v>1769</v>
      </c>
      <c r="S686" s="2233" t="s">
        <v>1769</v>
      </c>
      <c r="T686" s="2233" t="s">
        <v>1769</v>
      </c>
      <c r="U686" s="2233"/>
      <c r="V686" s="2770" t="s">
        <v>9092</v>
      </c>
      <c r="W686" s="2769"/>
      <c r="X686" s="2945"/>
      <c r="Z686" s="2881" t="str">
        <f t="shared" si="65"/>
        <v/>
      </c>
      <c r="AB686" s="2403" t="s">
        <v>9072</v>
      </c>
      <c r="AC686" s="19"/>
      <c r="AD686" s="19"/>
      <c r="AE686" s="2850"/>
    </row>
    <row r="687" spans="1:31" ht="12.75" customHeight="1" x14ac:dyDescent="0.2">
      <c r="A687" s="2029">
        <v>211</v>
      </c>
      <c r="B687" s="4995"/>
      <c r="C687" s="2942"/>
      <c r="D687" s="2232" t="s">
        <v>9071</v>
      </c>
      <c r="E687" s="2238">
        <v>25</v>
      </c>
      <c r="F687" s="2233">
        <v>20</v>
      </c>
      <c r="G687" s="2233">
        <v>5</v>
      </c>
      <c r="H687" s="2233">
        <v>5</v>
      </c>
      <c r="I687" s="2233" t="s">
        <v>1868</v>
      </c>
      <c r="J687" s="2233" t="s">
        <v>1769</v>
      </c>
      <c r="K687" s="2770" t="s">
        <v>9395</v>
      </c>
      <c r="L687" s="2233" t="str">
        <f t="shared" si="66"/>
        <v>Distinta</v>
      </c>
      <c r="M687" s="2235">
        <v>12</v>
      </c>
      <c r="N687" s="2235">
        <v>5</v>
      </c>
      <c r="O687" s="2235">
        <v>15</v>
      </c>
      <c r="P687" s="2233"/>
      <c r="Q687" s="2233"/>
      <c r="R687" s="2233" t="s">
        <v>1769</v>
      </c>
      <c r="S687" s="2233" t="s">
        <v>1769</v>
      </c>
      <c r="T687" s="2233" t="s">
        <v>1769</v>
      </c>
      <c r="U687" s="2233"/>
      <c r="V687" s="2769" t="s">
        <v>9093</v>
      </c>
      <c r="W687" s="2769"/>
      <c r="X687" s="2945"/>
      <c r="Z687" s="2881" t="str">
        <f t="shared" si="65"/>
        <v/>
      </c>
      <c r="AB687" s="2403" t="s">
        <v>9056</v>
      </c>
      <c r="AC687" s="19"/>
      <c r="AD687" s="19"/>
      <c r="AE687" s="2850"/>
    </row>
    <row r="688" spans="1:31" ht="12.75" customHeight="1" x14ac:dyDescent="0.2">
      <c r="A688" s="2029">
        <v>211</v>
      </c>
      <c r="B688" s="4995"/>
      <c r="C688" s="2942"/>
      <c r="D688" s="2232" t="s">
        <v>2628</v>
      </c>
      <c r="E688" s="2238">
        <v>80</v>
      </c>
      <c r="F688" s="2233">
        <v>-50</v>
      </c>
      <c r="G688" s="2233">
        <v>10</v>
      </c>
      <c r="H688" s="2233">
        <v>8</v>
      </c>
      <c r="I688" s="2233" t="s">
        <v>1813</v>
      </c>
      <c r="J688" s="2233" t="s">
        <v>1769</v>
      </c>
      <c r="K688" s="2770" t="s">
        <v>9403</v>
      </c>
      <c r="L688" s="2233" t="str">
        <f t="shared" si="66"/>
        <v>Distinta</v>
      </c>
      <c r="M688" s="2235">
        <v>14</v>
      </c>
      <c r="N688" s="2235">
        <v>6</v>
      </c>
      <c r="O688" s="2235">
        <v>20</v>
      </c>
      <c r="P688" s="2233"/>
      <c r="Q688" s="2233"/>
      <c r="R688" s="2233" t="s">
        <v>1769</v>
      </c>
      <c r="S688" s="2233" t="s">
        <v>1769</v>
      </c>
      <c r="T688" s="2233" t="s">
        <v>1769</v>
      </c>
      <c r="U688" s="2233"/>
      <c r="V688" s="2769" t="s">
        <v>2629</v>
      </c>
      <c r="W688" s="2769"/>
      <c r="X688" s="2945"/>
      <c r="Z688" s="2881" t="str">
        <f t="shared" si="65"/>
        <v/>
      </c>
      <c r="AB688" s="2403" t="s">
        <v>2634</v>
      </c>
      <c r="AC688" s="19"/>
      <c r="AD688" s="19"/>
      <c r="AE688" s="2850"/>
    </row>
    <row r="689" spans="1:31" ht="12.75" customHeight="1" x14ac:dyDescent="0.2">
      <c r="A689" s="2029">
        <v>211</v>
      </c>
      <c r="B689" s="4995"/>
      <c r="C689" s="2942"/>
      <c r="D689" s="2232" t="s">
        <v>2630</v>
      </c>
      <c r="E689" s="2238">
        <v>50</v>
      </c>
      <c r="F689" s="2233">
        <v>-5</v>
      </c>
      <c r="G689" s="2233">
        <v>6</v>
      </c>
      <c r="H689" s="2233">
        <v>6</v>
      </c>
      <c r="I689" s="2233" t="s">
        <v>1813</v>
      </c>
      <c r="J689" s="2233" t="s">
        <v>1769</v>
      </c>
      <c r="K689" s="2770" t="s">
        <v>9396</v>
      </c>
      <c r="L689" s="2233" t="str">
        <f t="shared" si="66"/>
        <v>Distinta</v>
      </c>
      <c r="M689" s="2235">
        <v>15</v>
      </c>
      <c r="N689" s="2235">
        <v>4</v>
      </c>
      <c r="O689" s="2235">
        <v>15</v>
      </c>
      <c r="P689" s="2233"/>
      <c r="Q689" s="2233"/>
      <c r="R689" s="2233" t="s">
        <v>1769</v>
      </c>
      <c r="S689" s="2233" t="s">
        <v>1769</v>
      </c>
      <c r="T689" s="2233" t="s">
        <v>1769</v>
      </c>
      <c r="U689" s="2233"/>
      <c r="V689" s="2769" t="s">
        <v>1769</v>
      </c>
      <c r="W689" s="2769"/>
      <c r="X689" s="2945"/>
      <c r="Z689" s="2881" t="str">
        <f t="shared" si="65"/>
        <v/>
      </c>
      <c r="AB689" s="2403" t="s">
        <v>2636</v>
      </c>
      <c r="AC689" s="19"/>
      <c r="AD689" s="19"/>
      <c r="AE689" s="2850"/>
    </row>
    <row r="690" spans="1:31" ht="12.75" customHeight="1" x14ac:dyDescent="0.2">
      <c r="A690" s="2029">
        <v>211</v>
      </c>
      <c r="B690" s="4995"/>
      <c r="C690" s="2942"/>
      <c r="D690" s="2232" t="s">
        <v>2631</v>
      </c>
      <c r="E690" s="2238">
        <v>40</v>
      </c>
      <c r="F690" s="2233">
        <v>0</v>
      </c>
      <c r="G690" s="2233">
        <v>6</v>
      </c>
      <c r="H690" s="2233">
        <v>6</v>
      </c>
      <c r="I690" s="2233" t="s">
        <v>1813</v>
      </c>
      <c r="J690" s="2233" t="s">
        <v>1769</v>
      </c>
      <c r="K690" s="2770" t="s">
        <v>9404</v>
      </c>
      <c r="L690" s="2233" t="str">
        <f t="shared" si="66"/>
        <v>Distinta</v>
      </c>
      <c r="M690" s="2235">
        <v>13</v>
      </c>
      <c r="N690" s="2235">
        <v>4</v>
      </c>
      <c r="O690" s="2235">
        <v>15</v>
      </c>
      <c r="P690" s="2233"/>
      <c r="Q690" s="2233"/>
      <c r="R690" s="2233" t="s">
        <v>1769</v>
      </c>
      <c r="S690" s="2233" t="s">
        <v>1769</v>
      </c>
      <c r="T690" s="2233" t="s">
        <v>1769</v>
      </c>
      <c r="U690" s="2233"/>
      <c r="V690" s="2769" t="s">
        <v>2629</v>
      </c>
      <c r="W690" s="2769"/>
      <c r="X690" s="2945"/>
      <c r="Z690" s="2881" t="str">
        <f t="shared" si="65"/>
        <v/>
      </c>
      <c r="AB690" s="2403" t="s">
        <v>9073</v>
      </c>
      <c r="AC690" s="19"/>
      <c r="AD690" s="19"/>
      <c r="AE690" s="2850"/>
    </row>
    <row r="691" spans="1:31" ht="12.75" customHeight="1" x14ac:dyDescent="0.2">
      <c r="A691" s="2029">
        <v>211</v>
      </c>
      <c r="B691" s="4995"/>
      <c r="C691" s="2942"/>
      <c r="D691" s="2232" t="s">
        <v>9053</v>
      </c>
      <c r="E691" s="2238">
        <v>50</v>
      </c>
      <c r="F691" s="2233">
        <v>0</v>
      </c>
      <c r="G691" s="2233">
        <v>6</v>
      </c>
      <c r="H691" s="2233">
        <v>7</v>
      </c>
      <c r="I691" s="2233" t="s">
        <v>1813</v>
      </c>
      <c r="J691" s="2233" t="s">
        <v>1769</v>
      </c>
      <c r="K691" s="2770" t="s">
        <v>9396</v>
      </c>
      <c r="L691" s="2233" t="str">
        <f t="shared" si="66"/>
        <v>Distinta</v>
      </c>
      <c r="M691" s="2235">
        <v>14</v>
      </c>
      <c r="N691" s="2235">
        <v>4</v>
      </c>
      <c r="O691" s="2235">
        <v>20</v>
      </c>
      <c r="P691" s="2233"/>
      <c r="Q691" s="2233"/>
      <c r="R691" s="2233" t="s">
        <v>1769</v>
      </c>
      <c r="S691" s="2233" t="s">
        <v>1769</v>
      </c>
      <c r="T691" s="2233" t="s">
        <v>1769</v>
      </c>
      <c r="U691" s="2233"/>
      <c r="V691" s="2769" t="s">
        <v>2597</v>
      </c>
      <c r="W691" s="2769"/>
      <c r="X691" s="2945"/>
      <c r="Z691" s="2881" t="str">
        <f t="shared" si="65"/>
        <v/>
      </c>
      <c r="AB691" s="2403" t="s">
        <v>9074</v>
      </c>
      <c r="AC691" s="19"/>
      <c r="AD691" s="19"/>
      <c r="AE691" s="2850"/>
    </row>
    <row r="692" spans="1:31" ht="12.75" customHeight="1" x14ac:dyDescent="0.2">
      <c r="A692" s="2029">
        <v>211</v>
      </c>
      <c r="B692" s="4995"/>
      <c r="C692" s="2942"/>
      <c r="D692" s="2232" t="s">
        <v>2632</v>
      </c>
      <c r="E692" s="2238">
        <v>40</v>
      </c>
      <c r="F692" s="2233">
        <v>0</v>
      </c>
      <c r="G692" s="2233">
        <v>6</v>
      </c>
      <c r="H692" s="2233">
        <v>6</v>
      </c>
      <c r="I692" s="2233" t="s">
        <v>1813</v>
      </c>
      <c r="J692" s="2233" t="s">
        <v>1769</v>
      </c>
      <c r="K692" s="2770" t="s">
        <v>9396</v>
      </c>
      <c r="L692" s="2233" t="str">
        <f t="shared" si="66"/>
        <v>Distinta</v>
      </c>
      <c r="M692" s="2235">
        <v>14</v>
      </c>
      <c r="N692" s="2235">
        <v>4</v>
      </c>
      <c r="O692" s="2235">
        <v>15</v>
      </c>
      <c r="P692" s="2233"/>
      <c r="Q692" s="2233"/>
      <c r="R692" s="2233" t="s">
        <v>1769</v>
      </c>
      <c r="S692" s="2233" t="s">
        <v>1769</v>
      </c>
      <c r="T692" s="2233" t="s">
        <v>1769</v>
      </c>
      <c r="U692" s="2233"/>
      <c r="V692" s="2769" t="s">
        <v>1769</v>
      </c>
      <c r="W692" s="2769"/>
      <c r="X692" s="2945"/>
      <c r="Z692" s="2881" t="str">
        <f t="shared" si="65"/>
        <v/>
      </c>
      <c r="AB692" s="2403" t="s">
        <v>2637</v>
      </c>
      <c r="AC692" s="19"/>
      <c r="AD692" s="19"/>
      <c r="AE692" s="2850"/>
    </row>
    <row r="693" spans="1:31" ht="12.75" customHeight="1" x14ac:dyDescent="0.2">
      <c r="A693" s="2029">
        <v>211</v>
      </c>
      <c r="B693" s="4995"/>
      <c r="C693" s="2942"/>
      <c r="D693" s="2232" t="s">
        <v>2633</v>
      </c>
      <c r="E693" s="2238">
        <v>60</v>
      </c>
      <c r="F693" s="2233">
        <v>-15</v>
      </c>
      <c r="G693" s="2233">
        <v>10</v>
      </c>
      <c r="H693" s="2233">
        <v>6</v>
      </c>
      <c r="I693" s="2233" t="s">
        <v>1813</v>
      </c>
      <c r="J693" s="2233" t="s">
        <v>1769</v>
      </c>
      <c r="K693" s="2770" t="s">
        <v>9403</v>
      </c>
      <c r="L693" s="2233" t="str">
        <f t="shared" si="66"/>
        <v>Distinta</v>
      </c>
      <c r="M693" s="2235">
        <v>16</v>
      </c>
      <c r="N693" s="2235">
        <v>5</v>
      </c>
      <c r="O693" s="2235">
        <v>15</v>
      </c>
      <c r="P693" s="2233"/>
      <c r="Q693" s="2233"/>
      <c r="R693" s="2233" t="s">
        <v>1769</v>
      </c>
      <c r="S693" s="2233" t="s">
        <v>1769</v>
      </c>
      <c r="T693" s="2233" t="s">
        <v>1769</v>
      </c>
      <c r="U693" s="2233"/>
      <c r="V693" s="2769" t="s">
        <v>2597</v>
      </c>
      <c r="W693" s="2769"/>
      <c r="X693" s="2945"/>
      <c r="Z693" s="2881" t="str">
        <f t="shared" si="65"/>
        <v/>
      </c>
      <c r="AB693" s="2403" t="s">
        <v>2639</v>
      </c>
      <c r="AC693" s="19"/>
      <c r="AD693" s="19"/>
      <c r="AE693" s="2850"/>
    </row>
    <row r="694" spans="1:31" ht="12.75" customHeight="1" x14ac:dyDescent="0.2">
      <c r="A694" s="2029">
        <v>211</v>
      </c>
      <c r="B694" s="4995"/>
      <c r="C694" s="2942"/>
      <c r="D694" s="2232" t="s">
        <v>9054</v>
      </c>
      <c r="E694" s="2238">
        <v>80</v>
      </c>
      <c r="F694" s="2233">
        <v>-50</v>
      </c>
      <c r="G694" s="2233">
        <v>8</v>
      </c>
      <c r="H694" s="2233">
        <v>11</v>
      </c>
      <c r="I694" s="2233" t="s">
        <v>1869</v>
      </c>
      <c r="J694" s="2233" t="s">
        <v>1868</v>
      </c>
      <c r="K694" s="2770" t="s">
        <v>9397</v>
      </c>
      <c r="L694" s="2233" t="str">
        <f t="shared" si="66"/>
        <v>Distinta</v>
      </c>
      <c r="M694" s="2235">
        <v>18</v>
      </c>
      <c r="N694" s="2235">
        <v>5</v>
      </c>
      <c r="O694" s="2235">
        <v>25</v>
      </c>
      <c r="P694" s="2233"/>
      <c r="Q694" s="2233"/>
      <c r="R694" s="2233" t="s">
        <v>1769</v>
      </c>
      <c r="S694" s="2233" t="s">
        <v>1769</v>
      </c>
      <c r="T694" s="2233" t="s">
        <v>1769</v>
      </c>
      <c r="U694" s="2233"/>
      <c r="V694" s="2769" t="s">
        <v>1906</v>
      </c>
      <c r="W694" s="2769"/>
      <c r="X694" s="2945"/>
      <c r="Z694" s="2881" t="str">
        <f t="shared" si="65"/>
        <v/>
      </c>
      <c r="AB694" s="2405" t="s">
        <v>9075</v>
      </c>
      <c r="AC694" s="19"/>
      <c r="AD694" s="19"/>
      <c r="AE694" s="2850"/>
    </row>
    <row r="695" spans="1:31" ht="12.75" customHeight="1" x14ac:dyDescent="0.2">
      <c r="A695" s="2029">
        <v>211</v>
      </c>
      <c r="B695" s="4995"/>
      <c r="C695" s="2942"/>
      <c r="D695" s="2232" t="s">
        <v>9072</v>
      </c>
      <c r="E695" s="2238">
        <v>40</v>
      </c>
      <c r="F695" s="2233">
        <v>15</v>
      </c>
      <c r="G695" s="2233">
        <v>6</v>
      </c>
      <c r="H695" s="2233" t="s">
        <v>1769</v>
      </c>
      <c r="I695" s="2233" t="s">
        <v>1868</v>
      </c>
      <c r="J695" s="2233" t="s">
        <v>1869</v>
      </c>
      <c r="K695" s="2770" t="s">
        <v>9395</v>
      </c>
      <c r="L695" s="2233" t="str">
        <f t="shared" si="66"/>
        <v>Distinta</v>
      </c>
      <c r="M695" s="2235">
        <v>13</v>
      </c>
      <c r="N695" s="2235">
        <v>2</v>
      </c>
      <c r="O695" s="2235">
        <v>20</v>
      </c>
      <c r="P695" s="2233"/>
      <c r="Q695" s="2233"/>
      <c r="R695" s="2233" t="s">
        <v>1769</v>
      </c>
      <c r="S695" s="2233" t="s">
        <v>1769</v>
      </c>
      <c r="T695" s="2233" t="s">
        <v>1769</v>
      </c>
      <c r="U695" s="2233"/>
      <c r="V695" s="2769" t="s">
        <v>2601</v>
      </c>
      <c r="W695" s="2769"/>
      <c r="X695" s="2945"/>
      <c r="Z695" s="2881" t="str">
        <f t="shared" si="65"/>
        <v/>
      </c>
      <c r="AB695" s="2405" t="s">
        <v>9057</v>
      </c>
      <c r="AC695" s="19"/>
      <c r="AD695" s="19"/>
      <c r="AE695" s="2850"/>
    </row>
    <row r="696" spans="1:31" ht="12.75" customHeight="1" x14ac:dyDescent="0.2">
      <c r="A696" s="2029">
        <v>211</v>
      </c>
      <c r="B696" s="4995"/>
      <c r="C696" s="2942"/>
      <c r="D696" s="2232" t="s">
        <v>9055</v>
      </c>
      <c r="E696" s="2238">
        <v>60</v>
      </c>
      <c r="F696" s="2233">
        <v>-30</v>
      </c>
      <c r="G696" s="2233" t="s">
        <v>1769</v>
      </c>
      <c r="H696" s="2233">
        <v>6</v>
      </c>
      <c r="I696" s="2233" t="s">
        <v>1869</v>
      </c>
      <c r="J696" s="2233" t="s">
        <v>1769</v>
      </c>
      <c r="K696" s="2770" t="s">
        <v>9390</v>
      </c>
      <c r="L696" s="2233" t="str">
        <f t="shared" si="66"/>
        <v>Distinta</v>
      </c>
      <c r="M696" s="2235">
        <v>12</v>
      </c>
      <c r="N696" s="2235">
        <v>4</v>
      </c>
      <c r="O696" s="2235">
        <v>15</v>
      </c>
      <c r="P696" s="2233"/>
      <c r="Q696" s="2233"/>
      <c r="R696" s="2233" t="s">
        <v>1769</v>
      </c>
      <c r="S696" s="2233" t="s">
        <v>1769</v>
      </c>
      <c r="T696" s="2233" t="s">
        <v>1769</v>
      </c>
      <c r="U696" s="2233"/>
      <c r="V696" s="2769" t="s">
        <v>9094</v>
      </c>
      <c r="W696" s="2769"/>
      <c r="X696" s="2945"/>
      <c r="Z696" s="2881" t="str">
        <f t="shared" si="65"/>
        <v/>
      </c>
      <c r="AB696" s="2405" t="s">
        <v>2642</v>
      </c>
      <c r="AC696" s="19"/>
      <c r="AD696" s="19"/>
      <c r="AE696" s="2850"/>
    </row>
    <row r="697" spans="1:31" ht="12.75" customHeight="1" x14ac:dyDescent="0.2">
      <c r="A697" s="2029">
        <v>211</v>
      </c>
      <c r="B697" s="4995"/>
      <c r="C697" s="2942"/>
      <c r="D697" s="2232" t="s">
        <v>9056</v>
      </c>
      <c r="E697" s="2238">
        <v>40</v>
      </c>
      <c r="F697" s="2233">
        <v>-5</v>
      </c>
      <c r="G697" s="2233">
        <v>6</v>
      </c>
      <c r="H697" s="2233">
        <v>7</v>
      </c>
      <c r="I697" s="2233" t="s">
        <v>1868</v>
      </c>
      <c r="J697" s="2233" t="s">
        <v>1813</v>
      </c>
      <c r="K697" s="2770" t="s">
        <v>9390</v>
      </c>
      <c r="L697" s="2233" t="str">
        <f t="shared" si="66"/>
        <v>Distinta</v>
      </c>
      <c r="M697" s="2235">
        <v>12</v>
      </c>
      <c r="N697" s="2235">
        <v>2</v>
      </c>
      <c r="O697" s="2235">
        <v>20</v>
      </c>
      <c r="P697" s="2233"/>
      <c r="Q697" s="2233"/>
      <c r="R697" s="2233" t="s">
        <v>1769</v>
      </c>
      <c r="S697" s="2233" t="s">
        <v>1769</v>
      </c>
      <c r="T697" s="2233" t="s">
        <v>1769</v>
      </c>
      <c r="U697" s="2233"/>
      <c r="V697" s="2769" t="s">
        <v>2597</v>
      </c>
      <c r="W697" s="2769"/>
      <c r="X697" s="2945"/>
      <c r="Z697" s="2881" t="str">
        <f t="shared" si="65"/>
        <v/>
      </c>
      <c r="AB697" s="2405" t="s">
        <v>2643</v>
      </c>
      <c r="AC697" s="19"/>
      <c r="AD697" s="19"/>
      <c r="AE697" s="2850"/>
    </row>
    <row r="698" spans="1:31" ht="12.75" customHeight="1" x14ac:dyDescent="0.2">
      <c r="A698" s="2029">
        <v>211</v>
      </c>
      <c r="B698" s="4995"/>
      <c r="C698" s="2942"/>
      <c r="D698" s="2232" t="s">
        <v>2634</v>
      </c>
      <c r="E698" s="2238">
        <v>5</v>
      </c>
      <c r="F698" s="2233">
        <v>0</v>
      </c>
      <c r="G698" s="2233">
        <v>4</v>
      </c>
      <c r="H698" s="2233">
        <v>4</v>
      </c>
      <c r="I698" s="2233" t="s">
        <v>2581</v>
      </c>
      <c r="J698" s="2233" t="s">
        <v>1868</v>
      </c>
      <c r="K698" s="2770" t="s">
        <v>9394</v>
      </c>
      <c r="L698" s="2233" t="str">
        <f t="shared" si="66"/>
        <v>Distinta</v>
      </c>
      <c r="M698" s="2235">
        <v>13</v>
      </c>
      <c r="N698" s="2235">
        <v>-4</v>
      </c>
      <c r="O698" s="2235">
        <v>15</v>
      </c>
      <c r="P698" s="2233"/>
      <c r="Q698" s="2233"/>
      <c r="R698" s="2235">
        <v>100</v>
      </c>
      <c r="S698" s="2233" t="s">
        <v>1769</v>
      </c>
      <c r="T698" s="2233">
        <v>5</v>
      </c>
      <c r="U698" s="2233"/>
      <c r="V698" s="2769" t="s">
        <v>2635</v>
      </c>
      <c r="W698" s="2769"/>
      <c r="X698" s="2945"/>
      <c r="Z698" s="2881" t="str">
        <f t="shared" si="65"/>
        <v/>
      </c>
      <c r="AB698" s="2405" t="s">
        <v>2645</v>
      </c>
      <c r="AC698" s="19"/>
      <c r="AD698" s="19"/>
      <c r="AE698" s="2850"/>
    </row>
    <row r="699" spans="1:31" ht="12.75" customHeight="1" x14ac:dyDescent="0.2">
      <c r="A699" s="2029">
        <v>211</v>
      </c>
      <c r="B699" s="4995"/>
      <c r="C699" s="2942"/>
      <c r="D699" s="2232" t="s">
        <v>2636</v>
      </c>
      <c r="E699" s="2238">
        <v>45</v>
      </c>
      <c r="F699" s="2233">
        <v>10</v>
      </c>
      <c r="G699" s="2233">
        <v>6</v>
      </c>
      <c r="H699" s="2233">
        <v>6</v>
      </c>
      <c r="I699" s="2233" t="s">
        <v>1868</v>
      </c>
      <c r="J699" s="2233" t="s">
        <v>1869</v>
      </c>
      <c r="K699" s="2770" t="s">
        <v>9393</v>
      </c>
      <c r="L699" s="2233" t="str">
        <f t="shared" si="66"/>
        <v>Distinta</v>
      </c>
      <c r="M699" s="2235">
        <v>12</v>
      </c>
      <c r="N699" s="2235">
        <v>3</v>
      </c>
      <c r="O699" s="2235">
        <v>20</v>
      </c>
      <c r="P699" s="2233"/>
      <c r="Q699" s="2233"/>
      <c r="R699" s="2233" t="s">
        <v>1769</v>
      </c>
      <c r="S699" s="2233" t="s">
        <v>1769</v>
      </c>
      <c r="T699" s="2233" t="s">
        <v>1769</v>
      </c>
      <c r="U699" s="2233"/>
      <c r="V699" s="2769" t="s">
        <v>1769</v>
      </c>
      <c r="W699" s="2769"/>
      <c r="X699" s="2945"/>
      <c r="Z699" s="2881" t="str">
        <f t="shared" ref="Z699:Z730" si="67">IF(AND(K699&lt;&gt;"Natural/-",ISNUMBER(SEARCH(D699,Armas_Conocidas))),", "&amp;K699,"")</f>
        <v/>
      </c>
      <c r="AB699" s="2405" t="s">
        <v>2646</v>
      </c>
      <c r="AC699" s="19"/>
      <c r="AD699" s="19"/>
      <c r="AE699" s="2850"/>
    </row>
    <row r="700" spans="1:31" ht="12.75" customHeight="1" x14ac:dyDescent="0.2">
      <c r="A700" s="2029">
        <v>211</v>
      </c>
      <c r="B700" s="4995"/>
      <c r="C700" s="2942"/>
      <c r="D700" s="2232" t="s">
        <v>9073</v>
      </c>
      <c r="E700" s="2238">
        <v>40</v>
      </c>
      <c r="F700" s="2233">
        <v>5</v>
      </c>
      <c r="G700" s="2233">
        <v>5</v>
      </c>
      <c r="H700" s="2233">
        <v>5</v>
      </c>
      <c r="I700" s="2233" t="s">
        <v>1868</v>
      </c>
      <c r="J700" s="2233" t="s">
        <v>1769</v>
      </c>
      <c r="K700" s="2770" t="s">
        <v>9393</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70" t="s">
        <v>9095</v>
      </c>
      <c r="W700" s="2769"/>
      <c r="X700" s="2945"/>
      <c r="Z700" s="2881" t="str">
        <f t="shared" si="67"/>
        <v/>
      </c>
      <c r="AB700" s="2406" t="s">
        <v>2647</v>
      </c>
      <c r="AC700" s="19"/>
      <c r="AD700" s="19"/>
      <c r="AE700" s="2850"/>
    </row>
    <row r="701" spans="1:31" ht="12.75" customHeight="1" x14ac:dyDescent="0.2">
      <c r="A701" s="2029">
        <v>211</v>
      </c>
      <c r="B701" s="4995"/>
      <c r="C701" s="2942"/>
      <c r="D701" s="2232" t="s">
        <v>9074</v>
      </c>
      <c r="E701" s="2238">
        <v>45</v>
      </c>
      <c r="F701" s="2233">
        <v>5</v>
      </c>
      <c r="G701" s="2233">
        <v>6</v>
      </c>
      <c r="H701" s="2233">
        <v>6</v>
      </c>
      <c r="I701" s="2233" t="s">
        <v>1869</v>
      </c>
      <c r="J701" s="2233" t="s">
        <v>1868</v>
      </c>
      <c r="K701" s="2770" t="s">
        <v>9393</v>
      </c>
      <c r="L701" s="2233" t="str">
        <f t="shared" si="68"/>
        <v>Distinta</v>
      </c>
      <c r="M701" s="2235">
        <v>14</v>
      </c>
      <c r="N701" s="2235">
        <v>3</v>
      </c>
      <c r="O701" s="2235">
        <v>20</v>
      </c>
      <c r="P701" s="2233"/>
      <c r="Q701" s="2233"/>
      <c r="R701" s="2233" t="s">
        <v>1769</v>
      </c>
      <c r="S701" s="2233" t="s">
        <v>1769</v>
      </c>
      <c r="T701" s="2233" t="s">
        <v>1769</v>
      </c>
      <c r="U701" s="2233"/>
      <c r="V701" s="2769" t="s">
        <v>1769</v>
      </c>
      <c r="W701" s="2769"/>
      <c r="X701" s="2945"/>
      <c r="Z701" s="2881" t="str">
        <f t="shared" si="67"/>
        <v/>
      </c>
      <c r="AB701" s="2406" t="s">
        <v>2648</v>
      </c>
      <c r="AC701" s="19"/>
      <c r="AD701" s="19"/>
      <c r="AE701" s="2850"/>
    </row>
    <row r="702" spans="1:31" ht="12.75" customHeight="1" x14ac:dyDescent="0.2">
      <c r="A702" s="2029">
        <v>211</v>
      </c>
      <c r="B702" s="4995"/>
      <c r="C702" s="2942"/>
      <c r="D702" s="2232" t="s">
        <v>2637</v>
      </c>
      <c r="E702" s="2238">
        <v>40</v>
      </c>
      <c r="F702" s="2233">
        <v>-10</v>
      </c>
      <c r="G702" s="2233">
        <v>6</v>
      </c>
      <c r="H702" s="2233">
        <v>6</v>
      </c>
      <c r="I702" s="2233" t="s">
        <v>1869</v>
      </c>
      <c r="J702" s="2233" t="s">
        <v>1769</v>
      </c>
      <c r="K702" s="2770" t="s">
        <v>9390</v>
      </c>
      <c r="L702" s="2233" t="str">
        <f t="shared" si="68"/>
        <v>Distinta</v>
      </c>
      <c r="M702" s="2235">
        <v>12</v>
      </c>
      <c r="N702" s="2235">
        <v>3</v>
      </c>
      <c r="O702" s="2235">
        <v>15</v>
      </c>
      <c r="P702" s="2233"/>
      <c r="Q702" s="2233"/>
      <c r="R702" s="2235">
        <v>100</v>
      </c>
      <c r="S702" s="2233" t="s">
        <v>1769</v>
      </c>
      <c r="T702" s="2233">
        <v>15</v>
      </c>
      <c r="U702" s="2233"/>
      <c r="V702" s="2769" t="s">
        <v>2638</v>
      </c>
      <c r="W702" s="2769"/>
      <c r="X702" s="2945"/>
      <c r="Z702" s="2881" t="str">
        <f t="shared" si="67"/>
        <v/>
      </c>
      <c r="AB702" s="2405" t="s">
        <v>2652</v>
      </c>
      <c r="AC702" s="19"/>
      <c r="AD702" s="19"/>
      <c r="AE702" s="2850"/>
    </row>
    <row r="703" spans="1:31" ht="12.75" customHeight="1" x14ac:dyDescent="0.2">
      <c r="A703" s="2029">
        <v>211</v>
      </c>
      <c r="B703" s="4995"/>
      <c r="C703" s="2942"/>
      <c r="D703" s="2232" t="s">
        <v>2639</v>
      </c>
      <c r="E703" s="2233">
        <v>40</v>
      </c>
      <c r="F703" s="2233">
        <v>0</v>
      </c>
      <c r="G703" s="2233">
        <v>6</v>
      </c>
      <c r="H703" s="2233">
        <v>6</v>
      </c>
      <c r="I703" s="2233" t="s">
        <v>1868</v>
      </c>
      <c r="J703" s="2233" t="s">
        <v>1769</v>
      </c>
      <c r="K703" s="2770" t="s">
        <v>9392</v>
      </c>
      <c r="L703" s="2233" t="str">
        <f t="shared" si="68"/>
        <v>Distinta</v>
      </c>
      <c r="M703" s="2235">
        <v>9</v>
      </c>
      <c r="N703" s="2235">
        <v>2</v>
      </c>
      <c r="O703" s="2235">
        <v>20</v>
      </c>
      <c r="P703" s="2233"/>
      <c r="Q703" s="2233"/>
      <c r="R703" s="2235">
        <v>80</v>
      </c>
      <c r="S703" s="2233" t="s">
        <v>1769</v>
      </c>
      <c r="T703" s="2233">
        <v>30</v>
      </c>
      <c r="U703" s="2233"/>
      <c r="V703" s="2769" t="s">
        <v>2640</v>
      </c>
      <c r="W703" s="2769"/>
      <c r="X703" s="2945"/>
      <c r="Z703" s="2881" t="str">
        <f t="shared" si="67"/>
        <v/>
      </c>
      <c r="AB703" s="2405" t="s">
        <v>2654</v>
      </c>
      <c r="AC703" s="19"/>
      <c r="AD703" s="19"/>
      <c r="AE703" s="2850"/>
    </row>
    <row r="704" spans="1:31" ht="12.75" customHeight="1" x14ac:dyDescent="0.2">
      <c r="A704" s="2029">
        <v>211</v>
      </c>
      <c r="B704" s="4995"/>
      <c r="C704" s="2942"/>
      <c r="D704" s="2232" t="s">
        <v>9075</v>
      </c>
      <c r="E704" s="2238">
        <v>25</v>
      </c>
      <c r="F704" s="2233">
        <v>15</v>
      </c>
      <c r="G704" s="2233">
        <v>4</v>
      </c>
      <c r="H704" s="2233">
        <v>4</v>
      </c>
      <c r="I704" s="2233" t="s">
        <v>1868</v>
      </c>
      <c r="J704" s="2233" t="s">
        <v>1769</v>
      </c>
      <c r="K704" s="2770" t="s">
        <v>9394</v>
      </c>
      <c r="L704" s="2233" t="str">
        <f t="shared" si="68"/>
        <v>Distinta</v>
      </c>
      <c r="M704" s="2235">
        <v>7</v>
      </c>
      <c r="N704" s="2235">
        <v>-3</v>
      </c>
      <c r="O704" s="2235">
        <v>15</v>
      </c>
      <c r="P704" s="2233"/>
      <c r="Q704" s="2233"/>
      <c r="R704" s="2233" t="s">
        <v>1769</v>
      </c>
      <c r="S704" s="2233" t="s">
        <v>1769</v>
      </c>
      <c r="T704" s="2233" t="s">
        <v>1769</v>
      </c>
      <c r="U704" s="2233"/>
      <c r="V704" s="2769" t="s">
        <v>2661</v>
      </c>
      <c r="W704" s="2769"/>
      <c r="X704" s="2945"/>
      <c r="Z704" s="2881" t="str">
        <f t="shared" si="67"/>
        <v/>
      </c>
      <c r="AB704" s="2405" t="s">
        <v>2656</v>
      </c>
      <c r="AC704" s="19"/>
      <c r="AD704" s="19"/>
      <c r="AE704" s="2850"/>
    </row>
    <row r="705" spans="1:31" ht="12.75" customHeight="1" x14ac:dyDescent="0.2">
      <c r="A705" s="2029">
        <v>211</v>
      </c>
      <c r="B705" s="4995"/>
      <c r="C705" s="2942"/>
      <c r="D705" s="2232" t="s">
        <v>9057</v>
      </c>
      <c r="E705" s="2238">
        <v>40</v>
      </c>
      <c r="F705" s="2233">
        <v>0</v>
      </c>
      <c r="G705" s="2233">
        <v>5</v>
      </c>
      <c r="H705" s="2233">
        <v>8</v>
      </c>
      <c r="I705" s="2233" t="s">
        <v>1868</v>
      </c>
      <c r="J705" s="2233" t="s">
        <v>1813</v>
      </c>
      <c r="K705" s="2770" t="s">
        <v>9405</v>
      </c>
      <c r="L705" s="2233" t="str">
        <f t="shared" si="68"/>
        <v>Distinta</v>
      </c>
      <c r="M705" s="2235">
        <v>11</v>
      </c>
      <c r="N705" s="2235">
        <v>2</v>
      </c>
      <c r="O705" s="2235">
        <v>20</v>
      </c>
      <c r="P705" s="2233"/>
      <c r="Q705" s="2233"/>
      <c r="R705" s="2233" t="s">
        <v>1769</v>
      </c>
      <c r="S705" s="2233" t="s">
        <v>1769</v>
      </c>
      <c r="T705" s="2233" t="s">
        <v>1769</v>
      </c>
      <c r="U705" s="2233"/>
      <c r="V705" s="2769" t="s">
        <v>2597</v>
      </c>
      <c r="W705" s="2769"/>
      <c r="X705" s="2945"/>
      <c r="Z705" s="2881" t="str">
        <f t="shared" si="67"/>
        <v/>
      </c>
      <c r="AB705" s="2405" t="s">
        <v>2657</v>
      </c>
      <c r="AC705" s="19"/>
      <c r="AD705" s="19"/>
      <c r="AE705" s="2850"/>
    </row>
    <row r="706" spans="1:31" ht="12.75" customHeight="1" x14ac:dyDescent="0.2">
      <c r="A706" s="2029">
        <v>211</v>
      </c>
      <c r="B706" s="4995"/>
      <c r="C706" s="2942"/>
      <c r="D706" s="2232" t="s">
        <v>2641</v>
      </c>
      <c r="E706" s="2238">
        <v>30</v>
      </c>
      <c r="F706" s="2233">
        <v>10</v>
      </c>
      <c r="G706" s="2233">
        <v>4</v>
      </c>
      <c r="H706" s="2233">
        <v>4</v>
      </c>
      <c r="I706" s="2233" t="s">
        <v>1813</v>
      </c>
      <c r="J706" s="2233" t="s">
        <v>1769</v>
      </c>
      <c r="K706" s="2770" t="s">
        <v>9390</v>
      </c>
      <c r="L706" s="2233" t="str">
        <f t="shared" si="68"/>
        <v>Distinta</v>
      </c>
      <c r="M706" s="2235">
        <v>11</v>
      </c>
      <c r="N706" s="2235">
        <v>0</v>
      </c>
      <c r="O706" s="2235">
        <v>30</v>
      </c>
      <c r="P706" s="2233"/>
      <c r="Q706" s="2233"/>
      <c r="R706" s="2233" t="s">
        <v>1769</v>
      </c>
      <c r="S706" s="2233" t="s">
        <v>1769</v>
      </c>
      <c r="T706" s="2233" t="s">
        <v>1769</v>
      </c>
      <c r="U706" s="2233"/>
      <c r="V706" s="2769" t="s">
        <v>1906</v>
      </c>
      <c r="W706" s="2769"/>
      <c r="X706" s="2945"/>
      <c r="Z706" s="2881" t="str">
        <f t="shared" si="67"/>
        <v/>
      </c>
      <c r="AB706" s="2405" t="s">
        <v>2660</v>
      </c>
      <c r="AC706" s="19"/>
      <c r="AD706" s="19"/>
      <c r="AE706" s="2850"/>
    </row>
    <row r="707" spans="1:31" ht="12.75" customHeight="1" x14ac:dyDescent="0.2">
      <c r="A707" s="2029">
        <v>211</v>
      </c>
      <c r="B707" s="4995"/>
      <c r="C707" s="2942"/>
      <c r="D707" s="2232" t="s">
        <v>2642</v>
      </c>
      <c r="E707" s="2236"/>
      <c r="F707" s="2236"/>
      <c r="G707" s="2236"/>
      <c r="H707" s="2236"/>
      <c r="I707" s="2236"/>
      <c r="J707" s="2236"/>
      <c r="K707" s="2637" t="s">
        <v>9388</v>
      </c>
      <c r="L707" s="2236"/>
      <c r="M707" s="2236"/>
      <c r="N707" s="2236"/>
      <c r="O707" s="2236"/>
      <c r="P707" s="2236"/>
      <c r="Q707" s="2236"/>
      <c r="R707" s="2236"/>
      <c r="S707" s="2236"/>
      <c r="T707" s="2236"/>
      <c r="U707" s="2236"/>
      <c r="V707" s="2237"/>
      <c r="W707" s="2237"/>
      <c r="X707" s="2944"/>
      <c r="Z707" s="2881" t="str">
        <f t="shared" si="67"/>
        <v/>
      </c>
      <c r="AB707" s="2405" t="s">
        <v>2665</v>
      </c>
      <c r="AC707" s="19"/>
      <c r="AD707" s="19"/>
      <c r="AE707" s="2850"/>
    </row>
    <row r="708" spans="1:31" ht="12.75" customHeight="1" x14ac:dyDescent="0.2">
      <c r="A708" s="2029">
        <v>211</v>
      </c>
      <c r="B708" s="4995"/>
      <c r="C708" s="2942"/>
      <c r="D708" s="2232" t="s">
        <v>2643</v>
      </c>
      <c r="E708" s="2238">
        <v>25</v>
      </c>
      <c r="F708" s="2233">
        <v>-40</v>
      </c>
      <c r="G708" s="2233">
        <v>10</v>
      </c>
      <c r="H708" s="2233">
        <v>10</v>
      </c>
      <c r="I708" s="2233" t="s">
        <v>1813</v>
      </c>
      <c r="J708" s="2233" t="s">
        <v>1769</v>
      </c>
      <c r="K708" s="2770" t="s">
        <v>9406</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47" t="s">
        <v>1769</v>
      </c>
      <c r="W708" s="5047"/>
      <c r="X708" s="5048"/>
      <c r="Z708" s="2881" t="str">
        <f t="shared" si="67"/>
        <v/>
      </c>
      <c r="AB708" s="2403" t="s">
        <v>2666</v>
      </c>
      <c r="AC708" s="19"/>
      <c r="AD708" s="19"/>
      <c r="AE708" s="2850"/>
    </row>
    <row r="709" spans="1:31" ht="12.75" customHeight="1" x14ac:dyDescent="0.2">
      <c r="A709" s="2029">
        <v>211</v>
      </c>
      <c r="B709" s="4995"/>
      <c r="C709" s="2942"/>
      <c r="D709" s="2232" t="s">
        <v>2645</v>
      </c>
      <c r="E709" s="2238">
        <v>20</v>
      </c>
      <c r="F709" s="2233">
        <v>-25</v>
      </c>
      <c r="G709" s="2233">
        <v>7</v>
      </c>
      <c r="H709" s="2233">
        <v>7</v>
      </c>
      <c r="I709" s="2233" t="s">
        <v>1813</v>
      </c>
      <c r="J709" s="2233" t="s">
        <v>1769</v>
      </c>
      <c r="K709" s="2770" t="s">
        <v>9406</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47" t="s">
        <v>1769</v>
      </c>
      <c r="W709" s="5047"/>
      <c r="X709" s="5048"/>
      <c r="Z709" s="2881" t="str">
        <f t="shared" si="67"/>
        <v/>
      </c>
      <c r="AB709" s="2405" t="s">
        <v>2667</v>
      </c>
      <c r="AC709" s="19"/>
      <c r="AD709" s="19"/>
      <c r="AE709" s="2850"/>
    </row>
    <row r="710" spans="1:31" ht="12.75" customHeight="1" x14ac:dyDescent="0.2">
      <c r="A710" s="2029">
        <v>211</v>
      </c>
      <c r="B710" s="4995"/>
      <c r="C710" s="2942"/>
      <c r="D710" s="2232" t="s">
        <v>2646</v>
      </c>
      <c r="E710" s="2238">
        <v>15</v>
      </c>
      <c r="F710" s="2233">
        <v>-15</v>
      </c>
      <c r="G710" s="2233">
        <v>5</v>
      </c>
      <c r="H710" s="2233">
        <v>5</v>
      </c>
      <c r="I710" s="2233" t="s">
        <v>1813</v>
      </c>
      <c r="J710" s="2233" t="s">
        <v>1769</v>
      </c>
      <c r="K710" s="2770" t="s">
        <v>9406</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47" t="s">
        <v>1769</v>
      </c>
      <c r="W710" s="5047"/>
      <c r="X710" s="5048"/>
      <c r="Z710" s="2881" t="str">
        <f t="shared" si="67"/>
        <v/>
      </c>
      <c r="AB710" s="2403" t="s">
        <v>2668</v>
      </c>
      <c r="AC710" s="19"/>
      <c r="AD710" s="19"/>
      <c r="AE710" s="2850"/>
    </row>
    <row r="711" spans="1:31" ht="12.75" customHeight="1" x14ac:dyDescent="0.2">
      <c r="A711" s="2029">
        <v>211</v>
      </c>
      <c r="B711" s="4995"/>
      <c r="C711" s="2942"/>
      <c r="D711" s="2232" t="s">
        <v>2647</v>
      </c>
      <c r="E711" s="2236"/>
      <c r="F711" s="2236"/>
      <c r="G711" s="2236"/>
      <c r="H711" s="2236"/>
      <c r="I711" s="2236"/>
      <c r="J711" s="2236"/>
      <c r="K711" s="2637" t="s">
        <v>9388</v>
      </c>
      <c r="L711" s="2236"/>
      <c r="M711" s="2236"/>
      <c r="N711" s="2236"/>
      <c r="O711" s="2236"/>
      <c r="P711" s="2236"/>
      <c r="Q711" s="2236"/>
      <c r="R711" s="2236"/>
      <c r="S711" s="2236"/>
      <c r="T711" s="2236"/>
      <c r="U711" s="2236"/>
      <c r="V711" s="2237"/>
      <c r="W711" s="2237"/>
      <c r="X711" s="2944"/>
      <c r="Z711" s="2881" t="str">
        <f t="shared" si="67"/>
        <v/>
      </c>
      <c r="AB711" s="2405" t="s">
        <v>2670</v>
      </c>
      <c r="AC711" s="19"/>
      <c r="AD711" s="19"/>
      <c r="AE711" s="2850"/>
    </row>
    <row r="712" spans="1:31" ht="12.75" customHeight="1" x14ac:dyDescent="0.2">
      <c r="A712" s="2029">
        <v>211</v>
      </c>
      <c r="B712" s="4995"/>
      <c r="C712" s="2942"/>
      <c r="D712" s="2232" t="s">
        <v>2648</v>
      </c>
      <c r="E712" s="2238">
        <v>30</v>
      </c>
      <c r="F712" s="2233">
        <v>20</v>
      </c>
      <c r="G712" s="2233">
        <v>4</v>
      </c>
      <c r="H712" s="2233">
        <v>4</v>
      </c>
      <c r="I712" s="2233" t="s">
        <v>1868</v>
      </c>
      <c r="J712" s="2233" t="s">
        <v>1813</v>
      </c>
      <c r="K712" s="2770" t="s">
        <v>9395</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47" t="s">
        <v>2649</v>
      </c>
      <c r="W712" s="5047"/>
      <c r="X712" s="5048"/>
      <c r="Z712" s="2881" t="str">
        <f t="shared" si="67"/>
        <v/>
      </c>
      <c r="AB712" s="2405" t="s">
        <v>2671</v>
      </c>
      <c r="AC712" s="19"/>
      <c r="AD712" s="19"/>
      <c r="AE712" s="2850"/>
    </row>
    <row r="713" spans="1:31" ht="12.75" customHeight="1" x14ac:dyDescent="0.2">
      <c r="A713" s="2029">
        <v>211</v>
      </c>
      <c r="B713" s="4995"/>
      <c r="C713" s="2942"/>
      <c r="D713" s="2232" t="s">
        <v>2650</v>
      </c>
      <c r="E713" s="2238">
        <v>35</v>
      </c>
      <c r="F713" s="2233">
        <v>15</v>
      </c>
      <c r="G713" s="2233">
        <v>4</v>
      </c>
      <c r="H713" s="2233">
        <v>4</v>
      </c>
      <c r="I713" s="2233" t="s">
        <v>1868</v>
      </c>
      <c r="J713" s="2233" t="s">
        <v>1869</v>
      </c>
      <c r="K713" s="2770" t="s">
        <v>9390</v>
      </c>
      <c r="L713" s="2233" t="str">
        <f t="shared" si="69"/>
        <v>Distinta</v>
      </c>
      <c r="M713" s="2235">
        <v>12</v>
      </c>
      <c r="N713" s="2235">
        <v>2</v>
      </c>
      <c r="O713" s="2235">
        <v>25</v>
      </c>
      <c r="P713" s="2233"/>
      <c r="Q713" s="2233"/>
      <c r="R713" s="2233" t="s">
        <v>1769</v>
      </c>
      <c r="S713" s="2233" t="s">
        <v>1769</v>
      </c>
      <c r="T713" s="2233" t="s">
        <v>1769</v>
      </c>
      <c r="U713" s="2233"/>
      <c r="V713" s="5047" t="s">
        <v>2651</v>
      </c>
      <c r="W713" s="5047"/>
      <c r="X713" s="5048"/>
      <c r="Z713" s="2881" t="str">
        <f t="shared" si="67"/>
        <v/>
      </c>
      <c r="AB713" s="2405" t="s">
        <v>2673</v>
      </c>
      <c r="AC713" s="19"/>
      <c r="AD713" s="19"/>
      <c r="AE713" s="2850"/>
    </row>
    <row r="714" spans="1:31" ht="12.75" customHeight="1" x14ac:dyDescent="0.2">
      <c r="A714" s="2029">
        <v>211</v>
      </c>
      <c r="B714" s="4995"/>
      <c r="C714" s="2942"/>
      <c r="D714" s="2232" t="s">
        <v>2652</v>
      </c>
      <c r="E714" s="2238">
        <v>30</v>
      </c>
      <c r="F714" s="2233">
        <v>10</v>
      </c>
      <c r="G714" s="2233">
        <v>4</v>
      </c>
      <c r="H714" s="2233">
        <v>4</v>
      </c>
      <c r="I714" s="2233" t="s">
        <v>1813</v>
      </c>
      <c r="J714" s="2233" t="s">
        <v>1868</v>
      </c>
      <c r="K714" s="2770" t="s">
        <v>9395</v>
      </c>
      <c r="L714" s="2233" t="str">
        <f t="shared" si="69"/>
        <v>Distinta</v>
      </c>
      <c r="M714" s="2235">
        <v>10</v>
      </c>
      <c r="N714" s="2235">
        <v>0</v>
      </c>
      <c r="O714" s="2235">
        <v>15</v>
      </c>
      <c r="P714" s="2233"/>
      <c r="Q714" s="2233"/>
      <c r="R714" s="2235">
        <v>60</v>
      </c>
      <c r="S714" s="2233" t="s">
        <v>1769</v>
      </c>
      <c r="T714" s="2233">
        <v>20</v>
      </c>
      <c r="U714" s="2233"/>
      <c r="V714" s="5047" t="s">
        <v>2653</v>
      </c>
      <c r="W714" s="5047"/>
      <c r="X714" s="5048"/>
      <c r="Z714" s="2881" t="str">
        <f t="shared" si="67"/>
        <v/>
      </c>
      <c r="AB714" s="2405" t="s">
        <v>2674</v>
      </c>
      <c r="AC714" s="19"/>
      <c r="AD714" s="19"/>
      <c r="AE714" s="2850"/>
    </row>
    <row r="715" spans="1:31" ht="12.75" customHeight="1" x14ac:dyDescent="0.2">
      <c r="A715" s="2029">
        <v>211</v>
      </c>
      <c r="B715" s="4995"/>
      <c r="C715" s="2942"/>
      <c r="D715" s="2232" t="s">
        <v>2654</v>
      </c>
      <c r="E715" s="2238">
        <v>35</v>
      </c>
      <c r="F715" s="2233">
        <v>10</v>
      </c>
      <c r="G715" s="2233">
        <v>4</v>
      </c>
      <c r="H715" s="2233">
        <v>4</v>
      </c>
      <c r="I715" s="2233" t="s">
        <v>1813</v>
      </c>
      <c r="J715" s="2233" t="s">
        <v>1868</v>
      </c>
      <c r="K715" s="2770" t="s">
        <v>9395</v>
      </c>
      <c r="L715" s="2233" t="str">
        <f t="shared" si="69"/>
        <v>Distinta</v>
      </c>
      <c r="M715" s="2235">
        <v>11</v>
      </c>
      <c r="N715" s="2235">
        <v>2</v>
      </c>
      <c r="O715" s="2235">
        <v>25</v>
      </c>
      <c r="P715" s="2233"/>
      <c r="Q715" s="2233"/>
      <c r="R715" s="2233" t="s">
        <v>1769</v>
      </c>
      <c r="S715" s="2233" t="s">
        <v>1769</v>
      </c>
      <c r="T715" s="2233" t="s">
        <v>1769</v>
      </c>
      <c r="U715" s="2233"/>
      <c r="V715" s="5047" t="s">
        <v>2655</v>
      </c>
      <c r="W715" s="5047"/>
      <c r="X715" s="5048"/>
      <c r="Z715" s="2881" t="str">
        <f t="shared" si="67"/>
        <v/>
      </c>
      <c r="AB715" s="2405" t="s">
        <v>9059</v>
      </c>
      <c r="AC715" s="19"/>
      <c r="AD715" s="19"/>
      <c r="AE715" s="2850"/>
    </row>
    <row r="716" spans="1:31" ht="12.75" customHeight="1" x14ac:dyDescent="0.2">
      <c r="A716" s="2029">
        <v>211</v>
      </c>
      <c r="B716" s="4995"/>
      <c r="C716" s="2942"/>
      <c r="D716" s="2232" t="s">
        <v>2656</v>
      </c>
      <c r="E716" s="2238">
        <v>30</v>
      </c>
      <c r="F716" s="2233">
        <v>15</v>
      </c>
      <c r="G716" s="2233">
        <v>4</v>
      </c>
      <c r="H716" s="2233">
        <v>4</v>
      </c>
      <c r="I716" s="2233" t="s">
        <v>1868</v>
      </c>
      <c r="J716" s="2233" t="s">
        <v>1869</v>
      </c>
      <c r="K716" s="2770" t="s">
        <v>9395</v>
      </c>
      <c r="L716" s="2233" t="str">
        <f t="shared" si="69"/>
        <v>Distinta</v>
      </c>
      <c r="M716" s="2235">
        <v>12</v>
      </c>
      <c r="N716" s="2235">
        <v>2</v>
      </c>
      <c r="O716" s="2235">
        <v>15</v>
      </c>
      <c r="P716" s="2233"/>
      <c r="Q716" s="2233"/>
      <c r="R716" s="2233" t="s">
        <v>1769</v>
      </c>
      <c r="S716" s="2233" t="s">
        <v>1769</v>
      </c>
      <c r="T716" s="2233" t="s">
        <v>1769</v>
      </c>
      <c r="U716" s="2233"/>
      <c r="V716" s="5047" t="s">
        <v>1769</v>
      </c>
      <c r="W716" s="5047"/>
      <c r="X716" s="5048"/>
      <c r="Z716" s="2881" t="str">
        <f t="shared" si="67"/>
        <v/>
      </c>
      <c r="AB716" s="2405" t="s">
        <v>9076</v>
      </c>
      <c r="AC716" s="19"/>
      <c r="AD716" s="19"/>
      <c r="AE716" s="2850"/>
    </row>
    <row r="717" spans="1:31" ht="12.75" customHeight="1" x14ac:dyDescent="0.2">
      <c r="A717" s="2029">
        <v>211</v>
      </c>
      <c r="B717" s="4995"/>
      <c r="C717" s="2942"/>
      <c r="D717" s="2232" t="s">
        <v>2657</v>
      </c>
      <c r="E717" s="2238">
        <v>50</v>
      </c>
      <c r="F717" s="2233">
        <v>0</v>
      </c>
      <c r="G717" s="2233">
        <v>6</v>
      </c>
      <c r="H717" s="2233">
        <v>5</v>
      </c>
      <c r="I717" s="2233" t="s">
        <v>1868</v>
      </c>
      <c r="J717" s="2233" t="s">
        <v>1769</v>
      </c>
      <c r="K717" s="2770" t="s">
        <v>9393</v>
      </c>
      <c r="L717" s="2233" t="str">
        <f t="shared" si="69"/>
        <v>Distinta</v>
      </c>
      <c r="M717" s="2235">
        <v>11</v>
      </c>
      <c r="N717" s="2235">
        <v>3</v>
      </c>
      <c r="O717" s="2235">
        <v>40</v>
      </c>
      <c r="P717" s="2233"/>
      <c r="Q717" s="2233"/>
      <c r="R717" s="2233" t="s">
        <v>1769</v>
      </c>
      <c r="S717" s="2233" t="s">
        <v>1769</v>
      </c>
      <c r="T717" s="2233" t="s">
        <v>1769</v>
      </c>
      <c r="U717" s="2233"/>
      <c r="V717" s="5047" t="s">
        <v>2597</v>
      </c>
      <c r="W717" s="5047"/>
      <c r="X717" s="5048"/>
      <c r="Z717" s="2881" t="str">
        <f t="shared" si="67"/>
        <v/>
      </c>
      <c r="AB717" s="2406" t="s">
        <v>9077</v>
      </c>
      <c r="AC717" s="19"/>
      <c r="AD717" s="19"/>
      <c r="AE717" s="2850"/>
    </row>
    <row r="718" spans="1:31" ht="12.75" customHeight="1" x14ac:dyDescent="0.2">
      <c r="A718" s="2029">
        <v>211</v>
      </c>
      <c r="B718" s="4995"/>
      <c r="C718" s="2942"/>
      <c r="D718" s="2232" t="s">
        <v>2658</v>
      </c>
      <c r="E718" s="2238">
        <v>55</v>
      </c>
      <c r="F718" s="2233">
        <v>-5</v>
      </c>
      <c r="G718" s="2233">
        <v>8</v>
      </c>
      <c r="H718" s="2233">
        <v>8</v>
      </c>
      <c r="I718" s="2233" t="s">
        <v>1868</v>
      </c>
      <c r="J718" s="2233" t="s">
        <v>1769</v>
      </c>
      <c r="K718" s="2770" t="s">
        <v>9393</v>
      </c>
      <c r="L718" s="2233" t="str">
        <f t="shared" si="69"/>
        <v>Distinta</v>
      </c>
      <c r="M718" s="2235">
        <v>11</v>
      </c>
      <c r="N718" s="2235">
        <v>3</v>
      </c>
      <c r="O718" s="2235">
        <v>40</v>
      </c>
      <c r="P718" s="2233"/>
      <c r="Q718" s="2233"/>
      <c r="R718" s="2233" t="s">
        <v>1769</v>
      </c>
      <c r="S718" s="2233" t="s">
        <v>1769</v>
      </c>
      <c r="T718" s="2233" t="s">
        <v>1769</v>
      </c>
      <c r="U718" s="2233"/>
      <c r="V718" s="5103" t="s">
        <v>2659</v>
      </c>
      <c r="W718" s="5103"/>
      <c r="X718" s="5104"/>
      <c r="Z718" s="2881" t="str">
        <f t="shared" si="67"/>
        <v/>
      </c>
      <c r="AB718" s="2406" t="s">
        <v>9078</v>
      </c>
      <c r="AC718" s="19"/>
      <c r="AD718" s="19"/>
      <c r="AE718" s="2850"/>
    </row>
    <row r="719" spans="1:31" ht="12.75" customHeight="1" x14ac:dyDescent="0.2">
      <c r="A719" s="2029">
        <v>211</v>
      </c>
      <c r="B719" s="4995"/>
      <c r="C719" s="2942"/>
      <c r="D719" s="2232" t="s">
        <v>2660</v>
      </c>
      <c r="E719" s="2238">
        <v>40</v>
      </c>
      <c r="F719" s="2233">
        <v>10</v>
      </c>
      <c r="G719" s="2233">
        <v>8</v>
      </c>
      <c r="H719" s="2233">
        <v>8</v>
      </c>
      <c r="I719" s="2233" t="s">
        <v>1869</v>
      </c>
      <c r="J719" s="2233" t="s">
        <v>1868</v>
      </c>
      <c r="K719" s="2770" t="s">
        <v>9395</v>
      </c>
      <c r="L719" s="2233" t="str">
        <f t="shared" si="69"/>
        <v>Distinta</v>
      </c>
      <c r="M719" s="2235">
        <v>13</v>
      </c>
      <c r="N719" s="2235">
        <v>3</v>
      </c>
      <c r="O719" s="2235">
        <v>25</v>
      </c>
      <c r="P719" s="2233"/>
      <c r="Q719" s="2233"/>
      <c r="R719" s="2233" t="s">
        <v>1769</v>
      </c>
      <c r="S719" s="2233" t="s">
        <v>1769</v>
      </c>
      <c r="T719" s="2233" t="s">
        <v>1769</v>
      </c>
      <c r="U719" s="2233"/>
      <c r="V719" s="5047" t="s">
        <v>2661</v>
      </c>
      <c r="W719" s="5047"/>
      <c r="X719" s="5048"/>
      <c r="Z719" s="2881" t="str">
        <f t="shared" si="67"/>
        <v/>
      </c>
      <c r="AB719" s="2405" t="s">
        <v>9079</v>
      </c>
      <c r="AC719" s="19"/>
      <c r="AD719" s="19"/>
      <c r="AE719" s="2850"/>
    </row>
    <row r="720" spans="1:31" ht="12.75" customHeight="1" x14ac:dyDescent="0.2">
      <c r="A720" s="2029">
        <v>211</v>
      </c>
      <c r="B720" s="4995"/>
      <c r="C720" s="2942"/>
      <c r="D720" s="2232" t="s">
        <v>2662</v>
      </c>
      <c r="E720" s="2238">
        <f>40-Bono_Fue</f>
        <v>40</v>
      </c>
      <c r="F720" s="2233">
        <v>5</v>
      </c>
      <c r="G720" s="2233">
        <v>5</v>
      </c>
      <c r="H720" s="2233">
        <v>5</v>
      </c>
      <c r="I720" s="2233" t="s">
        <v>1868</v>
      </c>
      <c r="J720" s="2233" t="s">
        <v>2663</v>
      </c>
      <c r="K720" s="2770" t="s">
        <v>9407</v>
      </c>
      <c r="L720" s="2233" t="str">
        <f t="shared" si="69"/>
        <v>Distinta</v>
      </c>
      <c r="M720" s="2235">
        <v>12</v>
      </c>
      <c r="N720" s="2235">
        <v>4</v>
      </c>
      <c r="O720" s="2235">
        <v>25</v>
      </c>
      <c r="P720" s="2233"/>
      <c r="Q720" s="2233"/>
      <c r="R720" s="2233" t="s">
        <v>1769</v>
      </c>
      <c r="S720" s="2233" t="s">
        <v>1769</v>
      </c>
      <c r="T720" s="2233" t="s">
        <v>1769</v>
      </c>
      <c r="U720" s="2233"/>
      <c r="V720" s="5103" t="s">
        <v>2664</v>
      </c>
      <c r="W720" s="5103"/>
      <c r="X720" s="5104"/>
      <c r="Z720" s="2881" t="str">
        <f t="shared" si="67"/>
        <v/>
      </c>
      <c r="AB720" s="2405" t="s">
        <v>9080</v>
      </c>
      <c r="AC720" s="19"/>
      <c r="AD720" s="19"/>
      <c r="AE720" s="2850"/>
    </row>
    <row r="721" spans="1:31" ht="12.75" customHeight="1" x14ac:dyDescent="0.2">
      <c r="A721" s="2029">
        <v>211</v>
      </c>
      <c r="B721" s="4995"/>
      <c r="C721" s="2942"/>
      <c r="D721" s="2232" t="s">
        <v>2665</v>
      </c>
      <c r="E721" s="2238">
        <v>80</v>
      </c>
      <c r="F721" s="2233">
        <v>-35</v>
      </c>
      <c r="G721" s="2233">
        <v>10</v>
      </c>
      <c r="H721" s="2233">
        <v>8</v>
      </c>
      <c r="I721" s="2233" t="s">
        <v>1868</v>
      </c>
      <c r="J721" s="2233" t="s">
        <v>1769</v>
      </c>
      <c r="K721" s="2770" t="s">
        <v>9397</v>
      </c>
      <c r="L721" s="2233" t="str">
        <f t="shared" si="69"/>
        <v>Distinta</v>
      </c>
      <c r="M721" s="2235">
        <v>14</v>
      </c>
      <c r="N721" s="2235">
        <v>4</v>
      </c>
      <c r="O721" s="2235">
        <v>40</v>
      </c>
      <c r="P721" s="2233"/>
      <c r="Q721" s="2233"/>
      <c r="R721" s="2233" t="s">
        <v>1769</v>
      </c>
      <c r="S721" s="2233" t="s">
        <v>1769</v>
      </c>
      <c r="T721" s="2233" t="s">
        <v>1769</v>
      </c>
      <c r="U721" s="2233"/>
      <c r="V721" s="5047" t="s">
        <v>2597</v>
      </c>
      <c r="W721" s="5047"/>
      <c r="X721" s="5048"/>
      <c r="Z721" s="2881" t="str">
        <f t="shared" si="67"/>
        <v/>
      </c>
      <c r="AB721" s="2405" t="s">
        <v>9081</v>
      </c>
      <c r="AC721" s="19"/>
      <c r="AD721" s="19"/>
      <c r="AE721" s="2850"/>
    </row>
    <row r="722" spans="1:31" ht="12.75" customHeight="1" x14ac:dyDescent="0.2">
      <c r="A722" s="2029">
        <v>211</v>
      </c>
      <c r="B722" s="4995"/>
      <c r="C722" s="2942"/>
      <c r="D722" s="2232" t="s">
        <v>2666</v>
      </c>
      <c r="E722" s="2238">
        <v>30</v>
      </c>
      <c r="F722" s="2233">
        <v>15</v>
      </c>
      <c r="G722" s="2233">
        <v>5</v>
      </c>
      <c r="H722" s="2233">
        <v>5</v>
      </c>
      <c r="I722" s="2233" t="s">
        <v>1813</v>
      </c>
      <c r="J722" s="2233" t="s">
        <v>1769</v>
      </c>
      <c r="K722" s="2770" t="s">
        <v>9394</v>
      </c>
      <c r="L722" s="2233" t="str">
        <f t="shared" si="69"/>
        <v>Distinta</v>
      </c>
      <c r="M722" s="2235">
        <v>11</v>
      </c>
      <c r="N722" s="2235">
        <v>0</v>
      </c>
      <c r="O722" s="2235">
        <v>15</v>
      </c>
      <c r="P722" s="2233"/>
      <c r="Q722" s="2233"/>
      <c r="R722" s="2233" t="s">
        <v>1769</v>
      </c>
      <c r="S722" s="2233" t="s">
        <v>1769</v>
      </c>
      <c r="T722" s="2233" t="s">
        <v>1769</v>
      </c>
      <c r="U722" s="2233"/>
      <c r="V722" s="5047" t="s">
        <v>1769</v>
      </c>
      <c r="W722" s="5047"/>
      <c r="X722" s="5048"/>
      <c r="Z722" s="2881" t="str">
        <f t="shared" si="67"/>
        <v/>
      </c>
      <c r="AB722" s="2405" t="s">
        <v>9082</v>
      </c>
      <c r="AC722" s="19"/>
      <c r="AD722" s="19"/>
      <c r="AE722" s="2850"/>
    </row>
    <row r="723" spans="1:31" ht="12.75" customHeight="1" x14ac:dyDescent="0.2">
      <c r="A723" s="2029">
        <v>211</v>
      </c>
      <c r="B723" s="4995"/>
      <c r="C723" s="2942"/>
      <c r="D723" s="2232" t="s">
        <v>2667</v>
      </c>
      <c r="E723" s="2238">
        <v>50</v>
      </c>
      <c r="F723" s="2233">
        <v>-20</v>
      </c>
      <c r="G723" s="2233">
        <v>10</v>
      </c>
      <c r="H723" s="2233">
        <v>8</v>
      </c>
      <c r="I723" s="2233" t="s">
        <v>1813</v>
      </c>
      <c r="J723" s="2233" t="s">
        <v>1868</v>
      </c>
      <c r="K723" s="2770" t="s">
        <v>9397</v>
      </c>
      <c r="L723" s="2233" t="str">
        <f t="shared" si="69"/>
        <v>Distinta</v>
      </c>
      <c r="M723" s="2235">
        <v>16</v>
      </c>
      <c r="N723" s="2235">
        <v>8</v>
      </c>
      <c r="O723" s="2235">
        <v>25</v>
      </c>
      <c r="P723" s="2233"/>
      <c r="Q723" s="2233"/>
      <c r="R723" s="2233" t="s">
        <v>1769</v>
      </c>
      <c r="S723" s="2233" t="s">
        <v>1769</v>
      </c>
      <c r="T723" s="2233" t="s">
        <v>1769</v>
      </c>
      <c r="U723" s="2233"/>
      <c r="V723" s="5047" t="s">
        <v>2597</v>
      </c>
      <c r="W723" s="5047"/>
      <c r="X723" s="5048"/>
      <c r="Z723" s="2881" t="str">
        <f t="shared" si="67"/>
        <v/>
      </c>
      <c r="AB723" s="2405" t="s">
        <v>9083</v>
      </c>
      <c r="AC723" s="19"/>
      <c r="AD723" s="19"/>
      <c r="AE723" s="2850"/>
    </row>
    <row r="724" spans="1:31" ht="12.75" customHeight="1" x14ac:dyDescent="0.2">
      <c r="A724" s="2029">
        <v>211</v>
      </c>
      <c r="B724" s="4995"/>
      <c r="C724" s="2942"/>
      <c r="D724" s="2232" t="s">
        <v>2668</v>
      </c>
      <c r="E724" s="2238">
        <v>35</v>
      </c>
      <c r="F724" s="2233">
        <v>15</v>
      </c>
      <c r="G724" s="2233">
        <v>4</v>
      </c>
      <c r="H724" s="2233">
        <v>4</v>
      </c>
      <c r="I724" s="2233" t="s">
        <v>1869</v>
      </c>
      <c r="J724" s="2233" t="s">
        <v>1868</v>
      </c>
      <c r="K724" s="2770" t="s">
        <v>9395</v>
      </c>
      <c r="L724" s="2233" t="str">
        <f t="shared" si="69"/>
        <v>Distinta</v>
      </c>
      <c r="M724" s="2235">
        <v>12</v>
      </c>
      <c r="N724" s="2235">
        <v>0</v>
      </c>
      <c r="O724" s="2235">
        <v>25</v>
      </c>
      <c r="P724" s="2233"/>
      <c r="Q724" s="2233"/>
      <c r="R724" s="2233" t="s">
        <v>1769</v>
      </c>
      <c r="S724" s="2233" t="s">
        <v>1769</v>
      </c>
      <c r="T724" s="2233" t="s">
        <v>1769</v>
      </c>
      <c r="U724" s="2233"/>
      <c r="V724" s="5047" t="s">
        <v>2669</v>
      </c>
      <c r="W724" s="5047"/>
      <c r="X724" s="5048"/>
      <c r="Z724" s="2881" t="str">
        <f t="shared" si="67"/>
        <v/>
      </c>
      <c r="AB724" s="2403" t="s">
        <v>9062</v>
      </c>
      <c r="AC724" s="19"/>
      <c r="AD724" s="19"/>
      <c r="AE724" s="2850"/>
    </row>
    <row r="725" spans="1:31" ht="12.75" customHeight="1" x14ac:dyDescent="0.2">
      <c r="A725" s="2029">
        <v>211</v>
      </c>
      <c r="B725" s="4995"/>
      <c r="C725" s="2942"/>
      <c r="D725" s="2232" t="s">
        <v>2670</v>
      </c>
      <c r="E725" s="2238">
        <v>20</v>
      </c>
      <c r="F725" s="2233">
        <v>10</v>
      </c>
      <c r="G725" s="2233">
        <v>4</v>
      </c>
      <c r="H725" s="2233">
        <v>4</v>
      </c>
      <c r="I725" s="2233" t="s">
        <v>1869</v>
      </c>
      <c r="J725" s="2233" t="s">
        <v>1769</v>
      </c>
      <c r="K725" s="2770" t="s">
        <v>9395</v>
      </c>
      <c r="L725" s="2233" t="str">
        <f t="shared" si="69"/>
        <v>Distinta</v>
      </c>
      <c r="M725" s="2235">
        <v>9</v>
      </c>
      <c r="N725" s="2235">
        <v>-2</v>
      </c>
      <c r="O725" s="2235">
        <v>25</v>
      </c>
      <c r="P725" s="2233"/>
      <c r="Q725" s="2233"/>
      <c r="R725" s="2233" t="s">
        <v>1769</v>
      </c>
      <c r="S725" s="2233" t="s">
        <v>1769</v>
      </c>
      <c r="T725" s="2233" t="s">
        <v>1769</v>
      </c>
      <c r="U725" s="2233"/>
      <c r="V725" s="5047" t="s">
        <v>2623</v>
      </c>
      <c r="W725" s="5047"/>
      <c r="X725" s="5048"/>
      <c r="Z725" s="2881" t="str">
        <f t="shared" si="67"/>
        <v/>
      </c>
      <c r="AB725" s="2405" t="s">
        <v>9084</v>
      </c>
      <c r="AC725" s="19"/>
      <c r="AD725" s="19"/>
      <c r="AE725" s="2850"/>
    </row>
    <row r="726" spans="1:31" ht="12.75" customHeight="1" x14ac:dyDescent="0.2">
      <c r="A726" s="2029">
        <v>211</v>
      </c>
      <c r="B726" s="4995"/>
      <c r="C726" s="2942"/>
      <c r="D726" s="2232" t="s">
        <v>2671</v>
      </c>
      <c r="E726" s="2238">
        <v>25</v>
      </c>
      <c r="F726" s="2233">
        <v>20</v>
      </c>
      <c r="G726" s="2233">
        <v>4</v>
      </c>
      <c r="H726" s="2233">
        <v>4</v>
      </c>
      <c r="I726" s="2233" t="s">
        <v>1868</v>
      </c>
      <c r="J726" s="2233" t="s">
        <v>1869</v>
      </c>
      <c r="K726" s="2770" t="s">
        <v>9395</v>
      </c>
      <c r="L726" s="2233" t="str">
        <f t="shared" si="69"/>
        <v>Distinta</v>
      </c>
      <c r="M726" s="2235">
        <v>10</v>
      </c>
      <c r="N726" s="2235">
        <v>1</v>
      </c>
      <c r="O726" s="2235">
        <v>20</v>
      </c>
      <c r="P726" s="2233"/>
      <c r="Q726" s="2233"/>
      <c r="R726" s="2235">
        <v>30</v>
      </c>
      <c r="S726" s="2233" t="s">
        <v>1769</v>
      </c>
      <c r="T726" s="2233">
        <v>20</v>
      </c>
      <c r="U726" s="2233"/>
      <c r="V726" s="5047" t="s">
        <v>2672</v>
      </c>
      <c r="W726" s="5047"/>
      <c r="X726" s="5048"/>
      <c r="Z726" s="2881" t="str">
        <f t="shared" si="67"/>
        <v/>
      </c>
      <c r="AB726" s="2405" t="s">
        <v>9064</v>
      </c>
      <c r="AC726" s="19"/>
      <c r="AD726" s="19"/>
      <c r="AE726" s="2850"/>
    </row>
    <row r="727" spans="1:31" ht="12.75" customHeight="1" x14ac:dyDescent="0.2">
      <c r="A727" s="2029">
        <v>211</v>
      </c>
      <c r="B727" s="4995"/>
      <c r="C727" s="2942"/>
      <c r="D727" s="2232" t="s">
        <v>2673</v>
      </c>
      <c r="E727" s="2238">
        <v>40</v>
      </c>
      <c r="F727" s="2233">
        <v>20</v>
      </c>
      <c r="G727" s="2233">
        <v>3</v>
      </c>
      <c r="H727" s="2233">
        <v>3</v>
      </c>
      <c r="I727" s="2233" t="s">
        <v>1868</v>
      </c>
      <c r="J727" s="2233" t="s">
        <v>1769</v>
      </c>
      <c r="K727" s="2770" t="s">
        <v>9395</v>
      </c>
      <c r="L727" s="2233" t="str">
        <f t="shared" si="69"/>
        <v>Distinta</v>
      </c>
      <c r="M727" s="2235">
        <v>9</v>
      </c>
      <c r="N727" s="2235">
        <v>1</v>
      </c>
      <c r="O727" s="2235">
        <v>40</v>
      </c>
      <c r="P727" s="2233"/>
      <c r="Q727" s="2233"/>
      <c r="R727" s="2233" t="s">
        <v>1769</v>
      </c>
      <c r="S727" s="2233" t="s">
        <v>1769</v>
      </c>
      <c r="T727" s="2233" t="s">
        <v>1769</v>
      </c>
      <c r="U727" s="2233"/>
      <c r="V727" s="5047" t="s">
        <v>2601</v>
      </c>
      <c r="W727" s="5047"/>
      <c r="X727" s="5048"/>
      <c r="Z727" s="2881" t="str">
        <f t="shared" si="67"/>
        <v/>
      </c>
      <c r="AB727" s="2405" t="s">
        <v>9085</v>
      </c>
      <c r="AC727" s="19"/>
      <c r="AD727" s="19"/>
      <c r="AE727" s="2850"/>
    </row>
    <row r="728" spans="1:31" ht="12.75" customHeight="1" x14ac:dyDescent="0.2">
      <c r="A728" s="2029">
        <v>211</v>
      </c>
      <c r="B728" s="4995"/>
      <c r="C728" s="2942"/>
      <c r="D728" s="2232" t="s">
        <v>2674</v>
      </c>
      <c r="E728" s="2238">
        <v>30</v>
      </c>
      <c r="F728" s="2233">
        <v>20</v>
      </c>
      <c r="G728" s="2233">
        <v>4</v>
      </c>
      <c r="H728" s="2233">
        <v>4</v>
      </c>
      <c r="I728" s="2233" t="s">
        <v>1813</v>
      </c>
      <c r="J728" s="2233" t="s">
        <v>1769</v>
      </c>
      <c r="K728" s="2770" t="s">
        <v>9395</v>
      </c>
      <c r="L728" s="2233" t="str">
        <f t="shared" si="69"/>
        <v>Distinta</v>
      </c>
      <c r="M728" s="2235">
        <v>13</v>
      </c>
      <c r="N728" s="2235">
        <v>0</v>
      </c>
      <c r="O728" s="2235">
        <v>25</v>
      </c>
      <c r="P728" s="2233"/>
      <c r="Q728" s="2233"/>
      <c r="R728" s="2233" t="s">
        <v>1769</v>
      </c>
      <c r="S728" s="2233" t="s">
        <v>1769</v>
      </c>
      <c r="T728" s="2233" t="s">
        <v>1769</v>
      </c>
      <c r="U728" s="2233"/>
      <c r="V728" s="5047" t="s">
        <v>2601</v>
      </c>
      <c r="W728" s="5047"/>
      <c r="X728" s="5048"/>
      <c r="Z728" s="2881" t="str">
        <f t="shared" si="67"/>
        <v/>
      </c>
      <c r="AB728" s="2405" t="s">
        <v>9067</v>
      </c>
      <c r="AC728" s="19"/>
      <c r="AD728" s="19"/>
      <c r="AE728" s="2850"/>
    </row>
    <row r="729" spans="1:31" ht="12.75" customHeight="1" x14ac:dyDescent="0.2">
      <c r="A729" s="2029">
        <v>211</v>
      </c>
      <c r="B729" s="4995"/>
      <c r="C729" s="2942"/>
      <c r="D729" s="2232" t="s">
        <v>9059</v>
      </c>
      <c r="E729" s="2238">
        <v>25</v>
      </c>
      <c r="F729" s="2233">
        <v>0</v>
      </c>
      <c r="G729" s="2233">
        <v>5</v>
      </c>
      <c r="H729" s="2233">
        <v>6</v>
      </c>
      <c r="I729" s="2233" t="s">
        <v>1813</v>
      </c>
      <c r="J729" s="2233" t="s">
        <v>1769</v>
      </c>
      <c r="K729" s="2770" t="s">
        <v>9393</v>
      </c>
      <c r="L729" s="2233" t="str">
        <f t="shared" si="69"/>
        <v>Distinta</v>
      </c>
      <c r="M729" s="2235">
        <v>8</v>
      </c>
      <c r="N729" s="2235">
        <v>-1</v>
      </c>
      <c r="O729" s="2235">
        <v>15</v>
      </c>
      <c r="P729" s="2233"/>
      <c r="Q729" s="2233"/>
      <c r="R729" s="2233" t="s">
        <v>1769</v>
      </c>
      <c r="S729" s="2233" t="s">
        <v>1769</v>
      </c>
      <c r="T729" s="2233" t="s">
        <v>1769</v>
      </c>
      <c r="U729" s="2233"/>
      <c r="V729" s="2769" t="s">
        <v>2681</v>
      </c>
      <c r="W729" s="2769"/>
      <c r="X729" s="2945"/>
      <c r="Z729" s="2881" t="str">
        <f t="shared" si="67"/>
        <v/>
      </c>
      <c r="AB729" s="2405" t="s">
        <v>9086</v>
      </c>
      <c r="AC729" s="19"/>
      <c r="AD729" s="19"/>
      <c r="AE729" s="2850"/>
    </row>
    <row r="730" spans="1:31" ht="12.75" customHeight="1" x14ac:dyDescent="0.2">
      <c r="A730" s="2029">
        <v>211</v>
      </c>
      <c r="B730" s="4995"/>
      <c r="C730" s="2942"/>
      <c r="D730" s="2232" t="s">
        <v>9076</v>
      </c>
      <c r="E730" s="2238">
        <v>20</v>
      </c>
      <c r="F730" s="2233">
        <v>15</v>
      </c>
      <c r="G730" s="2233">
        <v>4</v>
      </c>
      <c r="H730" s="2233">
        <v>4</v>
      </c>
      <c r="I730" s="2233" t="s">
        <v>1813</v>
      </c>
      <c r="J730" s="2233" t="s">
        <v>1769</v>
      </c>
      <c r="K730" s="2770" t="s">
        <v>9395</v>
      </c>
      <c r="L730" s="2233" t="str">
        <f t="shared" si="69"/>
        <v>Distinta</v>
      </c>
      <c r="M730" s="2235">
        <v>13</v>
      </c>
      <c r="N730" s="2235">
        <v>2</v>
      </c>
      <c r="O730" s="2235">
        <v>20</v>
      </c>
      <c r="P730" s="2233"/>
      <c r="Q730" s="2233"/>
      <c r="R730" s="2233" t="s">
        <v>1769</v>
      </c>
      <c r="S730" s="2233" t="s">
        <v>1769</v>
      </c>
      <c r="T730" s="2233" t="s">
        <v>1769</v>
      </c>
      <c r="U730" s="2233"/>
      <c r="V730" s="2769" t="s">
        <v>9096</v>
      </c>
      <c r="W730" s="2770"/>
      <c r="X730" s="2947"/>
      <c r="Z730" s="2881" t="str">
        <f t="shared" si="67"/>
        <v/>
      </c>
      <c r="AB730" s="2405" t="s">
        <v>9087</v>
      </c>
      <c r="AC730" s="19"/>
      <c r="AD730" s="19"/>
      <c r="AE730" s="2850"/>
    </row>
    <row r="731" spans="1:31" ht="12.75" customHeight="1" x14ac:dyDescent="0.2">
      <c r="A731" s="2029">
        <v>211</v>
      </c>
      <c r="B731" s="4995"/>
      <c r="C731" s="2942"/>
      <c r="D731" s="2232" t="s">
        <v>9077</v>
      </c>
      <c r="E731" s="2238">
        <v>40</v>
      </c>
      <c r="F731" s="2233">
        <v>5</v>
      </c>
      <c r="G731" s="2233">
        <v>4</v>
      </c>
      <c r="H731" s="2233">
        <v>4</v>
      </c>
      <c r="I731" s="2233" t="s">
        <v>1868</v>
      </c>
      <c r="J731" s="2233" t="s">
        <v>1869</v>
      </c>
      <c r="K731" s="2770" t="s">
        <v>9395</v>
      </c>
      <c r="L731" s="2233" t="str">
        <f t="shared" si="69"/>
        <v>Distinta</v>
      </c>
      <c r="M731" s="2235">
        <v>12</v>
      </c>
      <c r="N731" s="2235">
        <v>1</v>
      </c>
      <c r="O731" s="2235">
        <v>20</v>
      </c>
      <c r="P731" s="2233"/>
      <c r="Q731" s="2233"/>
      <c r="R731" s="2233" t="s">
        <v>1769</v>
      </c>
      <c r="S731" s="2233" t="s">
        <v>1769</v>
      </c>
      <c r="T731" s="2233" t="s">
        <v>1769</v>
      </c>
      <c r="U731" s="2233"/>
      <c r="V731" s="2769" t="s">
        <v>1769</v>
      </c>
      <c r="W731" s="2769"/>
      <c r="X731" s="2945"/>
      <c r="Z731" s="2881" t="str">
        <f t="shared" ref="Z731:Z754" si="70">IF(AND(K731&lt;&gt;"Natural/-",ISNUMBER(SEARCH(D731,Armas_Conocidas))),", "&amp;K731,"")</f>
        <v/>
      </c>
      <c r="AB731" s="2406" t="s">
        <v>2710</v>
      </c>
      <c r="AC731" s="19"/>
      <c r="AD731" s="19"/>
      <c r="AE731" s="2850"/>
    </row>
    <row r="732" spans="1:31" ht="12.75" customHeight="1" x14ac:dyDescent="0.2">
      <c r="A732" s="2029">
        <v>211</v>
      </c>
      <c r="B732" s="4995"/>
      <c r="C732" s="2942"/>
      <c r="D732" s="2232" t="s">
        <v>9078</v>
      </c>
      <c r="E732" s="2238">
        <v>30</v>
      </c>
      <c r="F732" s="2233">
        <v>0</v>
      </c>
      <c r="G732" s="2233">
        <v>6</v>
      </c>
      <c r="H732" s="2233">
        <v>6</v>
      </c>
      <c r="I732" s="2233" t="s">
        <v>1813</v>
      </c>
      <c r="J732" s="2233" t="s">
        <v>1769</v>
      </c>
      <c r="K732" s="2770" t="s">
        <v>9394</v>
      </c>
      <c r="L732" s="2233" t="str">
        <f t="shared" si="69"/>
        <v>Distinta</v>
      </c>
      <c r="M732" s="2235">
        <v>13</v>
      </c>
      <c r="N732" s="2235">
        <v>3</v>
      </c>
      <c r="O732" s="2235">
        <v>20</v>
      </c>
      <c r="P732" s="2233"/>
      <c r="Q732" s="2233"/>
      <c r="R732" s="2233" t="s">
        <v>1769</v>
      </c>
      <c r="S732" s="2233" t="s">
        <v>1769</v>
      </c>
      <c r="T732" s="2233" t="s">
        <v>1769</v>
      </c>
      <c r="U732" s="2233"/>
      <c r="V732" s="2770" t="s">
        <v>9097</v>
      </c>
      <c r="W732" s="2769"/>
      <c r="X732" s="2945"/>
      <c r="Z732" s="2881" t="str">
        <f t="shared" si="70"/>
        <v/>
      </c>
      <c r="AB732" s="2406" t="s">
        <v>2734</v>
      </c>
      <c r="AC732" s="19"/>
      <c r="AD732" s="19"/>
      <c r="AE732" s="2850"/>
    </row>
    <row r="733" spans="1:31" ht="12.75" customHeight="1" x14ac:dyDescent="0.2">
      <c r="A733" s="2029">
        <v>211</v>
      </c>
      <c r="B733" s="4995"/>
      <c r="C733" s="2942"/>
      <c r="D733" s="2232" t="s">
        <v>9079</v>
      </c>
      <c r="E733" s="2238">
        <v>20</v>
      </c>
      <c r="F733" s="2233">
        <v>15</v>
      </c>
      <c r="G733" s="2233">
        <v>4</v>
      </c>
      <c r="H733" s="2233">
        <v>4</v>
      </c>
      <c r="I733" s="2233" t="s">
        <v>1813</v>
      </c>
      <c r="J733" s="2233" t="s">
        <v>1769</v>
      </c>
      <c r="K733" s="2770" t="s">
        <v>9396</v>
      </c>
      <c r="L733" s="2233" t="str">
        <f t="shared" si="69"/>
        <v>Distinta</v>
      </c>
      <c r="M733" s="2235">
        <v>13</v>
      </c>
      <c r="N733" s="2235">
        <v>3</v>
      </c>
      <c r="O733" s="2235">
        <v>20</v>
      </c>
      <c r="P733" s="2233"/>
      <c r="Q733" s="2233"/>
      <c r="R733" s="2233" t="s">
        <v>1769</v>
      </c>
      <c r="S733" s="2233" t="s">
        <v>1769</v>
      </c>
      <c r="T733" s="2233" t="s">
        <v>1769</v>
      </c>
      <c r="U733" s="2233"/>
      <c r="V733" s="2769" t="s">
        <v>1769</v>
      </c>
      <c r="W733" s="2769"/>
      <c r="X733" s="2945"/>
      <c r="Z733" s="2881" t="str">
        <f t="shared" si="70"/>
        <v/>
      </c>
      <c r="AB733" s="2405" t="s">
        <v>2732</v>
      </c>
      <c r="AC733" s="19"/>
      <c r="AD733" s="19"/>
      <c r="AE733" s="2850"/>
    </row>
    <row r="734" spans="1:31" ht="12.75" customHeight="1" x14ac:dyDescent="0.2">
      <c r="A734" s="2029">
        <v>211</v>
      </c>
      <c r="B734" s="4995"/>
      <c r="C734" s="2942"/>
      <c r="D734" s="2232" t="s">
        <v>9080</v>
      </c>
      <c r="E734" s="2238">
        <v>30</v>
      </c>
      <c r="F734" s="2233">
        <v>15</v>
      </c>
      <c r="G734" s="2233">
        <v>4</v>
      </c>
      <c r="H734" s="2233">
        <v>4</v>
      </c>
      <c r="I734" s="2233" t="s">
        <v>1869</v>
      </c>
      <c r="J734" s="2233" t="s">
        <v>1868</v>
      </c>
      <c r="K734" s="2770" t="s">
        <v>9395</v>
      </c>
      <c r="L734" s="2233" t="str">
        <f t="shared" si="69"/>
        <v>Distinta</v>
      </c>
      <c r="M734" s="2235">
        <v>11</v>
      </c>
      <c r="N734" s="2235">
        <v>1</v>
      </c>
      <c r="O734" s="2235">
        <v>20</v>
      </c>
      <c r="P734" s="2233"/>
      <c r="Q734" s="2233"/>
      <c r="R734" s="2233" t="s">
        <v>1769</v>
      </c>
      <c r="S734" s="2233" t="s">
        <v>1769</v>
      </c>
      <c r="T734" s="2233" t="s">
        <v>1769</v>
      </c>
      <c r="U734" s="2233"/>
      <c r="V734" s="2769" t="s">
        <v>2601</v>
      </c>
      <c r="W734" s="2769"/>
      <c r="X734" s="2945"/>
      <c r="Z734" s="2881" t="str">
        <f t="shared" si="70"/>
        <v/>
      </c>
      <c r="AB734" s="2405" t="s">
        <v>2720</v>
      </c>
      <c r="AC734" s="19"/>
      <c r="AD734" s="19"/>
      <c r="AE734" s="2850"/>
    </row>
    <row r="735" spans="1:31" ht="12.75" customHeight="1" x14ac:dyDescent="0.2">
      <c r="A735" s="2029">
        <v>211</v>
      </c>
      <c r="B735" s="4995"/>
      <c r="C735" s="2942"/>
      <c r="D735" s="2232" t="s">
        <v>9081</v>
      </c>
      <c r="E735" s="2238">
        <v>35</v>
      </c>
      <c r="F735" s="2233">
        <v>-10</v>
      </c>
      <c r="G735" s="2233">
        <v>4</v>
      </c>
      <c r="H735" s="2233">
        <v>4</v>
      </c>
      <c r="I735" s="2233" t="s">
        <v>1869</v>
      </c>
      <c r="J735" s="2233" t="s">
        <v>1769</v>
      </c>
      <c r="K735" s="2770" t="s">
        <v>9390</v>
      </c>
      <c r="L735" s="2233" t="str">
        <f t="shared" si="69"/>
        <v>Distinta</v>
      </c>
      <c r="M735" s="2235">
        <v>13</v>
      </c>
      <c r="N735" s="2235">
        <v>2</v>
      </c>
      <c r="O735" s="2235">
        <v>25</v>
      </c>
      <c r="P735" s="2233"/>
      <c r="Q735" s="2233"/>
      <c r="R735" s="2233" t="s">
        <v>1769</v>
      </c>
      <c r="S735" s="2233" t="s">
        <v>1769</v>
      </c>
      <c r="T735" s="2233" t="s">
        <v>1769</v>
      </c>
      <c r="U735" s="2233"/>
      <c r="V735" s="2769" t="s">
        <v>2623</v>
      </c>
      <c r="W735" s="2769"/>
      <c r="X735" s="2945"/>
      <c r="Z735" s="2881" t="str">
        <f t="shared" si="70"/>
        <v/>
      </c>
      <c r="AB735" s="2405" t="s">
        <v>2722</v>
      </c>
      <c r="AC735" s="19"/>
      <c r="AD735" s="19"/>
      <c r="AE735" s="2850"/>
    </row>
    <row r="736" spans="1:31" ht="12.75" customHeight="1" x14ac:dyDescent="0.2">
      <c r="A736" s="2029">
        <v>211</v>
      </c>
      <c r="B736" s="4995"/>
      <c r="C736" s="2942"/>
      <c r="D736" s="2232" t="s">
        <v>9082</v>
      </c>
      <c r="E736" s="2238">
        <v>25</v>
      </c>
      <c r="F736" s="2233">
        <v>20</v>
      </c>
      <c r="G736" s="2233">
        <v>4</v>
      </c>
      <c r="H736" s="2233">
        <v>4</v>
      </c>
      <c r="I736" s="2233" t="s">
        <v>1869</v>
      </c>
      <c r="J736" s="2233" t="s">
        <v>1769</v>
      </c>
      <c r="K736" s="2770" t="s">
        <v>9395</v>
      </c>
      <c r="L736" s="2233" t="str">
        <f t="shared" si="69"/>
        <v>Distinta</v>
      </c>
      <c r="M736" s="2235">
        <v>10</v>
      </c>
      <c r="N736" s="2235">
        <v>2</v>
      </c>
      <c r="O736" s="2235">
        <v>15</v>
      </c>
      <c r="P736" s="2233"/>
      <c r="Q736" s="2233"/>
      <c r="R736" s="2233">
        <v>40</v>
      </c>
      <c r="S736" s="2233" t="s">
        <v>1769</v>
      </c>
      <c r="T736" s="2233">
        <v>20</v>
      </c>
      <c r="U736" s="2233"/>
      <c r="V736" s="2769" t="s">
        <v>2595</v>
      </c>
      <c r="W736" s="2769"/>
      <c r="X736" s="2945"/>
      <c r="Z736" s="2881" t="str">
        <f t="shared" si="70"/>
        <v/>
      </c>
      <c r="AB736" s="2405" t="s">
        <v>2726</v>
      </c>
      <c r="AC736" s="19"/>
      <c r="AD736" s="19"/>
      <c r="AE736" s="2850"/>
    </row>
    <row r="737" spans="1:31" ht="12.75" customHeight="1" x14ac:dyDescent="0.2">
      <c r="A737" s="2029">
        <v>211</v>
      </c>
      <c r="B737" s="4995"/>
      <c r="C737" s="2942"/>
      <c r="D737" s="2232" t="s">
        <v>9083</v>
      </c>
      <c r="E737" s="2238">
        <v>25</v>
      </c>
      <c r="F737" s="2233">
        <v>10</v>
      </c>
      <c r="G737" s="2233">
        <v>4</v>
      </c>
      <c r="H737" s="2233">
        <v>4</v>
      </c>
      <c r="I737" s="2233" t="s">
        <v>1869</v>
      </c>
      <c r="J737" s="2233" t="s">
        <v>1769</v>
      </c>
      <c r="K737" s="2770" t="s">
        <v>9407</v>
      </c>
      <c r="L737" s="2233" t="str">
        <f t="shared" si="69"/>
        <v>Distinta</v>
      </c>
      <c r="M737" s="2235">
        <v>9</v>
      </c>
      <c r="N737" s="2235">
        <v>-3</v>
      </c>
      <c r="O737" s="2235">
        <v>20</v>
      </c>
      <c r="P737" s="2233"/>
      <c r="Q737" s="2233"/>
      <c r="R737" s="2233" t="s">
        <v>1769</v>
      </c>
      <c r="S737" s="2233" t="s">
        <v>1769</v>
      </c>
      <c r="T737" s="2233" t="s">
        <v>1769</v>
      </c>
      <c r="U737" s="2233"/>
      <c r="V737" s="2769" t="s">
        <v>9098</v>
      </c>
      <c r="W737" s="2769"/>
      <c r="X737" s="2945"/>
      <c r="Z737" s="2881" t="str">
        <f t="shared" si="70"/>
        <v/>
      </c>
      <c r="AB737" s="2405" t="s">
        <v>2737</v>
      </c>
      <c r="AC737" s="19"/>
      <c r="AD737" s="19"/>
      <c r="AE737" s="2850"/>
    </row>
    <row r="738" spans="1:31" ht="12.75" customHeight="1" x14ac:dyDescent="0.2">
      <c r="A738" s="2029">
        <v>211</v>
      </c>
      <c r="B738" s="4995"/>
      <c r="C738" s="2942"/>
      <c r="D738" s="2232" t="s">
        <v>9060</v>
      </c>
      <c r="E738" s="2238">
        <v>40</v>
      </c>
      <c r="F738" s="2233">
        <v>-5</v>
      </c>
      <c r="G738" s="2233">
        <v>6</v>
      </c>
      <c r="H738" s="2233">
        <v>6</v>
      </c>
      <c r="I738" s="2233" t="s">
        <v>1868</v>
      </c>
      <c r="J738" s="2233" t="s">
        <v>1769</v>
      </c>
      <c r="K738" s="2770" t="s">
        <v>9390</v>
      </c>
      <c r="L738" s="2233" t="str">
        <f t="shared" si="69"/>
        <v>Distinta</v>
      </c>
      <c r="M738" s="2235">
        <v>13</v>
      </c>
      <c r="N738" s="2235">
        <v>3</v>
      </c>
      <c r="O738" s="2235">
        <v>25</v>
      </c>
      <c r="P738" s="2233"/>
      <c r="Q738" s="2233"/>
      <c r="R738" s="2233" t="s">
        <v>1769</v>
      </c>
      <c r="S738" s="2233" t="s">
        <v>1769</v>
      </c>
      <c r="T738" s="2233" t="s">
        <v>1769</v>
      </c>
      <c r="U738" s="2233"/>
      <c r="V738" s="2770" t="s">
        <v>9099</v>
      </c>
      <c r="W738" s="2769"/>
      <c r="X738" s="2945"/>
      <c r="Z738" s="2881" t="str">
        <f t="shared" si="70"/>
        <v/>
      </c>
      <c r="AB738" s="2403" t="s">
        <v>2735</v>
      </c>
      <c r="AC738" s="19"/>
      <c r="AD738" s="19"/>
      <c r="AE738" s="2850"/>
    </row>
    <row r="739" spans="1:31" ht="12.75" customHeight="1" x14ac:dyDescent="0.2">
      <c r="A739" s="2029">
        <v>211</v>
      </c>
      <c r="B739" s="4995"/>
      <c r="C739" s="2942"/>
      <c r="D739" s="2232" t="s">
        <v>9061</v>
      </c>
      <c r="E739" s="2238">
        <v>40</v>
      </c>
      <c r="F739" s="2233">
        <v>10</v>
      </c>
      <c r="G739" s="2233">
        <v>6</v>
      </c>
      <c r="H739" s="2233">
        <v>6</v>
      </c>
      <c r="I739" s="2233" t="s">
        <v>1868</v>
      </c>
      <c r="J739" s="2233" t="s">
        <v>1769</v>
      </c>
      <c r="K739" s="2770" t="s">
        <v>9390</v>
      </c>
      <c r="L739" s="2233" t="str">
        <f t="shared" si="69"/>
        <v>Distinta</v>
      </c>
      <c r="M739" s="2235">
        <v>12</v>
      </c>
      <c r="N739" s="2235">
        <v>2</v>
      </c>
      <c r="O739" s="2235">
        <v>20</v>
      </c>
      <c r="P739" s="2233"/>
      <c r="Q739" s="2233"/>
      <c r="R739" s="2233" t="s">
        <v>1769</v>
      </c>
      <c r="S739" s="2233" t="s">
        <v>1769</v>
      </c>
      <c r="T739" s="2233" t="s">
        <v>1769</v>
      </c>
      <c r="U739" s="2233"/>
      <c r="V739" s="2769" t="s">
        <v>9100</v>
      </c>
      <c r="W739" s="2769"/>
      <c r="X739" s="2945"/>
      <c r="Z739" s="2881" t="str">
        <f t="shared" si="70"/>
        <v/>
      </c>
      <c r="AB739" s="2405" t="s">
        <v>2731</v>
      </c>
      <c r="AC739" s="19"/>
      <c r="AD739" s="19"/>
      <c r="AE739" s="2850"/>
    </row>
    <row r="740" spans="1:31" ht="12.75" customHeight="1" x14ac:dyDescent="0.2">
      <c r="A740" s="2029">
        <v>211</v>
      </c>
      <c r="B740" s="4995"/>
      <c r="C740" s="2942"/>
      <c r="D740" s="2232" t="s">
        <v>9062</v>
      </c>
      <c r="E740" s="2238">
        <v>55</v>
      </c>
      <c r="F740" s="2233">
        <v>-10</v>
      </c>
      <c r="G740" s="2233">
        <v>6</v>
      </c>
      <c r="H740" s="2233">
        <v>8</v>
      </c>
      <c r="I740" s="2233" t="s">
        <v>1868</v>
      </c>
      <c r="J740" s="2233" t="s">
        <v>1869</v>
      </c>
      <c r="K740" s="2770" t="s">
        <v>9390</v>
      </c>
      <c r="L740" s="2233" t="str">
        <f t="shared" si="69"/>
        <v>Distinta</v>
      </c>
      <c r="M740" s="2235">
        <v>13</v>
      </c>
      <c r="N740" s="2235">
        <v>3</v>
      </c>
      <c r="O740" s="2235">
        <v>25</v>
      </c>
      <c r="P740" s="2233"/>
      <c r="Q740" s="2233"/>
      <c r="R740" s="2233" t="s">
        <v>1769</v>
      </c>
      <c r="S740" s="2233" t="s">
        <v>1769</v>
      </c>
      <c r="T740" s="2233" t="s">
        <v>1769</v>
      </c>
      <c r="U740" s="2233"/>
      <c r="V740" s="2769" t="s">
        <v>2597</v>
      </c>
      <c r="W740" s="2769"/>
      <c r="X740" s="2945"/>
      <c r="Z740" s="2881" t="str">
        <f t="shared" si="70"/>
        <v/>
      </c>
      <c r="AB740" s="2405" t="s">
        <v>2729</v>
      </c>
      <c r="AC740" s="19"/>
      <c r="AD740" s="19"/>
      <c r="AE740" s="2850"/>
    </row>
    <row r="741" spans="1:31" ht="12.75" customHeight="1" x14ac:dyDescent="0.2">
      <c r="A741" s="2029">
        <v>211</v>
      </c>
      <c r="B741" s="4995"/>
      <c r="C741" s="2942"/>
      <c r="D741" s="2232" t="s">
        <v>9084</v>
      </c>
      <c r="E741" s="2238">
        <v>45</v>
      </c>
      <c r="F741" s="2233">
        <v>10</v>
      </c>
      <c r="G741" s="2233">
        <v>4</v>
      </c>
      <c r="H741" s="2233">
        <v>4</v>
      </c>
      <c r="I741" s="2233" t="s">
        <v>1868</v>
      </c>
      <c r="J741" s="2233" t="s">
        <v>1869</v>
      </c>
      <c r="K741" s="2770" t="s">
        <v>9393</v>
      </c>
      <c r="L741" s="2233" t="str">
        <f t="shared" si="69"/>
        <v>Distinta</v>
      </c>
      <c r="M741" s="2235">
        <v>12</v>
      </c>
      <c r="N741" s="2235">
        <v>1</v>
      </c>
      <c r="O741" s="2235">
        <v>25</v>
      </c>
      <c r="P741" s="2233"/>
      <c r="Q741" s="2233"/>
      <c r="R741" s="2233" t="s">
        <v>1769</v>
      </c>
      <c r="S741" s="2233" t="s">
        <v>1769</v>
      </c>
      <c r="T741" s="2233" t="s">
        <v>1769</v>
      </c>
      <c r="U741" s="2233"/>
      <c r="V741" s="2769" t="s">
        <v>1769</v>
      </c>
      <c r="W741" s="2769"/>
      <c r="X741" s="2945"/>
      <c r="Z741" s="2881" t="str">
        <f t="shared" si="70"/>
        <v/>
      </c>
      <c r="AB741" s="2405" t="s">
        <v>2717</v>
      </c>
      <c r="AC741" s="19"/>
      <c r="AD741" s="19"/>
      <c r="AE741" s="2850"/>
    </row>
    <row r="742" spans="1:31" ht="12.75" customHeight="1" x14ac:dyDescent="0.2">
      <c r="A742" s="2029">
        <v>211</v>
      </c>
      <c r="B742" s="4995"/>
      <c r="C742" s="2942"/>
      <c r="D742" s="2232" t="s">
        <v>9064</v>
      </c>
      <c r="E742" s="2238">
        <v>60</v>
      </c>
      <c r="F742" s="2233">
        <v>-20</v>
      </c>
      <c r="G742" s="2233">
        <v>7</v>
      </c>
      <c r="H742" s="2233">
        <v>9</v>
      </c>
      <c r="I742" s="2233" t="s">
        <v>1868</v>
      </c>
      <c r="J742" s="2233" t="s">
        <v>1769</v>
      </c>
      <c r="K742" s="2770" t="s">
        <v>9398</v>
      </c>
      <c r="L742" s="2233" t="str">
        <f t="shared" si="69"/>
        <v>Distinta</v>
      </c>
      <c r="M742" s="2235">
        <v>16</v>
      </c>
      <c r="N742" s="2235">
        <v>7</v>
      </c>
      <c r="O742" s="2235">
        <v>30</v>
      </c>
      <c r="P742" s="2233"/>
      <c r="Q742" s="2233"/>
      <c r="R742" s="2233" t="s">
        <v>1769</v>
      </c>
      <c r="S742" s="2233" t="s">
        <v>1769</v>
      </c>
      <c r="T742" s="2233" t="s">
        <v>1769</v>
      </c>
      <c r="U742" s="2233"/>
      <c r="V742" s="2769" t="s">
        <v>2597</v>
      </c>
      <c r="W742" s="2769"/>
      <c r="X742" s="2945"/>
      <c r="Z742" s="2881" t="str">
        <f t="shared" si="70"/>
        <v/>
      </c>
      <c r="AB742" s="2405" t="s">
        <v>2725</v>
      </c>
      <c r="AC742" s="19"/>
      <c r="AD742" s="19"/>
      <c r="AE742" s="2850"/>
    </row>
    <row r="743" spans="1:31" ht="12.75" customHeight="1" thickBot="1" x14ac:dyDescent="0.25">
      <c r="A743" s="2029">
        <v>211</v>
      </c>
      <c r="B743" s="4995"/>
      <c r="C743" s="2942"/>
      <c r="D743" s="2232" t="s">
        <v>9085</v>
      </c>
      <c r="E743" s="2238">
        <v>50</v>
      </c>
      <c r="F743" s="2233">
        <v>-10</v>
      </c>
      <c r="G743" s="2233">
        <v>6</v>
      </c>
      <c r="H743" s="2233">
        <v>6</v>
      </c>
      <c r="I743" s="2233" t="s">
        <v>1868</v>
      </c>
      <c r="J743" s="2233" t="s">
        <v>1869</v>
      </c>
      <c r="K743" s="2770" t="s">
        <v>9390</v>
      </c>
      <c r="L743" s="2233" t="str">
        <f t="shared" si="69"/>
        <v>Distinta</v>
      </c>
      <c r="M743" s="2234">
        <v>10</v>
      </c>
      <c r="N743" s="2235">
        <v>2</v>
      </c>
      <c r="O743" s="2235">
        <v>25</v>
      </c>
      <c r="P743" s="2235"/>
      <c r="Q743" s="2233"/>
      <c r="R743" s="2233" t="s">
        <v>1769</v>
      </c>
      <c r="S743" s="2233" t="s">
        <v>1769</v>
      </c>
      <c r="T743" s="2233" t="s">
        <v>1769</v>
      </c>
      <c r="U743" s="2233"/>
      <c r="V743" s="2769" t="s">
        <v>2623</v>
      </c>
      <c r="W743" s="2769"/>
      <c r="X743" s="2945"/>
      <c r="Z743" s="2881" t="str">
        <f t="shared" si="70"/>
        <v/>
      </c>
      <c r="AB743" s="2407" t="s">
        <v>2711</v>
      </c>
      <c r="AC743" s="2408"/>
      <c r="AD743" s="2408"/>
      <c r="AE743" s="2851"/>
    </row>
    <row r="744" spans="1:31" ht="12.75" customHeight="1" x14ac:dyDescent="0.2">
      <c r="A744" s="2029">
        <v>211</v>
      </c>
      <c r="B744" s="4995"/>
      <c r="C744" s="2942"/>
      <c r="D744" s="2232" t="s">
        <v>9065</v>
      </c>
      <c r="E744" s="2238">
        <v>20</v>
      </c>
      <c r="F744" s="2233">
        <v>0</v>
      </c>
      <c r="G744" s="2233">
        <v>5</v>
      </c>
      <c r="H744" s="2233">
        <v>5</v>
      </c>
      <c r="I744" s="2233" t="s">
        <v>1813</v>
      </c>
      <c r="J744" s="2233" t="s">
        <v>1769</v>
      </c>
      <c r="K744" s="2770" t="s">
        <v>9390</v>
      </c>
      <c r="L744" s="2233" t="str">
        <f t="shared" si="69"/>
        <v>Distinta</v>
      </c>
      <c r="M744" s="2235">
        <v>13</v>
      </c>
      <c r="N744" s="2235">
        <v>2</v>
      </c>
      <c r="O744" s="2235">
        <v>20</v>
      </c>
      <c r="P744" s="2233"/>
      <c r="Q744" s="2233"/>
      <c r="R744" s="2233" t="s">
        <v>1769</v>
      </c>
      <c r="S744" s="2233" t="s">
        <v>1769</v>
      </c>
      <c r="T744" s="2233" t="s">
        <v>1769</v>
      </c>
      <c r="U744" s="2233"/>
      <c r="V744" s="2770" t="s">
        <v>9101</v>
      </c>
      <c r="W744" s="2769"/>
      <c r="X744" s="2945"/>
      <c r="Z744" s="2881" t="str">
        <f t="shared" si="70"/>
        <v/>
      </c>
      <c r="AB744" s="413"/>
      <c r="AC744" s="2795"/>
    </row>
    <row r="745" spans="1:31" ht="12.75" customHeight="1" x14ac:dyDescent="0.2">
      <c r="A745" s="2029">
        <v>211</v>
      </c>
      <c r="B745" s="4995"/>
      <c r="C745" s="2942"/>
      <c r="D745" s="2232" t="s">
        <v>9067</v>
      </c>
      <c r="E745" s="2238">
        <v>80</v>
      </c>
      <c r="F745" s="2233">
        <v>-50</v>
      </c>
      <c r="G745" s="2233">
        <v>8</v>
      </c>
      <c r="H745" s="2233">
        <v>10</v>
      </c>
      <c r="I745" s="2233" t="s">
        <v>1813</v>
      </c>
      <c r="J745" s="2233" t="s">
        <v>1769</v>
      </c>
      <c r="K745" s="2770" t="s">
        <v>9396</v>
      </c>
      <c r="L745" s="2233" t="str">
        <f t="shared" si="69"/>
        <v>Distinta</v>
      </c>
      <c r="M745" s="2235">
        <v>13</v>
      </c>
      <c r="N745" s="2235">
        <v>4</v>
      </c>
      <c r="O745" s="2235">
        <v>30</v>
      </c>
      <c r="P745" s="2233"/>
      <c r="Q745" s="2233"/>
      <c r="R745" s="2233" t="s">
        <v>1769</v>
      </c>
      <c r="S745" s="2233" t="s">
        <v>1769</v>
      </c>
      <c r="T745" s="2233" t="s">
        <v>1769</v>
      </c>
      <c r="U745" s="2233"/>
      <c r="V745" s="2769" t="s">
        <v>2597</v>
      </c>
      <c r="W745" s="2769"/>
      <c r="X745" s="2945"/>
      <c r="Z745" s="2881" t="str">
        <f t="shared" si="70"/>
        <v/>
      </c>
      <c r="AB745" s="413"/>
      <c r="AC745" s="2795"/>
    </row>
    <row r="746" spans="1:31" ht="12.75" customHeight="1" x14ac:dyDescent="0.2">
      <c r="A746" s="2029">
        <v>211</v>
      </c>
      <c r="B746" s="4995"/>
      <c r="C746" s="2942"/>
      <c r="D746" s="2232" t="s">
        <v>9086</v>
      </c>
      <c r="E746" s="2238">
        <v>25</v>
      </c>
      <c r="F746" s="2233">
        <v>10</v>
      </c>
      <c r="G746" s="2233">
        <v>4</v>
      </c>
      <c r="H746" s="2233">
        <v>4</v>
      </c>
      <c r="I746" s="2233" t="s">
        <v>1869</v>
      </c>
      <c r="J746" s="2233" t="s">
        <v>1769</v>
      </c>
      <c r="K746" s="2770" t="s">
        <v>9390</v>
      </c>
      <c r="L746" s="2233" t="str">
        <f t="shared" si="69"/>
        <v>Distinta</v>
      </c>
      <c r="M746" s="2235">
        <v>10</v>
      </c>
      <c r="N746" s="2235">
        <v>-2</v>
      </c>
      <c r="O746" s="2235">
        <v>20</v>
      </c>
      <c r="P746" s="2233"/>
      <c r="Q746" s="2233"/>
      <c r="R746" s="2233">
        <v>100</v>
      </c>
      <c r="S746" s="2233" t="s">
        <v>1769</v>
      </c>
      <c r="T746" s="2233">
        <v>30</v>
      </c>
      <c r="U746" s="2233"/>
      <c r="V746" s="2769" t="s">
        <v>2619</v>
      </c>
      <c r="W746" s="2769"/>
      <c r="X746" s="2945"/>
      <c r="Z746" s="2881" t="str">
        <f t="shared" si="70"/>
        <v/>
      </c>
      <c r="AB746" s="413"/>
      <c r="AC746" s="2795"/>
    </row>
    <row r="747" spans="1:31" ht="12.75" customHeight="1" x14ac:dyDescent="0.2">
      <c r="A747" s="2029">
        <v>211</v>
      </c>
      <c r="B747" s="4995"/>
      <c r="C747" s="2942"/>
      <c r="D747" s="2232" t="s">
        <v>9087</v>
      </c>
      <c r="E747" s="2238">
        <v>45</v>
      </c>
      <c r="F747" s="2233">
        <v>0</v>
      </c>
      <c r="G747" s="2233">
        <v>4</v>
      </c>
      <c r="H747" s="2233">
        <v>4</v>
      </c>
      <c r="I747" s="2233" t="s">
        <v>1868</v>
      </c>
      <c r="J747" s="2233" t="s">
        <v>1769</v>
      </c>
      <c r="K747" s="2770" t="s">
        <v>9393</v>
      </c>
      <c r="L747" s="2233" t="str">
        <f t="shared" si="69"/>
        <v>Distinta</v>
      </c>
      <c r="M747" s="2235">
        <v>11</v>
      </c>
      <c r="N747" s="2235">
        <v>3</v>
      </c>
      <c r="O747" s="2235">
        <v>40</v>
      </c>
      <c r="P747" s="2233"/>
      <c r="Q747" s="2233"/>
      <c r="R747" s="2233" t="s">
        <v>1769</v>
      </c>
      <c r="S747" s="2233" t="s">
        <v>1769</v>
      </c>
      <c r="T747" s="2233" t="s">
        <v>1769</v>
      </c>
      <c r="U747" s="2233"/>
      <c r="V747" s="2769" t="s">
        <v>1769</v>
      </c>
      <c r="W747" s="2769"/>
      <c r="X747" s="2945"/>
      <c r="Z747" s="2881" t="str">
        <f t="shared" si="70"/>
        <v/>
      </c>
      <c r="AB747" s="413"/>
      <c r="AC747" s="2795"/>
    </row>
    <row r="748" spans="1:31" ht="12.75" customHeight="1" x14ac:dyDescent="0.2">
      <c r="A748" s="2029">
        <v>211</v>
      </c>
      <c r="B748" s="4995"/>
      <c r="C748" s="2942"/>
      <c r="D748" s="2232" t="s">
        <v>2675</v>
      </c>
      <c r="E748" s="2236"/>
      <c r="F748" s="2236"/>
      <c r="G748" s="2236"/>
      <c r="H748" s="2236"/>
      <c r="I748" s="2236"/>
      <c r="J748" s="2236"/>
      <c r="K748" s="2637" t="s">
        <v>9388</v>
      </c>
      <c r="L748" s="2236"/>
      <c r="M748" s="2236"/>
      <c r="N748" s="2236"/>
      <c r="O748" s="2236"/>
      <c r="P748" s="2236"/>
      <c r="Q748" s="2236"/>
      <c r="R748" s="2236"/>
      <c r="S748" s="2236"/>
      <c r="T748" s="2236"/>
      <c r="U748" s="2236"/>
      <c r="V748" s="2237"/>
      <c r="W748" s="2237"/>
      <c r="X748" s="2944"/>
      <c r="Z748" s="2881" t="str">
        <f t="shared" si="70"/>
        <v/>
      </c>
      <c r="AB748" s="413"/>
      <c r="AC748" s="2795"/>
    </row>
    <row r="749" spans="1:31" ht="12.75" customHeight="1" x14ac:dyDescent="0.2">
      <c r="A749" s="2029">
        <v>211</v>
      </c>
      <c r="B749" s="4995"/>
      <c r="C749" s="2942"/>
      <c r="D749" s="2232" t="s">
        <v>2676</v>
      </c>
      <c r="E749" s="2233">
        <v>0</v>
      </c>
      <c r="F749" s="2233">
        <v>-30</v>
      </c>
      <c r="G749" s="2233">
        <v>7</v>
      </c>
      <c r="H749" s="2233">
        <v>7</v>
      </c>
      <c r="I749" s="2233" t="s">
        <v>1869</v>
      </c>
      <c r="J749" s="2233" t="s">
        <v>1769</v>
      </c>
      <c r="K749" s="2770" t="s">
        <v>9408</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9" t="s">
        <v>1906</v>
      </c>
      <c r="W749" s="2769"/>
      <c r="X749" s="2945"/>
      <c r="Z749" s="2881" t="str">
        <f t="shared" si="70"/>
        <v/>
      </c>
      <c r="AB749" s="413"/>
      <c r="AC749" s="2795"/>
    </row>
    <row r="750" spans="1:31" ht="12.75" customHeight="1" x14ac:dyDescent="0.2">
      <c r="A750" s="2029">
        <v>211</v>
      </c>
      <c r="B750" s="4995"/>
      <c r="C750" s="2942"/>
      <c r="D750" s="2232" t="s">
        <v>2678</v>
      </c>
      <c r="E750" s="2233">
        <v>0</v>
      </c>
      <c r="F750" s="2233">
        <v>-10</v>
      </c>
      <c r="G750" s="2233">
        <v>4</v>
      </c>
      <c r="H750" s="2233">
        <v>4</v>
      </c>
      <c r="I750" s="2233" t="s">
        <v>1869</v>
      </c>
      <c r="J750" s="2233" t="s">
        <v>1769</v>
      </c>
      <c r="K750" s="2770" t="s">
        <v>9408</v>
      </c>
      <c r="L750" s="2233" t="str">
        <f t="shared" si="71"/>
        <v>Distinta</v>
      </c>
      <c r="M750" s="2235">
        <v>7</v>
      </c>
      <c r="N750" s="2235">
        <v>-3</v>
      </c>
      <c r="O750" s="2235">
        <v>15</v>
      </c>
      <c r="P750" s="2233"/>
      <c r="Q750" s="2233"/>
      <c r="R750" s="2233" t="s">
        <v>1769</v>
      </c>
      <c r="S750" s="2233">
        <v>1</v>
      </c>
      <c r="T750" s="2233">
        <v>40</v>
      </c>
      <c r="U750" s="2233"/>
      <c r="V750" s="2769" t="s">
        <v>1906</v>
      </c>
      <c r="W750" s="2769"/>
      <c r="X750" s="2945"/>
      <c r="Z750" s="2881" t="str">
        <f t="shared" si="70"/>
        <v/>
      </c>
      <c r="AB750" s="413"/>
      <c r="AC750" s="2795"/>
    </row>
    <row r="751" spans="1:31" ht="12.75" customHeight="1" x14ac:dyDescent="0.2">
      <c r="A751" s="2029">
        <v>211</v>
      </c>
      <c r="B751" s="4995"/>
      <c r="C751" s="2942"/>
      <c r="D751" s="2232" t="s">
        <v>9038</v>
      </c>
      <c r="E751" s="2233">
        <v>0</v>
      </c>
      <c r="F751" s="2233">
        <v>-10</v>
      </c>
      <c r="G751" s="2233">
        <v>4</v>
      </c>
      <c r="H751" s="2233">
        <v>4</v>
      </c>
      <c r="I751" s="2233" t="s">
        <v>1869</v>
      </c>
      <c r="J751" s="2233" t="s">
        <v>1769</v>
      </c>
      <c r="K751" s="2770" t="s">
        <v>9408</v>
      </c>
      <c r="L751" s="2233" t="str">
        <f t="shared" si="71"/>
        <v>Distinta</v>
      </c>
      <c r="M751" s="2235">
        <v>6</v>
      </c>
      <c r="N751" s="2235">
        <v>-3</v>
      </c>
      <c r="O751" s="2235">
        <v>15</v>
      </c>
      <c r="P751" s="2233"/>
      <c r="Q751" s="2233"/>
      <c r="R751" s="2233" t="s">
        <v>1769</v>
      </c>
      <c r="S751" s="2233">
        <v>1</v>
      </c>
      <c r="T751" s="2233">
        <v>40</v>
      </c>
      <c r="U751" s="2233"/>
      <c r="V751" s="2769" t="s">
        <v>9089</v>
      </c>
      <c r="W751" s="2769"/>
      <c r="X751" s="2945"/>
      <c r="Z751" s="2881" t="str">
        <f t="shared" si="70"/>
        <v/>
      </c>
      <c r="AB751" s="413"/>
      <c r="AC751" s="2795"/>
    </row>
    <row r="752" spans="1:31" ht="12.75" customHeight="1" x14ac:dyDescent="0.2">
      <c r="A752" s="2029">
        <v>211</v>
      </c>
      <c r="B752" s="4995"/>
      <c r="C752" s="2942"/>
      <c r="D752" s="2232" t="s">
        <v>2679</v>
      </c>
      <c r="E752" s="2233">
        <v>0</v>
      </c>
      <c r="F752" s="2233">
        <v>-30</v>
      </c>
      <c r="G752" s="2233">
        <v>7</v>
      </c>
      <c r="H752" s="2233">
        <v>7</v>
      </c>
      <c r="I752" s="2233" t="s">
        <v>1869</v>
      </c>
      <c r="J752" s="2233" t="s">
        <v>1769</v>
      </c>
      <c r="K752" s="2770" t="s">
        <v>9408</v>
      </c>
      <c r="L752" s="2233" t="str">
        <f t="shared" si="71"/>
        <v>Distinta</v>
      </c>
      <c r="M752" s="2235">
        <v>8</v>
      </c>
      <c r="N752" s="2235">
        <v>-2</v>
      </c>
      <c r="O752" s="2235">
        <v>20</v>
      </c>
      <c r="P752" s="2233"/>
      <c r="Q752" s="2233"/>
      <c r="R752" s="2233" t="s">
        <v>1769</v>
      </c>
      <c r="S752" s="2233">
        <v>1</v>
      </c>
      <c r="T752" s="2233">
        <v>60</v>
      </c>
      <c r="U752" s="2233"/>
      <c r="V752" s="2769" t="s">
        <v>1906</v>
      </c>
      <c r="W752" s="2769"/>
      <c r="X752" s="2945"/>
      <c r="Z752" s="2881" t="str">
        <f t="shared" si="70"/>
        <v/>
      </c>
      <c r="AB752" s="413"/>
      <c r="AC752" s="2795"/>
    </row>
    <row r="753" spans="1:29" ht="12.75" customHeight="1" x14ac:dyDescent="0.2">
      <c r="A753" s="2029">
        <v>211</v>
      </c>
      <c r="B753" s="4995"/>
      <c r="C753" s="2942"/>
      <c r="D753" s="2232" t="s">
        <v>9042</v>
      </c>
      <c r="E753" s="2233">
        <v>0</v>
      </c>
      <c r="F753" s="2233">
        <v>-5</v>
      </c>
      <c r="G753" s="2233">
        <v>5</v>
      </c>
      <c r="H753" s="2233">
        <v>5</v>
      </c>
      <c r="I753" s="2233" t="s">
        <v>1869</v>
      </c>
      <c r="J753" s="2233" t="s">
        <v>1769</v>
      </c>
      <c r="K753" s="2770" t="s">
        <v>9408</v>
      </c>
      <c r="L753" s="2233" t="str">
        <f t="shared" si="71"/>
        <v>Distinta</v>
      </c>
      <c r="M753" s="2235">
        <v>8</v>
      </c>
      <c r="N753" s="2235">
        <v>-4</v>
      </c>
      <c r="O753" s="2235">
        <v>10</v>
      </c>
      <c r="P753" s="2233"/>
      <c r="Q753" s="2233"/>
      <c r="R753" s="2233" t="s">
        <v>1769</v>
      </c>
      <c r="S753" s="2233" t="s">
        <v>1769</v>
      </c>
      <c r="T753" s="2233" t="s">
        <v>1769</v>
      </c>
      <c r="U753" s="2233"/>
      <c r="V753" s="2769" t="s">
        <v>2623</v>
      </c>
      <c r="W753" s="2769"/>
      <c r="X753" s="2945"/>
      <c r="Z753" s="2881" t="str">
        <f t="shared" si="70"/>
        <v/>
      </c>
      <c r="AB753" s="413"/>
      <c r="AC753" s="2795"/>
    </row>
    <row r="754" spans="1:29" ht="12.75" customHeight="1" x14ac:dyDescent="0.2">
      <c r="A754" s="2029">
        <v>211</v>
      </c>
      <c r="B754" s="4995"/>
      <c r="C754" s="2942"/>
      <c r="D754" s="2232" t="s">
        <v>2680</v>
      </c>
      <c r="E754" s="2233">
        <v>0</v>
      </c>
      <c r="F754" s="2233">
        <v>0</v>
      </c>
      <c r="G754" s="2233">
        <v>8</v>
      </c>
      <c r="H754" s="2233">
        <v>4</v>
      </c>
      <c r="I754" s="2233" t="s">
        <v>1869</v>
      </c>
      <c r="J754" s="2233" t="s">
        <v>1769</v>
      </c>
      <c r="K754" s="2770" t="s">
        <v>9408</v>
      </c>
      <c r="L754" s="2233" t="str">
        <f t="shared" si="71"/>
        <v>Distinta</v>
      </c>
      <c r="M754" s="2235">
        <v>8</v>
      </c>
      <c r="N754" s="2235">
        <v>-2</v>
      </c>
      <c r="O754" s="2235">
        <v>20</v>
      </c>
      <c r="P754" s="2233"/>
      <c r="Q754" s="2233"/>
      <c r="R754" s="2233" t="s">
        <v>1769</v>
      </c>
      <c r="S754" s="2233">
        <v>2</v>
      </c>
      <c r="T754" s="2233">
        <v>60</v>
      </c>
      <c r="U754" s="2233">
        <v>8</v>
      </c>
      <c r="V754" s="2769" t="s">
        <v>2681</v>
      </c>
      <c r="W754" s="2769"/>
      <c r="X754" s="2945"/>
      <c r="Z754" s="2881" t="str">
        <f t="shared" si="70"/>
        <v/>
      </c>
      <c r="AB754" s="413"/>
      <c r="AC754" s="2795"/>
    </row>
    <row r="755" spans="1:29" ht="12.75" customHeight="1" x14ac:dyDescent="0.2">
      <c r="A755" s="2029">
        <v>211</v>
      </c>
      <c r="B755" s="4995"/>
      <c r="C755" s="2942"/>
      <c r="D755" s="2232" t="s">
        <v>2682</v>
      </c>
      <c r="E755" s="2233">
        <v>0</v>
      </c>
      <c r="F755" s="2233">
        <v>10</v>
      </c>
      <c r="G755" s="2233">
        <v>3</v>
      </c>
      <c r="H755" s="2233">
        <v>3</v>
      </c>
      <c r="I755" s="2233" t="s">
        <v>1869</v>
      </c>
      <c r="J755" s="2233" t="s">
        <v>1769</v>
      </c>
      <c r="K755" s="2770" t="s">
        <v>9408</v>
      </c>
      <c r="L755" s="2643" t="str">
        <f>$L$754</f>
        <v>Distinta</v>
      </c>
      <c r="M755" s="2235">
        <v>5</v>
      </c>
      <c r="N755" s="2235">
        <v>-4</v>
      </c>
      <c r="O755" s="2235">
        <v>15</v>
      </c>
      <c r="P755" s="2233"/>
      <c r="Q755" s="2233"/>
      <c r="R755" s="2233" t="s">
        <v>1769</v>
      </c>
      <c r="S755" s="2233">
        <v>2</v>
      </c>
      <c r="T755" s="2233">
        <v>30</v>
      </c>
      <c r="U755" s="2233">
        <v>5</v>
      </c>
      <c r="V755" s="2769" t="s">
        <v>2623</v>
      </c>
      <c r="W755" s="2769"/>
      <c r="X755" s="2945"/>
      <c r="Z755" s="2882"/>
      <c r="AB755" s="413"/>
      <c r="AC755" s="2795"/>
    </row>
    <row r="756" spans="1:29" ht="12.75" customHeight="1" x14ac:dyDescent="0.2">
      <c r="A756" s="2029">
        <v>211</v>
      </c>
      <c r="B756" s="4995"/>
      <c r="C756" s="2942"/>
      <c r="D756" s="2232" t="s">
        <v>2683</v>
      </c>
      <c r="E756" s="2233">
        <v>0</v>
      </c>
      <c r="F756" s="2233">
        <v>0</v>
      </c>
      <c r="G756" s="2233">
        <v>8</v>
      </c>
      <c r="H756" s="2233">
        <v>4</v>
      </c>
      <c r="I756" s="2233" t="s">
        <v>1869</v>
      </c>
      <c r="J756" s="2233" t="s">
        <v>1769</v>
      </c>
      <c r="K756" s="2770" t="s">
        <v>9408</v>
      </c>
      <c r="L756" s="2643" t="str">
        <f>$L$754</f>
        <v>Distinta</v>
      </c>
      <c r="M756" s="2235">
        <v>6</v>
      </c>
      <c r="N756" s="2235">
        <v>-2</v>
      </c>
      <c r="O756" s="2235">
        <v>20</v>
      </c>
      <c r="P756" s="2233"/>
      <c r="Q756" s="2233"/>
      <c r="R756" s="2233" t="s">
        <v>1769</v>
      </c>
      <c r="S756" s="2233">
        <v>3</v>
      </c>
      <c r="T756" s="2233">
        <v>60</v>
      </c>
      <c r="U756" s="2233">
        <v>8</v>
      </c>
      <c r="V756" s="2769" t="s">
        <v>2681</v>
      </c>
      <c r="W756" s="2769"/>
      <c r="X756" s="2945"/>
      <c r="Z756" s="2882"/>
      <c r="AA756" s="2620"/>
      <c r="AB756" s="413"/>
      <c r="AC756" s="2839"/>
    </row>
    <row r="757" spans="1:29" ht="12.75" customHeight="1" x14ac:dyDescent="0.2">
      <c r="A757" s="2029">
        <v>211</v>
      </c>
      <c r="B757" s="4995"/>
      <c r="C757" s="2942"/>
      <c r="D757" s="2232" t="s">
        <v>2684</v>
      </c>
      <c r="E757" s="2233">
        <v>0</v>
      </c>
      <c r="F757" s="2233">
        <v>-20</v>
      </c>
      <c r="G757" s="2233">
        <v>10</v>
      </c>
      <c r="H757" s="2233">
        <v>7</v>
      </c>
      <c r="I757" s="2233" t="s">
        <v>1869</v>
      </c>
      <c r="J757" s="2233" t="s">
        <v>1769</v>
      </c>
      <c r="K757" s="2770" t="s">
        <v>9408</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9" t="s">
        <v>2681</v>
      </c>
      <c r="W757" s="2769"/>
      <c r="X757" s="2945"/>
      <c r="Z757" s="2881" t="str">
        <f t="shared" ref="Z757:Z778" si="73">IF(AND(K757&lt;&gt;"Natural/-",ISNUMBER(SEARCH(D757,Armas_Conocidas))),", "&amp;K757,"")</f>
        <v/>
      </c>
      <c r="AA757" s="2620"/>
      <c r="AB757" s="413"/>
      <c r="AC757" s="2839"/>
    </row>
    <row r="758" spans="1:29" ht="12.75" customHeight="1" x14ac:dyDescent="0.2">
      <c r="A758" s="2029">
        <v>211</v>
      </c>
      <c r="B758" s="4995"/>
      <c r="C758" s="2942"/>
      <c r="D758" s="2232" t="s">
        <v>2685</v>
      </c>
      <c r="E758" s="2233">
        <v>0</v>
      </c>
      <c r="F758" s="2233">
        <v>-10</v>
      </c>
      <c r="G758" s="2233">
        <v>4</v>
      </c>
      <c r="H758" s="2233">
        <v>4</v>
      </c>
      <c r="I758" s="2233" t="s">
        <v>1869</v>
      </c>
      <c r="J758" s="2233" t="s">
        <v>1769</v>
      </c>
      <c r="K758" s="2770" t="s">
        <v>9408</v>
      </c>
      <c r="L758" s="2233" t="str">
        <f t="shared" si="72"/>
        <v>Distinta</v>
      </c>
      <c r="M758" s="2235">
        <v>3</v>
      </c>
      <c r="N758" s="2235">
        <v>-3</v>
      </c>
      <c r="O758" s="2235">
        <v>15</v>
      </c>
      <c r="P758" s="2233"/>
      <c r="Q758" s="2233"/>
      <c r="R758" s="2233" t="s">
        <v>1769</v>
      </c>
      <c r="S758" s="2233">
        <v>1</v>
      </c>
      <c r="T758" s="2233">
        <v>50</v>
      </c>
      <c r="U758" s="2233"/>
      <c r="V758" s="2769" t="s">
        <v>1769</v>
      </c>
      <c r="W758" s="2769"/>
      <c r="X758" s="2945"/>
      <c r="Z758" s="2881" t="str">
        <f t="shared" si="73"/>
        <v/>
      </c>
      <c r="AA758" s="2620"/>
      <c r="AB758" s="413"/>
      <c r="AC758" s="2839"/>
    </row>
    <row r="759" spans="1:29" ht="12.75" customHeight="1" x14ac:dyDescent="0.2">
      <c r="A759" s="2029">
        <v>211</v>
      </c>
      <c r="B759" s="4995"/>
      <c r="C759" s="2942"/>
      <c r="D759" s="2232" t="s">
        <v>9048</v>
      </c>
      <c r="E759" s="2233">
        <v>0</v>
      </c>
      <c r="F759" s="2233">
        <v>-30</v>
      </c>
      <c r="G759" s="2233">
        <v>7</v>
      </c>
      <c r="H759" s="2233">
        <v>7</v>
      </c>
      <c r="I759" s="2233" t="s">
        <v>1869</v>
      </c>
      <c r="J759" s="2233" t="s">
        <v>1769</v>
      </c>
      <c r="K759" s="2770" t="s">
        <v>9408</v>
      </c>
      <c r="L759" s="2233" t="str">
        <f t="shared" si="72"/>
        <v>Distinta</v>
      </c>
      <c r="M759" s="2235">
        <v>8</v>
      </c>
      <c r="N759" s="2235">
        <v>-2</v>
      </c>
      <c r="O759" s="2235">
        <v>20</v>
      </c>
      <c r="P759" s="2233"/>
      <c r="Q759" s="2233"/>
      <c r="R759" s="2233" t="s">
        <v>1769</v>
      </c>
      <c r="S759" s="2233">
        <v>1</v>
      </c>
      <c r="T759" s="2233">
        <v>90</v>
      </c>
      <c r="U759" s="2233"/>
      <c r="V759" s="2769" t="s">
        <v>1906</v>
      </c>
      <c r="W759" s="2769"/>
      <c r="X759" s="2945"/>
      <c r="Z759" s="2881" t="str">
        <f t="shared" si="73"/>
        <v/>
      </c>
      <c r="AA759" s="2620"/>
      <c r="AB759" s="413"/>
      <c r="AC759" s="2839"/>
    </row>
    <row r="760" spans="1:29" ht="12.75" customHeight="1" x14ac:dyDescent="0.2">
      <c r="A760" s="2029">
        <v>211</v>
      </c>
      <c r="B760" s="4995"/>
      <c r="C760" s="2942"/>
      <c r="D760" s="2232" t="s">
        <v>2686</v>
      </c>
      <c r="E760" s="2233">
        <v>0</v>
      </c>
      <c r="F760" s="2233">
        <v>-20</v>
      </c>
      <c r="G760" s="2233">
        <v>0</v>
      </c>
      <c r="H760" s="2233">
        <v>0</v>
      </c>
      <c r="I760" s="2233" t="s">
        <v>1869</v>
      </c>
      <c r="J760" s="2233" t="s">
        <v>1769</v>
      </c>
      <c r="K760" s="2770" t="s">
        <v>9408</v>
      </c>
      <c r="L760" s="2233" t="str">
        <f t="shared" si="72"/>
        <v>Distinta</v>
      </c>
      <c r="M760" s="2235">
        <v>9</v>
      </c>
      <c r="N760" s="2235">
        <v>-3</v>
      </c>
      <c r="O760" s="2235">
        <v>20</v>
      </c>
      <c r="P760" s="2233"/>
      <c r="Q760" s="2233"/>
      <c r="R760" s="2233" t="s">
        <v>1769</v>
      </c>
      <c r="S760" s="2233">
        <v>4</v>
      </c>
      <c r="T760" s="2233">
        <v>80</v>
      </c>
      <c r="U760" s="2233">
        <v>11</v>
      </c>
      <c r="V760" s="2769" t="s">
        <v>2661</v>
      </c>
      <c r="W760" s="2769"/>
      <c r="X760" s="2945"/>
      <c r="Z760" s="2881" t="str">
        <f t="shared" si="73"/>
        <v/>
      </c>
      <c r="AA760" s="2620"/>
      <c r="AB760" s="413"/>
      <c r="AC760" s="2839"/>
    </row>
    <row r="761" spans="1:29" ht="12.75" customHeight="1" x14ac:dyDescent="0.2">
      <c r="A761" s="2029">
        <v>211</v>
      </c>
      <c r="B761" s="4995"/>
      <c r="C761" s="2942"/>
      <c r="D761" s="2232" t="s">
        <v>2687</v>
      </c>
      <c r="E761" s="2233">
        <v>0</v>
      </c>
      <c r="F761" s="2233">
        <v>-40</v>
      </c>
      <c r="G761" s="2233">
        <v>4</v>
      </c>
      <c r="H761" s="2233">
        <v>4</v>
      </c>
      <c r="I761" s="2233" t="s">
        <v>1813</v>
      </c>
      <c r="J761" s="2233" t="s">
        <v>1769</v>
      </c>
      <c r="K761" s="2770" t="s">
        <v>9408</v>
      </c>
      <c r="L761" s="2233" t="str">
        <f t="shared" si="72"/>
        <v>Distinta</v>
      </c>
      <c r="M761" s="2235">
        <v>3</v>
      </c>
      <c r="N761" s="2235">
        <v>-6</v>
      </c>
      <c r="O761" s="2235">
        <v>10</v>
      </c>
      <c r="P761" s="2233"/>
      <c r="Q761" s="2233"/>
      <c r="R761" s="2233" t="s">
        <v>1769</v>
      </c>
      <c r="S761" s="2233">
        <v>1</v>
      </c>
      <c r="T761" s="2233">
        <v>50</v>
      </c>
      <c r="U761" s="2233"/>
      <c r="V761" s="2769" t="s">
        <v>1769</v>
      </c>
      <c r="W761" s="2769"/>
      <c r="X761" s="2945"/>
      <c r="Z761" s="2881" t="str">
        <f t="shared" si="73"/>
        <v/>
      </c>
      <c r="AA761" s="2620"/>
      <c r="AB761" s="413"/>
      <c r="AC761" s="2839"/>
    </row>
    <row r="762" spans="1:29" ht="12.75" customHeight="1" x14ac:dyDescent="0.2">
      <c r="A762" s="2029">
        <v>211</v>
      </c>
      <c r="B762" s="4995"/>
      <c r="C762" s="2942"/>
      <c r="D762" s="2232" t="s">
        <v>2688</v>
      </c>
      <c r="E762" s="2233">
        <v>0</v>
      </c>
      <c r="F762" s="2233">
        <v>0</v>
      </c>
      <c r="G762" s="2233">
        <v>0</v>
      </c>
      <c r="H762" s="2233">
        <v>0</v>
      </c>
      <c r="I762" s="2233" t="s">
        <v>1869</v>
      </c>
      <c r="J762" s="2233" t="s">
        <v>1769</v>
      </c>
      <c r="K762" s="2770" t="s">
        <v>9408</v>
      </c>
      <c r="L762" s="2233" t="str">
        <f t="shared" si="72"/>
        <v>Distinta</v>
      </c>
      <c r="M762" s="2235">
        <v>8</v>
      </c>
      <c r="N762" s="2235">
        <v>-3</v>
      </c>
      <c r="O762" s="2235">
        <v>20</v>
      </c>
      <c r="P762" s="2233"/>
      <c r="Q762" s="2233"/>
      <c r="R762" s="2233" t="s">
        <v>1769</v>
      </c>
      <c r="S762" s="2233">
        <v>4</v>
      </c>
      <c r="T762" s="2233">
        <v>50</v>
      </c>
      <c r="U762" s="2233">
        <v>9</v>
      </c>
      <c r="V762" s="2769" t="s">
        <v>2661</v>
      </c>
      <c r="W762" s="2769"/>
      <c r="X762" s="2945"/>
      <c r="Z762" s="2881" t="str">
        <f t="shared" si="73"/>
        <v/>
      </c>
      <c r="AA762" s="2620"/>
      <c r="AB762" s="413"/>
      <c r="AC762" s="2839"/>
    </row>
    <row r="763" spans="1:29" ht="12.75" customHeight="1" x14ac:dyDescent="0.2">
      <c r="A763" s="2029">
        <v>211</v>
      </c>
      <c r="B763" s="4995"/>
      <c r="C763" s="2942"/>
      <c r="D763" s="19" t="s">
        <v>10512</v>
      </c>
      <c r="E763" s="2769"/>
      <c r="F763" s="2769"/>
      <c r="G763" s="2769"/>
      <c r="H763" s="2769"/>
      <c r="I763" s="2769"/>
      <c r="J763" s="2769"/>
      <c r="K763" s="2769"/>
      <c r="L763" s="2769"/>
      <c r="M763" s="2769"/>
      <c r="N763" s="2769"/>
      <c r="O763" s="2769"/>
      <c r="P763" s="2769"/>
      <c r="Q763" s="2769"/>
      <c r="R763" s="2769"/>
      <c r="S763" s="2769"/>
      <c r="T763" s="2769"/>
      <c r="U763" s="2769"/>
      <c r="V763" s="2769"/>
      <c r="W763" s="2769"/>
      <c r="X763" s="2945"/>
      <c r="Z763" s="2881" t="str">
        <f t="shared" si="73"/>
        <v/>
      </c>
      <c r="AA763" s="2620"/>
      <c r="AB763" s="413"/>
      <c r="AC763" s="2839"/>
    </row>
    <row r="764" spans="1:29" ht="12.75" customHeight="1" x14ac:dyDescent="0.2">
      <c r="A764" s="2029">
        <v>211</v>
      </c>
      <c r="B764" s="4995"/>
      <c r="C764" s="2942"/>
      <c r="D764" s="19" t="s">
        <v>10513</v>
      </c>
      <c r="E764" s="2233">
        <v>0</v>
      </c>
      <c r="F764" s="2233">
        <v>-80</v>
      </c>
      <c r="G764" s="2233">
        <v>0</v>
      </c>
      <c r="H764" s="2233">
        <v>0</v>
      </c>
      <c r="I764" s="2233" t="s">
        <v>1869</v>
      </c>
      <c r="J764" s="2233" t="s">
        <v>1769</v>
      </c>
      <c r="K764" s="2770" t="s">
        <v>9408</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9" t="s">
        <v>2623</v>
      </c>
      <c r="W764" s="2769"/>
      <c r="X764" s="2945"/>
      <c r="Z764" s="2881" t="str">
        <f t="shared" si="73"/>
        <v/>
      </c>
      <c r="AA764" s="2620"/>
      <c r="AB764" s="413"/>
      <c r="AC764" s="2839"/>
    </row>
    <row r="765" spans="1:29" ht="12.75" customHeight="1" x14ac:dyDescent="0.2">
      <c r="A765" s="2029">
        <v>211</v>
      </c>
      <c r="B765" s="4995"/>
      <c r="C765" s="2942"/>
      <c r="D765" s="19" t="s">
        <v>10514</v>
      </c>
      <c r="E765" s="2233">
        <v>0</v>
      </c>
      <c r="F765" s="2233">
        <v>-100</v>
      </c>
      <c r="G765" s="2233">
        <v>0</v>
      </c>
      <c r="H765" s="2233">
        <v>0</v>
      </c>
      <c r="I765" s="2233" t="s">
        <v>1869</v>
      </c>
      <c r="J765" s="2233" t="s">
        <v>1769</v>
      </c>
      <c r="K765" s="2770" t="s">
        <v>9408</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9" t="s">
        <v>2623</v>
      </c>
      <c r="W765" s="2769"/>
      <c r="X765" s="2945"/>
      <c r="Z765" s="2881" t="str">
        <f t="shared" si="73"/>
        <v/>
      </c>
      <c r="AA765" s="2620"/>
      <c r="AB765" s="413"/>
      <c r="AC765" s="2839"/>
    </row>
    <row r="766" spans="1:29" ht="12.75" customHeight="1" x14ac:dyDescent="0.2">
      <c r="A766" s="2029">
        <v>211</v>
      </c>
      <c r="B766" s="4995"/>
      <c r="C766" s="2942"/>
      <c r="D766" s="19" t="s">
        <v>10515</v>
      </c>
      <c r="E766" s="2233">
        <v>0</v>
      </c>
      <c r="F766" s="2233">
        <v>-100</v>
      </c>
      <c r="G766" s="2233">
        <v>0</v>
      </c>
      <c r="H766" s="2233">
        <v>0</v>
      </c>
      <c r="I766" s="2233" t="s">
        <v>1813</v>
      </c>
      <c r="J766" s="2233" t="s">
        <v>1769</v>
      </c>
      <c r="K766" s="2770" t="s">
        <v>9408</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9" t="s">
        <v>2623</v>
      </c>
      <c r="W766" s="2769"/>
      <c r="X766" s="2945"/>
      <c r="Z766" s="2881" t="str">
        <f t="shared" si="73"/>
        <v/>
      </c>
      <c r="AA766" s="2620"/>
      <c r="AB766" s="413"/>
      <c r="AC766" s="2839"/>
    </row>
    <row r="767" spans="1:29" ht="12.75" customHeight="1" x14ac:dyDescent="0.2">
      <c r="A767" s="2029">
        <v>211</v>
      </c>
      <c r="B767" s="4995"/>
      <c r="C767" s="2942"/>
      <c r="D767" s="2232" t="s">
        <v>2689</v>
      </c>
      <c r="E767" s="2236"/>
      <c r="F767" s="2236"/>
      <c r="G767" s="2236"/>
      <c r="H767" s="2236"/>
      <c r="I767" s="2236"/>
      <c r="J767" s="2236"/>
      <c r="K767" s="2637" t="s">
        <v>9388</v>
      </c>
      <c r="L767" s="2236"/>
      <c r="M767" s="2236"/>
      <c r="N767" s="2236"/>
      <c r="O767" s="2236"/>
      <c r="P767" s="2236"/>
      <c r="Q767" s="2236"/>
      <c r="R767" s="2236"/>
      <c r="S767" s="2236"/>
      <c r="T767" s="2236"/>
      <c r="U767" s="2236"/>
      <c r="V767" s="2237"/>
      <c r="W767" s="2237"/>
      <c r="X767" s="2944"/>
      <c r="Z767" s="2881" t="str">
        <f t="shared" si="73"/>
        <v/>
      </c>
      <c r="AA767" s="2620"/>
      <c r="AB767" s="413"/>
      <c r="AC767" s="2839"/>
    </row>
    <row r="768" spans="1:29" ht="12.75" customHeight="1" x14ac:dyDescent="0.2">
      <c r="A768" s="2029">
        <v>211</v>
      </c>
      <c r="B768" s="4995"/>
      <c r="C768" s="2942"/>
      <c r="D768" s="2232" t="s">
        <v>2690</v>
      </c>
      <c r="E768" s="2233">
        <v>60</v>
      </c>
      <c r="F768" s="2233" t="s">
        <v>1769</v>
      </c>
      <c r="G768" s="2233">
        <v>0</v>
      </c>
      <c r="H768" s="2233">
        <v>0</v>
      </c>
      <c r="I768" s="2233" t="s">
        <v>1869</v>
      </c>
      <c r="J768" s="2233" t="s">
        <v>1769</v>
      </c>
      <c r="K768" s="2770" t="s">
        <v>9409</v>
      </c>
      <c r="L768" s="2233"/>
      <c r="M768" s="2235">
        <v>11</v>
      </c>
      <c r="N768" s="2235">
        <v>5</v>
      </c>
      <c r="O768" s="2235">
        <v>15</v>
      </c>
      <c r="P768" s="2233"/>
      <c r="Q768" s="2233"/>
      <c r="R768" s="2233" t="s">
        <v>1769</v>
      </c>
      <c r="S768" s="2233" t="s">
        <v>1769</v>
      </c>
      <c r="T768" s="2233" t="s">
        <v>1769</v>
      </c>
      <c r="U768" s="2233"/>
      <c r="V768" s="5047" t="s">
        <v>2691</v>
      </c>
      <c r="W768" s="5047"/>
      <c r="X768" s="5048"/>
      <c r="Z768" s="2881" t="str">
        <f t="shared" si="73"/>
        <v/>
      </c>
      <c r="AA768" s="2620"/>
      <c r="AB768" s="413"/>
      <c r="AC768" s="2839"/>
    </row>
    <row r="769" spans="1:29" ht="12.75" customHeight="1" x14ac:dyDescent="0.2">
      <c r="A769" s="2029">
        <v>211</v>
      </c>
      <c r="B769" s="4995"/>
      <c r="C769" s="2942"/>
      <c r="D769" s="2232" t="s">
        <v>2692</v>
      </c>
      <c r="E769" s="2233">
        <v>120</v>
      </c>
      <c r="F769" s="2233" t="s">
        <v>1769</v>
      </c>
      <c r="G769" s="2233">
        <v>0</v>
      </c>
      <c r="H769" s="2233">
        <v>0</v>
      </c>
      <c r="I769" s="2233" t="s">
        <v>1869</v>
      </c>
      <c r="J769" s="2233" t="s">
        <v>1769</v>
      </c>
      <c r="K769" s="2770" t="s">
        <v>9409</v>
      </c>
      <c r="L769" s="2233"/>
      <c r="M769" s="2235">
        <v>20</v>
      </c>
      <c r="N769" s="2235">
        <v>14</v>
      </c>
      <c r="O769" s="2235">
        <v>15</v>
      </c>
      <c r="P769" s="2233"/>
      <c r="Q769" s="2233"/>
      <c r="R769" s="2233" t="s">
        <v>1769</v>
      </c>
      <c r="S769" s="2233" t="s">
        <v>1769</v>
      </c>
      <c r="T769" s="2233" t="s">
        <v>1769</v>
      </c>
      <c r="U769" s="2233"/>
      <c r="V769" s="5047" t="s">
        <v>2693</v>
      </c>
      <c r="W769" s="5047"/>
      <c r="X769" s="5048"/>
      <c r="Z769" s="2881" t="str">
        <f t="shared" si="73"/>
        <v/>
      </c>
      <c r="AA769" s="2620"/>
      <c r="AB769" s="413"/>
      <c r="AC769" s="2839"/>
    </row>
    <row r="770" spans="1:29" ht="12.75" customHeight="1" x14ac:dyDescent="0.2">
      <c r="A770" s="2029">
        <v>211</v>
      </c>
      <c r="B770" s="4995"/>
      <c r="C770" s="2942"/>
      <c r="D770" s="2232" t="s">
        <v>2694</v>
      </c>
      <c r="E770" s="2233">
        <v>5</v>
      </c>
      <c r="F770" s="2233" t="s">
        <v>1769</v>
      </c>
      <c r="G770" s="2233">
        <v>0</v>
      </c>
      <c r="H770" s="2233">
        <v>0</v>
      </c>
      <c r="I770" s="2233" t="s">
        <v>1869</v>
      </c>
      <c r="J770" s="2233" t="s">
        <v>1769</v>
      </c>
      <c r="K770" s="2770" t="s">
        <v>9409</v>
      </c>
      <c r="L770" s="2233"/>
      <c r="M770" s="2235">
        <v>2</v>
      </c>
      <c r="N770" s="2235">
        <v>-4</v>
      </c>
      <c r="O770" s="2235">
        <v>15</v>
      </c>
      <c r="P770" s="2233"/>
      <c r="Q770" s="2233"/>
      <c r="R770" s="2233" t="s">
        <v>1769</v>
      </c>
      <c r="S770" s="2233" t="s">
        <v>1769</v>
      </c>
      <c r="T770" s="2233" t="s">
        <v>1769</v>
      </c>
      <c r="U770" s="2233"/>
      <c r="V770" s="5047" t="s">
        <v>2695</v>
      </c>
      <c r="W770" s="5047"/>
      <c r="X770" s="5048"/>
      <c r="Z770" s="2881" t="str">
        <f t="shared" si="73"/>
        <v/>
      </c>
      <c r="AA770" s="2620"/>
      <c r="AB770" s="413"/>
      <c r="AC770" s="2839"/>
    </row>
    <row r="771" spans="1:29" ht="12.75" customHeight="1" x14ac:dyDescent="0.2">
      <c r="A771" s="2029">
        <v>211</v>
      </c>
      <c r="B771" s="4995"/>
      <c r="C771" s="2942"/>
      <c r="D771" s="2232" t="s">
        <v>2696</v>
      </c>
      <c r="E771" s="2233">
        <v>40</v>
      </c>
      <c r="F771" s="2233" t="s">
        <v>1769</v>
      </c>
      <c r="G771" s="2233">
        <v>0</v>
      </c>
      <c r="H771" s="2233">
        <v>0</v>
      </c>
      <c r="I771" s="2233" t="s">
        <v>1869</v>
      </c>
      <c r="J771" s="2233" t="s">
        <v>1769</v>
      </c>
      <c r="K771" s="2770" t="s">
        <v>9409</v>
      </c>
      <c r="L771" s="2233"/>
      <c r="M771" s="2235">
        <v>4</v>
      </c>
      <c r="N771" s="2235">
        <v>1</v>
      </c>
      <c r="O771" s="2235">
        <v>20</v>
      </c>
      <c r="P771" s="2233"/>
      <c r="Q771" s="2233"/>
      <c r="R771" s="2233" t="s">
        <v>1769</v>
      </c>
      <c r="S771" s="2233" t="s">
        <v>1769</v>
      </c>
      <c r="T771" s="2233" t="s">
        <v>1769</v>
      </c>
      <c r="U771" s="2233"/>
      <c r="V771" s="5047" t="s">
        <v>2697</v>
      </c>
      <c r="W771" s="5047"/>
      <c r="X771" s="5048"/>
      <c r="Z771" s="2881" t="str">
        <f t="shared" si="73"/>
        <v/>
      </c>
      <c r="AA771" s="2620"/>
      <c r="AB771" s="413"/>
      <c r="AC771" s="2839"/>
    </row>
    <row r="772" spans="1:29" ht="12.75" customHeight="1" x14ac:dyDescent="0.2">
      <c r="A772" s="2029">
        <v>211</v>
      </c>
      <c r="B772" s="4995"/>
      <c r="C772" s="2942"/>
      <c r="D772" s="2232" t="s">
        <v>2698</v>
      </c>
      <c r="E772" s="2233">
        <v>30</v>
      </c>
      <c r="F772" s="2233" t="s">
        <v>1769</v>
      </c>
      <c r="G772" s="2233">
        <v>0</v>
      </c>
      <c r="H772" s="2233">
        <v>0</v>
      </c>
      <c r="I772" s="2233" t="s">
        <v>1869</v>
      </c>
      <c r="J772" s="2233" t="s">
        <v>1769</v>
      </c>
      <c r="K772" s="2770" t="s">
        <v>9409</v>
      </c>
      <c r="L772" s="2233"/>
      <c r="M772" s="2235">
        <v>3</v>
      </c>
      <c r="N772" s="2235">
        <v>0</v>
      </c>
      <c r="O772" s="2235">
        <v>20</v>
      </c>
      <c r="P772" s="2233"/>
      <c r="Q772" s="2233"/>
      <c r="R772" s="2233" t="s">
        <v>1769</v>
      </c>
      <c r="S772" s="2233" t="s">
        <v>1769</v>
      </c>
      <c r="T772" s="2233" t="s">
        <v>1769</v>
      </c>
      <c r="U772" s="2233"/>
      <c r="V772" s="5047" t="s">
        <v>2699</v>
      </c>
      <c r="W772" s="5047"/>
      <c r="X772" s="5048"/>
      <c r="Z772" s="2881" t="str">
        <f t="shared" si="73"/>
        <v/>
      </c>
      <c r="AA772" s="2620"/>
      <c r="AB772" s="413"/>
      <c r="AC772" s="2839"/>
    </row>
    <row r="773" spans="1:29" ht="12.75" customHeight="1" x14ac:dyDescent="0.2">
      <c r="A773" s="2029">
        <v>211</v>
      </c>
      <c r="B773" s="4995"/>
      <c r="C773" s="2942"/>
      <c r="D773" s="2232" t="s">
        <v>2700</v>
      </c>
      <c r="E773" s="2233">
        <v>30</v>
      </c>
      <c r="F773" s="2233" t="s">
        <v>1769</v>
      </c>
      <c r="G773" s="2233">
        <v>0</v>
      </c>
      <c r="H773" s="2233">
        <v>0</v>
      </c>
      <c r="I773" s="2233" t="s">
        <v>1869</v>
      </c>
      <c r="J773" s="2233" t="s">
        <v>1769</v>
      </c>
      <c r="K773" s="2770" t="s">
        <v>9409</v>
      </c>
      <c r="L773" s="2233"/>
      <c r="M773" s="2235">
        <v>3</v>
      </c>
      <c r="N773" s="2235">
        <v>0</v>
      </c>
      <c r="O773" s="2235">
        <v>20</v>
      </c>
      <c r="P773" s="2233"/>
      <c r="Q773" s="2233"/>
      <c r="R773" s="2233" t="s">
        <v>1769</v>
      </c>
      <c r="S773" s="2233" t="s">
        <v>1769</v>
      </c>
      <c r="T773" s="2233" t="s">
        <v>1769</v>
      </c>
      <c r="U773" s="2233"/>
      <c r="V773" s="5047" t="s">
        <v>2701</v>
      </c>
      <c r="W773" s="5047"/>
      <c r="X773" s="5048"/>
      <c r="Z773" s="2881" t="str">
        <f t="shared" si="73"/>
        <v/>
      </c>
      <c r="AA773" s="2620"/>
      <c r="AB773" s="413"/>
      <c r="AC773" s="2839"/>
    </row>
    <row r="774" spans="1:29" ht="12.75" customHeight="1" x14ac:dyDescent="0.2">
      <c r="A774" s="2029">
        <v>211</v>
      </c>
      <c r="B774" s="4995"/>
      <c r="C774" s="2942"/>
      <c r="D774" s="2232" t="s">
        <v>2702</v>
      </c>
      <c r="E774" s="2233">
        <v>15</v>
      </c>
      <c r="F774" s="2233" t="s">
        <v>1769</v>
      </c>
      <c r="G774" s="2233">
        <v>0</v>
      </c>
      <c r="H774" s="2233">
        <v>0</v>
      </c>
      <c r="I774" s="2233" t="s">
        <v>1813</v>
      </c>
      <c r="J774" s="2233" t="s">
        <v>1769</v>
      </c>
      <c r="K774" s="2770" t="s">
        <v>9409</v>
      </c>
      <c r="L774" s="2233"/>
      <c r="M774" s="2235">
        <v>7</v>
      </c>
      <c r="N774" s="2235">
        <v>2</v>
      </c>
      <c r="O774" s="2235">
        <v>10</v>
      </c>
      <c r="P774" s="2233"/>
      <c r="Q774" s="2233"/>
      <c r="R774" s="2233" t="s">
        <v>1769</v>
      </c>
      <c r="S774" s="2233" t="s">
        <v>1769</v>
      </c>
      <c r="T774" s="2233" t="s">
        <v>1769</v>
      </c>
      <c r="U774" s="2233"/>
      <c r="V774" s="5047" t="s">
        <v>2703</v>
      </c>
      <c r="W774" s="5047"/>
      <c r="X774" s="5048"/>
      <c r="Z774" s="2881" t="str">
        <f t="shared" si="73"/>
        <v/>
      </c>
      <c r="AA774" s="2620"/>
      <c r="AB774" s="413"/>
      <c r="AC774" s="2839"/>
    </row>
    <row r="775" spans="1:29" ht="12.75" customHeight="1" x14ac:dyDescent="0.2">
      <c r="A775" s="2029">
        <v>211</v>
      </c>
      <c r="B775" s="4995"/>
      <c r="C775" s="2942"/>
      <c r="D775" s="2232" t="s">
        <v>2704</v>
      </c>
      <c r="E775" s="2233">
        <v>40</v>
      </c>
      <c r="F775" s="2233" t="s">
        <v>1769</v>
      </c>
      <c r="G775" s="2233">
        <v>0</v>
      </c>
      <c r="H775" s="2233">
        <v>0</v>
      </c>
      <c r="I775" s="2233" t="s">
        <v>1869</v>
      </c>
      <c r="J775" s="2233" t="s">
        <v>1769</v>
      </c>
      <c r="K775" s="2770" t="s">
        <v>9409</v>
      </c>
      <c r="L775" s="2233"/>
      <c r="M775" s="2235">
        <v>3</v>
      </c>
      <c r="N775" s="2235">
        <v>0</v>
      </c>
      <c r="O775" s="2235">
        <v>15</v>
      </c>
      <c r="P775" s="2233"/>
      <c r="Q775" s="2233"/>
      <c r="R775" s="2233" t="s">
        <v>1769</v>
      </c>
      <c r="S775" s="2233" t="s">
        <v>1769</v>
      </c>
      <c r="T775" s="2233" t="s">
        <v>1769</v>
      </c>
      <c r="U775" s="2233"/>
      <c r="V775" s="5047" t="s">
        <v>2705</v>
      </c>
      <c r="W775" s="5047"/>
      <c r="X775" s="5048"/>
      <c r="Z775" s="2881" t="str">
        <f t="shared" si="73"/>
        <v/>
      </c>
      <c r="AA775" s="2620"/>
      <c r="AB775" s="413"/>
      <c r="AC775" s="2839"/>
    </row>
    <row r="776" spans="1:29" ht="12.75" customHeight="1" x14ac:dyDescent="0.2">
      <c r="A776" s="2029">
        <v>211</v>
      </c>
      <c r="B776" s="4995"/>
      <c r="C776" s="2942"/>
      <c r="D776" s="2232" t="s">
        <v>2706</v>
      </c>
      <c r="E776" s="2233">
        <v>30</v>
      </c>
      <c r="F776" s="2233" t="s">
        <v>1769</v>
      </c>
      <c r="G776" s="2233">
        <v>0</v>
      </c>
      <c r="H776" s="2233">
        <v>0</v>
      </c>
      <c r="I776" s="2233" t="s">
        <v>1869</v>
      </c>
      <c r="J776" s="2233" t="s">
        <v>1769</v>
      </c>
      <c r="K776" s="2770" t="s">
        <v>9409</v>
      </c>
      <c r="L776" s="2233"/>
      <c r="M776" s="2235">
        <v>2</v>
      </c>
      <c r="N776" s="2235">
        <v>-1</v>
      </c>
      <c r="O776" s="2235">
        <v>15</v>
      </c>
      <c r="P776" s="2233"/>
      <c r="Q776" s="2233"/>
      <c r="R776" s="2233" t="s">
        <v>1769</v>
      </c>
      <c r="S776" s="2233" t="s">
        <v>1769</v>
      </c>
      <c r="T776" s="2233" t="s">
        <v>1769</v>
      </c>
      <c r="U776" s="2233"/>
      <c r="V776" s="5047" t="s">
        <v>2707</v>
      </c>
      <c r="W776" s="5047"/>
      <c r="X776" s="5048"/>
      <c r="Z776" s="2881" t="str">
        <f t="shared" si="73"/>
        <v/>
      </c>
      <c r="AA776" s="2620"/>
      <c r="AB776" s="413"/>
      <c r="AC776" s="2839"/>
    </row>
    <row r="777" spans="1:29" ht="12.75" customHeight="1" x14ac:dyDescent="0.2">
      <c r="A777" s="2029">
        <v>211</v>
      </c>
      <c r="B777" s="4995"/>
      <c r="C777" s="2942"/>
      <c r="D777" s="2232" t="s">
        <v>2708</v>
      </c>
      <c r="E777" s="2233">
        <v>60</v>
      </c>
      <c r="F777" s="2233" t="s">
        <v>1769</v>
      </c>
      <c r="G777" s="2233">
        <v>0</v>
      </c>
      <c r="H777" s="2233">
        <v>0</v>
      </c>
      <c r="I777" s="2233" t="s">
        <v>1869</v>
      </c>
      <c r="J777" s="2233" t="s">
        <v>1769</v>
      </c>
      <c r="K777" s="2770" t="s">
        <v>9409</v>
      </c>
      <c r="L777" s="2233"/>
      <c r="M777" s="2235">
        <v>4</v>
      </c>
      <c r="N777" s="2235">
        <v>1</v>
      </c>
      <c r="O777" s="2235">
        <v>15</v>
      </c>
      <c r="P777" s="2233"/>
      <c r="Q777" s="2233"/>
      <c r="R777" s="2233" t="s">
        <v>1769</v>
      </c>
      <c r="S777" s="2233" t="s">
        <v>1769</v>
      </c>
      <c r="T777" s="2233" t="s">
        <v>1769</v>
      </c>
      <c r="U777" s="2233"/>
      <c r="V777" s="5047" t="s">
        <v>2709</v>
      </c>
      <c r="W777" s="5047"/>
      <c r="X777" s="5048"/>
      <c r="Z777" s="2881" t="str">
        <f t="shared" si="73"/>
        <v/>
      </c>
      <c r="AA777" s="2620"/>
      <c r="AB777" s="413"/>
      <c r="AC777" s="2839"/>
    </row>
    <row r="778" spans="1:29" ht="12.75" customHeight="1" x14ac:dyDescent="0.2">
      <c r="A778" s="2029">
        <v>211</v>
      </c>
      <c r="B778" s="4995"/>
      <c r="C778" s="2942"/>
      <c r="D778" s="2232" t="s">
        <v>2710</v>
      </c>
      <c r="E778" s="2233"/>
      <c r="F778" s="2233"/>
      <c r="G778" s="2233"/>
      <c r="H778" s="2233"/>
      <c r="I778" s="2233"/>
      <c r="J778" s="2233"/>
      <c r="K778" s="2770" t="s">
        <v>9388</v>
      </c>
      <c r="L778" s="2233"/>
      <c r="M778" s="2235"/>
      <c r="N778" s="2235"/>
      <c r="O778" s="2235"/>
      <c r="P778" s="2233"/>
      <c r="Q778" s="2233"/>
      <c r="R778" s="2233"/>
      <c r="S778" s="2233"/>
      <c r="T778" s="2233"/>
      <c r="U778" s="2233"/>
      <c r="V778" s="2769"/>
      <c r="W778" s="2769"/>
      <c r="X778" s="2945"/>
      <c r="Z778" s="2881" t="str">
        <f t="shared" si="73"/>
        <v/>
      </c>
      <c r="AA778" s="2620"/>
      <c r="AB778" s="413"/>
      <c r="AC778" s="2839"/>
    </row>
    <row r="779" spans="1:29" ht="12.75" customHeight="1" x14ac:dyDescent="0.2">
      <c r="A779" s="2029">
        <v>211</v>
      </c>
      <c r="B779" s="4995"/>
      <c r="C779" s="2942"/>
      <c r="D779" s="2232" t="s">
        <v>2711</v>
      </c>
      <c r="E779" s="2233">
        <f>Presencia_final+Bono_Pod-Bono_Fue</f>
        <v>30</v>
      </c>
      <c r="F779" s="2233">
        <v>20</v>
      </c>
      <c r="G779" s="2233">
        <v>0</v>
      </c>
      <c r="H779" s="2233">
        <v>0</v>
      </c>
      <c r="I779" s="2233" t="s">
        <v>2712</v>
      </c>
      <c r="J779" s="2233" t="s">
        <v>1769</v>
      </c>
      <c r="K779" s="2770" t="s">
        <v>9410</v>
      </c>
      <c r="L779" s="2644"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2713</v>
      </c>
      <c r="W779" s="2769"/>
      <c r="X779" s="2945"/>
      <c r="Z779" s="2882"/>
      <c r="AA779" s="2620"/>
      <c r="AB779" s="413"/>
      <c r="AC779" s="2839"/>
    </row>
    <row r="780" spans="1:29" ht="12.75" customHeight="1" x14ac:dyDescent="0.2">
      <c r="A780" s="2029">
        <v>211</v>
      </c>
      <c r="B780" s="4995"/>
      <c r="C780" s="2942"/>
      <c r="D780" s="2232" t="s">
        <v>2714</v>
      </c>
      <c r="E780" s="2236"/>
      <c r="F780" s="2236"/>
      <c r="G780" s="2236"/>
      <c r="H780" s="2236"/>
      <c r="I780" s="2236"/>
      <c r="J780" s="2236"/>
      <c r="K780" s="2637" t="s">
        <v>9388</v>
      </c>
      <c r="L780" s="2236"/>
      <c r="M780" s="2236"/>
      <c r="N780" s="2236"/>
      <c r="O780" s="2236"/>
      <c r="P780" s="2236"/>
      <c r="Q780" s="2236"/>
      <c r="R780" s="2236"/>
      <c r="S780" s="2236"/>
      <c r="T780" s="2236"/>
      <c r="U780" s="2236"/>
      <c r="V780" s="2237"/>
      <c r="W780" s="2237"/>
      <c r="X780" s="2944"/>
      <c r="Z780" s="2881" t="str">
        <f>IF(AND(K780&lt;&gt;"Natural/-",ISNUMBER(SEARCH(D780,Armas_Conocidas))),", "&amp;K780,"")</f>
        <v/>
      </c>
      <c r="AA780" s="2620"/>
      <c r="AB780" s="413"/>
      <c r="AC780" s="2839"/>
    </row>
    <row r="781" spans="1:29" ht="12.75" customHeight="1" x14ac:dyDescent="0.2">
      <c r="A781" s="2029">
        <v>211</v>
      </c>
      <c r="B781" s="4995"/>
      <c r="C781" s="2948"/>
      <c r="D781" s="2232" t="s">
        <v>2715</v>
      </c>
      <c r="E781" s="2238">
        <f>100-Bono_Fue</f>
        <v>100</v>
      </c>
      <c r="F781" s="2233">
        <v>-20</v>
      </c>
      <c r="G781" s="2233">
        <v>0</v>
      </c>
      <c r="H781" s="2233">
        <v>0</v>
      </c>
      <c r="I781" s="2233" t="s">
        <v>1869</v>
      </c>
      <c r="J781" s="2233" t="s">
        <v>1868</v>
      </c>
      <c r="K781" s="2770" t="s">
        <v>9388</v>
      </c>
      <c r="L781" s="2644"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2716</v>
      </c>
      <c r="W781" s="2236"/>
      <c r="X781" s="2949"/>
      <c r="Z781" s="2882"/>
      <c r="AA781" s="2620"/>
      <c r="AB781" s="413"/>
      <c r="AC781" s="2839"/>
    </row>
    <row r="782" spans="1:29" ht="12.75" customHeight="1" x14ac:dyDescent="0.2">
      <c r="A782" s="2029">
        <v>211</v>
      </c>
      <c r="B782" s="4995"/>
      <c r="C782" s="2948"/>
      <c r="D782" s="2232" t="s">
        <v>2717</v>
      </c>
      <c r="E782" s="2238">
        <v>120</v>
      </c>
      <c r="F782" s="2233">
        <v>-80</v>
      </c>
      <c r="G782" s="2233">
        <v>12</v>
      </c>
      <c r="H782" s="2233">
        <v>10</v>
      </c>
      <c r="I782" s="2233" t="s">
        <v>1868</v>
      </c>
      <c r="J782" s="2233" t="s">
        <v>1813</v>
      </c>
      <c r="K782" s="2770" t="s">
        <v>9388</v>
      </c>
      <c r="L782" s="2644" t="str">
        <f t="shared" si="74"/>
        <v>Distinta</v>
      </c>
      <c r="M782" s="2235">
        <v>16</v>
      </c>
      <c r="N782" s="2235">
        <v>8</v>
      </c>
      <c r="O782" s="2235">
        <v>25</v>
      </c>
      <c r="P782" s="2233"/>
      <c r="Q782" s="2233"/>
      <c r="R782" s="2233" t="s">
        <v>1769</v>
      </c>
      <c r="S782" s="2233" t="s">
        <v>1769</v>
      </c>
      <c r="T782" s="2233" t="s">
        <v>1769</v>
      </c>
      <c r="U782" s="2233"/>
      <c r="V782" s="2239" t="s">
        <v>2718</v>
      </c>
      <c r="W782" s="2236"/>
      <c r="X782" s="2949"/>
      <c r="Z782" s="2882"/>
      <c r="AA782" s="2620"/>
      <c r="AB782" s="413"/>
      <c r="AC782" s="2839"/>
    </row>
    <row r="783" spans="1:29" ht="12.75" customHeight="1" x14ac:dyDescent="0.2">
      <c r="A783" s="2029">
        <v>211</v>
      </c>
      <c r="B783" s="4995"/>
      <c r="C783" s="2948"/>
      <c r="D783" s="2232" t="s">
        <v>2719</v>
      </c>
      <c r="E783" s="2238">
        <f>50-2*Bono_Fue+20*U604</f>
        <v>50</v>
      </c>
      <c r="F783" s="2233">
        <v>15</v>
      </c>
      <c r="G783" s="2233">
        <v>4</v>
      </c>
      <c r="H783" s="2233">
        <v>4</v>
      </c>
      <c r="I783" s="2233" t="s">
        <v>1868</v>
      </c>
      <c r="J783" s="2233" t="s">
        <v>1869</v>
      </c>
      <c r="K783" s="2770" t="s">
        <v>9388</v>
      </c>
      <c r="L783" s="2644"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9"/>
      <c r="Z783" s="2882"/>
      <c r="AA783" s="2620"/>
      <c r="AB783" s="413"/>
      <c r="AC783" s="2839"/>
    </row>
    <row r="784" spans="1:29" ht="12.75" customHeight="1" x14ac:dyDescent="0.2">
      <c r="A784" s="2029">
        <v>211</v>
      </c>
      <c r="B784" s="4995"/>
      <c r="C784" s="2948"/>
      <c r="D784" s="2232" t="s">
        <v>2720</v>
      </c>
      <c r="E784" s="2233">
        <f>65-Bono_Fue</f>
        <v>65</v>
      </c>
      <c r="F784" s="2233">
        <v>-30</v>
      </c>
      <c r="G784" s="2233">
        <v>8</v>
      </c>
      <c r="H784" s="2233">
        <v>6</v>
      </c>
      <c r="I784" s="2233" t="s">
        <v>1868</v>
      </c>
      <c r="J784" s="2233" t="s">
        <v>1813</v>
      </c>
      <c r="K784" s="2770" t="s">
        <v>9388</v>
      </c>
      <c r="L784" s="2644" t="str">
        <f t="shared" si="74"/>
        <v>Distinta</v>
      </c>
      <c r="M784" s="2235">
        <v>13</v>
      </c>
      <c r="N784" s="2235">
        <v>4</v>
      </c>
      <c r="O784" s="2235">
        <v>35</v>
      </c>
      <c r="P784" s="2233"/>
      <c r="Q784" s="2233"/>
      <c r="R784" s="2233" t="s">
        <v>1769</v>
      </c>
      <c r="S784" s="2233">
        <v>2</v>
      </c>
      <c r="T784" s="2233">
        <v>50</v>
      </c>
      <c r="U784" s="2233">
        <v>10</v>
      </c>
      <c r="V784" s="2769" t="s">
        <v>2721</v>
      </c>
      <c r="W784" s="2236"/>
      <c r="X784" s="2949"/>
      <c r="Z784" s="2882"/>
      <c r="AA784" s="2620"/>
      <c r="AB784" s="413"/>
      <c r="AC784" s="2839"/>
    </row>
    <row r="785" spans="1:31" ht="12.75" customHeight="1" x14ac:dyDescent="0.2">
      <c r="A785" s="2029">
        <v>211</v>
      </c>
      <c r="B785" s="4995"/>
      <c r="C785" s="2948"/>
      <c r="D785" s="2232" t="s">
        <v>2722</v>
      </c>
      <c r="E785" s="2233">
        <f>70-Bono_Fue</f>
        <v>70</v>
      </c>
      <c r="F785" s="2233">
        <v>-20</v>
      </c>
      <c r="G785" s="2233">
        <v>5</v>
      </c>
      <c r="H785" s="2233">
        <v>3</v>
      </c>
      <c r="I785" s="2233" t="s">
        <v>1869</v>
      </c>
      <c r="J785" s="2233" t="s">
        <v>1769</v>
      </c>
      <c r="K785" s="2770" t="s">
        <v>9388</v>
      </c>
      <c r="L785" s="2644" t="str">
        <f t="shared" si="74"/>
        <v>Distinta</v>
      </c>
      <c r="M785" s="2235">
        <v>12</v>
      </c>
      <c r="N785" s="2235">
        <v>2</v>
      </c>
      <c r="O785" s="2235">
        <v>35</v>
      </c>
      <c r="P785" s="2233"/>
      <c r="Q785" s="2233"/>
      <c r="R785" s="2233" t="s">
        <v>1769</v>
      </c>
      <c r="S785" s="2233">
        <v>2</v>
      </c>
      <c r="T785" s="2233">
        <v>80</v>
      </c>
      <c r="U785" s="2233">
        <v>11</v>
      </c>
      <c r="V785" s="2769" t="s">
        <v>2721</v>
      </c>
      <c r="W785" s="2236"/>
      <c r="X785" s="2949"/>
      <c r="Z785" s="2882"/>
      <c r="AA785" s="2620"/>
      <c r="AB785" s="413"/>
      <c r="AC785" s="2839"/>
    </row>
    <row r="786" spans="1:31" ht="12.75" customHeight="1" x14ac:dyDescent="0.2">
      <c r="A786" s="2029">
        <v>211</v>
      </c>
      <c r="B786" s="4995"/>
      <c r="C786" s="2948"/>
      <c r="D786" s="2232" t="s">
        <v>2723</v>
      </c>
      <c r="E786" s="2233">
        <f>140-Bono_Fue</f>
        <v>140</v>
      </c>
      <c r="F786" s="2233">
        <v>-15</v>
      </c>
      <c r="G786" s="2233">
        <v>7</v>
      </c>
      <c r="H786" s="2233">
        <v>5</v>
      </c>
      <c r="I786" s="2233" t="s">
        <v>1813</v>
      </c>
      <c r="J786" s="2233" t="s">
        <v>1769</v>
      </c>
      <c r="K786" s="2770" t="s">
        <v>9388</v>
      </c>
      <c r="L786" s="2644" t="str">
        <f t="shared" si="74"/>
        <v>Distinta</v>
      </c>
      <c r="M786" s="2235">
        <v>15</v>
      </c>
      <c r="N786" s="2235">
        <v>5</v>
      </c>
      <c r="O786" s="2235">
        <v>35</v>
      </c>
      <c r="P786" s="2233"/>
      <c r="Q786" s="2233"/>
      <c r="R786" s="2233" t="s">
        <v>1769</v>
      </c>
      <c r="S786" s="2233">
        <v>10</v>
      </c>
      <c r="T786" s="2233">
        <v>250</v>
      </c>
      <c r="U786" s="2233">
        <v>12</v>
      </c>
      <c r="V786" s="2769" t="s">
        <v>2724</v>
      </c>
      <c r="W786" s="2236"/>
      <c r="X786" s="2949"/>
      <c r="Z786" s="2882"/>
      <c r="AA786" s="2620"/>
      <c r="AB786" s="413"/>
      <c r="AC786" s="2839"/>
    </row>
    <row r="787" spans="1:31" ht="12.75" customHeight="1" x14ac:dyDescent="0.2">
      <c r="A787" s="2029">
        <v>211</v>
      </c>
      <c r="B787" s="4995"/>
      <c r="C787" s="2948"/>
      <c r="D787" s="2232" t="s">
        <v>2725</v>
      </c>
      <c r="E787" s="2233">
        <f>60-Bono_Fue-10</f>
        <v>50</v>
      </c>
      <c r="F787" s="2233">
        <v>-10</v>
      </c>
      <c r="G787" s="2233">
        <v>0</v>
      </c>
      <c r="H787" s="2233">
        <v>0</v>
      </c>
      <c r="I787" s="2233" t="s">
        <v>1813</v>
      </c>
      <c r="J787" s="2233" t="s">
        <v>1769</v>
      </c>
      <c r="K787" s="2770" t="s">
        <v>9388</v>
      </c>
      <c r="L787" s="2644" t="str">
        <f t="shared" si="74"/>
        <v>Distinta</v>
      </c>
      <c r="M787" s="2235">
        <v>0</v>
      </c>
      <c r="N787" s="2235">
        <v>2</v>
      </c>
      <c r="O787" s="2235">
        <f>Principal!$F$50</f>
        <v>0</v>
      </c>
      <c r="P787" s="2233"/>
      <c r="Q787" s="2233"/>
      <c r="R787" s="2233" t="s">
        <v>1769</v>
      </c>
      <c r="S787" s="2233" t="s">
        <v>1769</v>
      </c>
      <c r="T787" s="2233">
        <f>2*Principal!K52</f>
        <v>0</v>
      </c>
      <c r="U787" s="2233"/>
      <c r="V787" s="2769" t="str">
        <f>"Alcance "&amp;2*Presencia_final&amp;"m"</f>
        <v>Alcance 60m</v>
      </c>
      <c r="W787" s="2236"/>
      <c r="X787" s="2949"/>
      <c r="Z787" s="2882"/>
      <c r="AA787" s="2620"/>
      <c r="AB787" s="413"/>
      <c r="AC787" s="2839"/>
    </row>
    <row r="788" spans="1:31" ht="12.75" customHeight="1" x14ac:dyDescent="0.2">
      <c r="A788" s="2029">
        <v>211</v>
      </c>
      <c r="B788" s="4995"/>
      <c r="C788" s="2948"/>
      <c r="D788" s="2232" t="s">
        <v>2726</v>
      </c>
      <c r="E788" s="2233">
        <f>60-10</f>
        <v>50</v>
      </c>
      <c r="F788" s="2233">
        <v>0</v>
      </c>
      <c r="G788" s="2233">
        <v>5</v>
      </c>
      <c r="H788" s="2233">
        <v>5</v>
      </c>
      <c r="I788" s="2233" t="s">
        <v>2727</v>
      </c>
      <c r="J788" s="2233" t="s">
        <v>1769</v>
      </c>
      <c r="K788" s="2770" t="s">
        <v>9388</v>
      </c>
      <c r="L788" s="2644" t="str">
        <f t="shared" si="74"/>
        <v>Distinta</v>
      </c>
      <c r="M788" s="2235">
        <v>15</v>
      </c>
      <c r="N788" s="2235">
        <v>2</v>
      </c>
      <c r="O788" s="2235">
        <f>Principal!$F$50</f>
        <v>0</v>
      </c>
      <c r="P788" s="2233"/>
      <c r="Q788" s="2233"/>
      <c r="R788" s="2233" t="s">
        <v>1769</v>
      </c>
      <c r="S788" s="2233" t="s">
        <v>1769</v>
      </c>
      <c r="T788" s="2233" t="s">
        <v>1769</v>
      </c>
      <c r="U788" s="2233"/>
      <c r="V788" s="2769" t="s">
        <v>2728</v>
      </c>
      <c r="W788" s="2236"/>
      <c r="X788" s="2949"/>
      <c r="Z788" s="2882"/>
      <c r="AA788" s="2620"/>
      <c r="AB788" s="413"/>
      <c r="AC788" s="2839"/>
    </row>
    <row r="789" spans="1:31" ht="12.75" customHeight="1" x14ac:dyDescent="0.2">
      <c r="A789" s="2029">
        <v>211</v>
      </c>
      <c r="B789" s="4995"/>
      <c r="C789" s="2948"/>
      <c r="D789" s="2232" t="s">
        <v>9181</v>
      </c>
      <c r="E789" s="2233">
        <v>50</v>
      </c>
      <c r="F789" s="2233">
        <v>0</v>
      </c>
      <c r="G789" s="2233">
        <v>5</v>
      </c>
      <c r="H789" s="2233">
        <v>5</v>
      </c>
      <c r="I789" s="2233" t="s">
        <v>1868</v>
      </c>
      <c r="J789" s="2233" t="s">
        <v>1869</v>
      </c>
      <c r="K789" s="2770" t="s">
        <v>9388</v>
      </c>
      <c r="L789" s="2644" t="str">
        <f t="shared" si="74"/>
        <v>Distinta</v>
      </c>
      <c r="M789" s="2235">
        <v>13</v>
      </c>
      <c r="N789" s="2235">
        <v>2</v>
      </c>
      <c r="O789" s="2235">
        <v>35</v>
      </c>
      <c r="P789" s="2233"/>
      <c r="Q789" s="2233"/>
      <c r="R789" s="2233" t="s">
        <v>1769</v>
      </c>
      <c r="S789" s="2233" t="s">
        <v>1769</v>
      </c>
      <c r="T789" s="2233" t="s">
        <v>1769</v>
      </c>
      <c r="U789" s="2233"/>
      <c r="V789" s="2239" t="s">
        <v>2730</v>
      </c>
      <c r="W789" s="2236"/>
      <c r="X789" s="2949"/>
      <c r="Z789" s="2882"/>
      <c r="AA789" s="2620"/>
      <c r="AB789" s="413"/>
      <c r="AC789" s="2839"/>
    </row>
    <row r="790" spans="1:31" ht="12.75" customHeight="1" x14ac:dyDescent="0.2">
      <c r="A790" s="2029">
        <v>211</v>
      </c>
      <c r="B790" s="4995"/>
      <c r="C790" s="2948"/>
      <c r="D790" s="2232" t="s">
        <v>9182</v>
      </c>
      <c r="E790" s="2233">
        <v>40</v>
      </c>
      <c r="F790" s="2233">
        <v>-10</v>
      </c>
      <c r="G790" s="2233">
        <v>5</v>
      </c>
      <c r="H790" s="2233">
        <v>5</v>
      </c>
      <c r="I790" s="2233" t="s">
        <v>1868</v>
      </c>
      <c r="J790" s="2233" t="s">
        <v>1869</v>
      </c>
      <c r="K790" s="2770" t="s">
        <v>9388</v>
      </c>
      <c r="L790" s="2644" t="str">
        <f t="shared" si="74"/>
        <v>Distinta</v>
      </c>
      <c r="M790" s="2235">
        <v>13</v>
      </c>
      <c r="N790" s="2235">
        <v>2</v>
      </c>
      <c r="O790" s="2235">
        <v>35</v>
      </c>
      <c r="P790" s="2233"/>
      <c r="Q790" s="2233"/>
      <c r="R790" s="2233" t="s">
        <v>1769</v>
      </c>
      <c r="S790" s="2233" t="s">
        <v>1769</v>
      </c>
      <c r="T790" s="2233" t="s">
        <v>1769</v>
      </c>
      <c r="U790" s="2233"/>
      <c r="V790" s="2239" t="s">
        <v>2730</v>
      </c>
      <c r="W790" s="2236"/>
      <c r="X790" s="2949"/>
      <c r="Z790" s="2882"/>
      <c r="AA790" s="2620"/>
      <c r="AB790" s="413"/>
      <c r="AC790" s="2839"/>
    </row>
    <row r="791" spans="1:31" ht="12.75" customHeight="1" x14ac:dyDescent="0.2">
      <c r="A791" s="2029">
        <v>211</v>
      </c>
      <c r="B791" s="4995"/>
      <c r="C791" s="2948"/>
      <c r="D791" s="2232" t="s">
        <v>2731</v>
      </c>
      <c r="E791" s="2233">
        <f>50-Bono_Fue-10-IF(Ki!Q38&gt;0,10,0)+50*V593</f>
        <v>40</v>
      </c>
      <c r="F791" s="2233">
        <v>10</v>
      </c>
      <c r="G791" s="2233">
        <v>4</v>
      </c>
      <c r="H791" s="2233">
        <v>4</v>
      </c>
      <c r="I791" s="2233" t="s">
        <v>1869</v>
      </c>
      <c r="J791" s="2233" t="s">
        <v>1813</v>
      </c>
      <c r="K791" s="2770" t="s">
        <v>9388</v>
      </c>
      <c r="L791" s="2644" t="str">
        <f t="shared" si="74"/>
        <v>Distinta</v>
      </c>
      <c r="M791" s="2235">
        <v>0</v>
      </c>
      <c r="N791" s="2235">
        <v>0</v>
      </c>
      <c r="O791" s="2235">
        <v>0</v>
      </c>
      <c r="P791" s="2233"/>
      <c r="Q791" s="2233"/>
      <c r="R791" s="2233">
        <v>100</v>
      </c>
      <c r="S791" s="2233" t="s">
        <v>1769</v>
      </c>
      <c r="T791" s="2233" t="s">
        <v>1769</v>
      </c>
      <c r="U791" s="2233"/>
      <c r="V791" s="2770" t="str">
        <f>"Lanzable (100/10m)"&amp;IF(V594&gt;0,", Penetrante","")&amp;IF(V595&gt;0,", Área "&amp;5+MAX(0,5*TRUNC((HA_final-200)/50))&amp;"m","")&amp;IF(V596&gt;0,", Precisión absoluta","")&amp;IF(V597&gt;0,", +40 nivel de crítico","")&amp;IF(V598&gt;0,", Quebrantador de escudos","")</f>
        <v>Lanzable (100/10m)</v>
      </c>
      <c r="W791" s="2236"/>
      <c r="X791" s="2949"/>
      <c r="Z791" s="2882"/>
      <c r="AA791" s="2620"/>
      <c r="AB791" s="413"/>
      <c r="AC791" s="2839"/>
    </row>
    <row r="792" spans="1:31" ht="12.75" customHeight="1" x14ac:dyDescent="0.2">
      <c r="A792" s="2029">
        <v>211</v>
      </c>
      <c r="B792" s="4995"/>
      <c r="C792" s="2948"/>
      <c r="D792" s="2232" t="s">
        <v>2732</v>
      </c>
      <c r="E792" s="2233">
        <f>100-Bono_Fue+Bono_Des</f>
        <v>100</v>
      </c>
      <c r="F792" s="2233">
        <v>20</v>
      </c>
      <c r="G792" s="2233">
        <v>3</v>
      </c>
      <c r="H792" s="2233">
        <v>3</v>
      </c>
      <c r="I792" s="2233" t="s">
        <v>1869</v>
      </c>
      <c r="J792" s="2233" t="s">
        <v>1769</v>
      </c>
      <c r="K792" s="2770" t="s">
        <v>9388</v>
      </c>
      <c r="L792" s="2644" t="str">
        <f t="shared" si="74"/>
        <v>Distinta</v>
      </c>
      <c r="M792" s="2235">
        <v>8</v>
      </c>
      <c r="N792" s="2235">
        <v>-5</v>
      </c>
      <c r="O792" s="2235">
        <v>20</v>
      </c>
      <c r="P792" s="2233"/>
      <c r="Q792" s="2233"/>
      <c r="R792" s="2233">
        <v>30</v>
      </c>
      <c r="S792" s="2233" t="s">
        <v>1769</v>
      </c>
      <c r="T792" s="2233" t="s">
        <v>1769</v>
      </c>
      <c r="U792" s="2233"/>
      <c r="V792" s="2769" t="s">
        <v>2733</v>
      </c>
      <c r="W792" s="2236"/>
      <c r="X792" s="2949"/>
      <c r="Z792" s="2882"/>
      <c r="AA792" s="2620"/>
      <c r="AB792" s="413"/>
      <c r="AC792" s="2839"/>
    </row>
    <row r="793" spans="1:31" ht="12.75" customHeight="1" x14ac:dyDescent="0.2">
      <c r="A793" s="2029">
        <v>211</v>
      </c>
      <c r="B793" s="4995"/>
      <c r="C793" s="2948"/>
      <c r="D793" s="2232" t="s">
        <v>2734</v>
      </c>
      <c r="E793" s="2233">
        <f>70-Bono_Fue-10</f>
        <v>60</v>
      </c>
      <c r="F793" s="2233">
        <v>10</v>
      </c>
      <c r="G793" s="2233">
        <v>3</v>
      </c>
      <c r="H793" s="2233">
        <v>3</v>
      </c>
      <c r="I793" s="2233" t="s">
        <v>1868</v>
      </c>
      <c r="J793" s="2233" t="s">
        <v>1813</v>
      </c>
      <c r="K793" s="2770" t="s">
        <v>9388</v>
      </c>
      <c r="L793" s="2644" t="str">
        <f t="shared" si="74"/>
        <v>Distinta</v>
      </c>
      <c r="M793" s="2235">
        <v>20</v>
      </c>
      <c r="N793" s="2235">
        <v>5</v>
      </c>
      <c r="O793" s="2235">
        <v>30</v>
      </c>
      <c r="P793" s="2233"/>
      <c r="Q793" s="2233"/>
      <c r="R793" s="2233" t="s">
        <v>1769</v>
      </c>
      <c r="S793" s="2233" t="s">
        <v>1769</v>
      </c>
      <c r="T793" s="2233" t="s">
        <v>1769</v>
      </c>
      <c r="U793" s="2233"/>
      <c r="V793" s="2770" t="s">
        <v>9102</v>
      </c>
      <c r="W793" s="2236"/>
      <c r="X793" s="2949"/>
      <c r="Z793" s="2882"/>
      <c r="AB793" s="413"/>
      <c r="AC793" s="2795"/>
    </row>
    <row r="794" spans="1:31" ht="12.75" customHeight="1" x14ac:dyDescent="0.2">
      <c r="A794" s="2029">
        <v>211</v>
      </c>
      <c r="B794" s="4995"/>
      <c r="C794" s="2948"/>
      <c r="D794" s="2232" t="s">
        <v>2735</v>
      </c>
      <c r="E794" s="2233">
        <f>30-Bono_Fue+Bono_Des</f>
        <v>30</v>
      </c>
      <c r="F794" s="2233">
        <v>20</v>
      </c>
      <c r="G794" s="2233">
        <v>0</v>
      </c>
      <c r="H794" s="2233">
        <v>0</v>
      </c>
      <c r="I794" s="2233" t="s">
        <v>1813</v>
      </c>
      <c r="J794" s="2233" t="s">
        <v>1769</v>
      </c>
      <c r="K794" s="2770" t="s">
        <v>9388</v>
      </c>
      <c r="L794" s="2644" t="str">
        <f t="shared" si="74"/>
        <v>Distinta</v>
      </c>
      <c r="M794" s="2235">
        <v>8</v>
      </c>
      <c r="N794" s="2235">
        <v>-2</v>
      </c>
      <c r="O794" s="2235">
        <v>20</v>
      </c>
      <c r="P794" s="2233"/>
      <c r="Q794" s="2233"/>
      <c r="R794" s="2233" t="s">
        <v>1769</v>
      </c>
      <c r="S794" s="2233" t="s">
        <v>1769</v>
      </c>
      <c r="T794" s="2233" t="s">
        <v>1769</v>
      </c>
      <c r="U794" s="2233"/>
      <c r="V794" s="2769" t="s">
        <v>2736</v>
      </c>
      <c r="W794" s="2236"/>
      <c r="X794" s="2949"/>
      <c r="Z794" s="2882"/>
      <c r="AB794" s="413"/>
      <c r="AC794" s="2795"/>
    </row>
    <row r="795" spans="1:31" ht="12.75" customHeight="1" thickBot="1" x14ac:dyDescent="0.25">
      <c r="A795" s="2029">
        <v>211</v>
      </c>
      <c r="B795" s="4995"/>
      <c r="C795" s="2950"/>
      <c r="D795" s="2951" t="s">
        <v>2737</v>
      </c>
      <c r="E795" s="2952">
        <f>80-Bono_Fue</f>
        <v>80</v>
      </c>
      <c r="F795" s="2952">
        <v>10</v>
      </c>
      <c r="G795" s="2952">
        <v>0</v>
      </c>
      <c r="H795" s="2952">
        <v>0</v>
      </c>
      <c r="I795" s="2952" t="s">
        <v>1868</v>
      </c>
      <c r="J795" s="2952" t="s">
        <v>1869</v>
      </c>
      <c r="K795" s="2953" t="s">
        <v>10495</v>
      </c>
      <c r="L795" s="2954" t="str">
        <f t="shared" si="74"/>
        <v>Distinta</v>
      </c>
      <c r="M795" s="2955">
        <v>30</v>
      </c>
      <c r="N795" s="2955">
        <v>15</v>
      </c>
      <c r="O795" s="2955">
        <f>Principal!$F$50</f>
        <v>0</v>
      </c>
      <c r="P795" s="2952"/>
      <c r="Q795" s="2952"/>
      <c r="R795" s="2952" t="s">
        <v>1769</v>
      </c>
      <c r="S795" s="2952" t="s">
        <v>1769</v>
      </c>
      <c r="T795" s="2952" t="s">
        <v>1769</v>
      </c>
      <c r="U795" s="2952"/>
      <c r="V795" s="2956" t="s">
        <v>1769</v>
      </c>
      <c r="W795" s="2957"/>
      <c r="X795" s="2958"/>
      <c r="Z795" s="2890"/>
      <c r="AB795" s="413"/>
      <c r="AC795" s="2795"/>
    </row>
    <row r="796" spans="1:31" ht="12.75" customHeight="1" x14ac:dyDescent="0.2">
      <c r="A796" s="2029">
        <v>211</v>
      </c>
      <c r="B796" s="4995"/>
      <c r="H796" s="413"/>
      <c r="I796" s="1761"/>
      <c r="N796" s="413"/>
      <c r="O796" s="2112"/>
      <c r="AB796" s="413"/>
      <c r="AC796" s="2795"/>
    </row>
    <row r="797" spans="1:31" ht="12.75" customHeight="1" x14ac:dyDescent="0.2">
      <c r="A797" s="2029">
        <v>211</v>
      </c>
      <c r="B797" s="4995"/>
      <c r="H797" s="413"/>
      <c r="I797" s="1761"/>
      <c r="N797" s="413"/>
      <c r="O797" s="2112"/>
      <c r="AB797" s="413"/>
      <c r="AC797" s="2795"/>
    </row>
    <row r="798" spans="1:31" ht="12.75" customHeight="1" x14ac:dyDescent="0.2">
      <c r="A798" s="2029">
        <v>211</v>
      </c>
      <c r="B798" s="4995"/>
      <c r="C798" s="4996" t="s">
        <v>9442</v>
      </c>
      <c r="D798" s="4996"/>
      <c r="E798" s="4996"/>
      <c r="F798" s="4996"/>
      <c r="G798" s="4996"/>
      <c r="H798" s="4996"/>
      <c r="I798" s="4996"/>
      <c r="J798" s="4996"/>
      <c r="K798" s="4996"/>
      <c r="L798" s="4996"/>
      <c r="M798" s="4996"/>
      <c r="N798" s="4996"/>
      <c r="O798" s="4996"/>
      <c r="P798" s="4996"/>
      <c r="Q798" s="4996"/>
      <c r="R798" s="4996"/>
      <c r="S798" s="4996"/>
      <c r="T798" s="4996"/>
      <c r="U798" s="4996"/>
      <c r="V798" s="4996"/>
      <c r="W798" s="4996"/>
      <c r="X798" s="4996"/>
      <c r="Y798" s="4996"/>
      <c r="Z798" s="4996"/>
      <c r="AA798" s="4996"/>
      <c r="AB798" s="4996"/>
      <c r="AC798" s="4996"/>
      <c r="AD798" s="4996"/>
      <c r="AE798" s="4996"/>
    </row>
    <row r="799" spans="1:31" ht="12.75" customHeight="1" x14ac:dyDescent="0.2">
      <c r="A799" s="2029">
        <v>211</v>
      </c>
      <c r="B799" s="4995"/>
      <c r="C799" s="4996"/>
      <c r="D799" s="4996"/>
      <c r="E799" s="4996"/>
      <c r="F799" s="4996"/>
      <c r="G799" s="4996"/>
      <c r="H799" s="4996"/>
      <c r="I799" s="4996"/>
      <c r="J799" s="4996"/>
      <c r="K799" s="4996"/>
      <c r="L799" s="4996"/>
      <c r="M799" s="4996"/>
      <c r="N799" s="4996"/>
      <c r="O799" s="4996"/>
      <c r="P799" s="4996"/>
      <c r="Q799" s="4996"/>
      <c r="R799" s="4996"/>
      <c r="S799" s="4996"/>
      <c r="T799" s="4996"/>
      <c r="U799" s="4996"/>
      <c r="V799" s="4996"/>
      <c r="W799" s="4996"/>
      <c r="X799" s="4996"/>
      <c r="Y799" s="4996"/>
      <c r="Z799" s="4996"/>
      <c r="AA799" s="4996"/>
      <c r="AB799" s="4996"/>
      <c r="AC799" s="4996"/>
      <c r="AD799" s="4996"/>
      <c r="AE799" s="4996"/>
    </row>
    <row r="800" spans="1:31" ht="12.75" customHeight="1" x14ac:dyDescent="0.2">
      <c r="A800" s="2029">
        <v>211</v>
      </c>
      <c r="B800" s="4995"/>
      <c r="C800" s="4996"/>
      <c r="D800" s="4996"/>
      <c r="E800" s="4996"/>
      <c r="F800" s="4996"/>
      <c r="G800" s="4996"/>
      <c r="H800" s="4996"/>
      <c r="I800" s="4996"/>
      <c r="J800" s="4996"/>
      <c r="K800" s="4996"/>
      <c r="L800" s="4996"/>
      <c r="M800" s="4996"/>
      <c r="N800" s="4996"/>
      <c r="O800" s="4996"/>
      <c r="P800" s="4996"/>
      <c r="Q800" s="4996"/>
      <c r="R800" s="4996"/>
      <c r="S800" s="4996"/>
      <c r="T800" s="4996"/>
      <c r="U800" s="4996"/>
      <c r="V800" s="4996"/>
      <c r="W800" s="4996"/>
      <c r="X800" s="4996"/>
      <c r="Y800" s="4996"/>
      <c r="Z800" s="4996"/>
      <c r="AA800" s="4996"/>
      <c r="AB800" s="4996"/>
      <c r="AC800" s="4996"/>
      <c r="AD800" s="4996"/>
      <c r="AE800" s="4996"/>
    </row>
    <row r="801" spans="1:30" ht="12.75" customHeight="1" thickBot="1" x14ac:dyDescent="0.25">
      <c r="A801" s="2029">
        <v>211</v>
      </c>
      <c r="B801" s="4995"/>
      <c r="C801" s="2028"/>
      <c r="H801" s="413"/>
      <c r="N801" s="413"/>
      <c r="AB801" s="413"/>
      <c r="AC801" s="2795"/>
    </row>
    <row r="802" spans="1:30" ht="12.75" customHeight="1" thickBot="1" x14ac:dyDescent="0.25">
      <c r="A802" s="2029">
        <v>211</v>
      </c>
      <c r="B802" s="4995"/>
      <c r="C802" s="5052" t="s">
        <v>1127</v>
      </c>
      <c r="D802" s="5053"/>
      <c r="E802" s="5053"/>
      <c r="F802" s="5053"/>
      <c r="G802" s="5053"/>
      <c r="H802" s="5053"/>
      <c r="I802" s="5053"/>
      <c r="J802" s="5053"/>
      <c r="K802" s="5053"/>
      <c r="L802" s="5053"/>
      <c r="M802" s="5053"/>
      <c r="N802" s="5053"/>
      <c r="O802" s="5053"/>
      <c r="P802" s="5053"/>
      <c r="Q802" s="5053"/>
      <c r="R802" s="5053"/>
      <c r="S802" s="5053"/>
      <c r="T802" s="5053"/>
      <c r="U802" s="5053"/>
      <c r="V802" s="5053"/>
      <c r="W802" s="5053"/>
      <c r="X802" s="5053"/>
      <c r="Y802" s="2922"/>
      <c r="Z802" s="2922"/>
      <c r="AA802" s="2772"/>
      <c r="AB802" s="413"/>
    </row>
    <row r="803" spans="1:30" ht="12.75" customHeight="1" thickBot="1" x14ac:dyDescent="0.25">
      <c r="A803" s="2029">
        <v>211</v>
      </c>
      <c r="B803" s="4995"/>
      <c r="C803" s="5054"/>
      <c r="D803" s="5055"/>
      <c r="E803" s="5055"/>
      <c r="F803" s="5055"/>
      <c r="G803" s="5055"/>
      <c r="H803" s="5055"/>
      <c r="I803" s="5055"/>
      <c r="J803" s="5055"/>
      <c r="K803" s="5055"/>
      <c r="L803" s="5055"/>
      <c r="M803" s="5055"/>
      <c r="N803" s="5055"/>
      <c r="O803" s="5055"/>
      <c r="P803" s="5055"/>
      <c r="Q803" s="5055"/>
      <c r="R803" s="5055"/>
      <c r="S803" s="5055"/>
      <c r="T803" s="5055"/>
      <c r="U803" s="5055"/>
      <c r="V803" s="5055"/>
      <c r="W803" s="5055"/>
      <c r="X803" s="5055"/>
      <c r="Y803" s="5220" t="s">
        <v>10510</v>
      </c>
      <c r="Z803" s="5220"/>
      <c r="AA803" s="5221"/>
      <c r="AB803" s="413"/>
      <c r="AC803" s="2738" t="s">
        <v>10511</v>
      </c>
      <c r="AD803" s="2929" t="s">
        <v>9262</v>
      </c>
    </row>
    <row r="804" spans="1:30" ht="12.75" customHeight="1" x14ac:dyDescent="0.2">
      <c r="A804" s="2029">
        <v>211</v>
      </c>
      <c r="B804" s="4995"/>
      <c r="C804" s="5045">
        <v>1</v>
      </c>
      <c r="D804" s="5046"/>
      <c r="E804" s="2596">
        <v>2</v>
      </c>
      <c r="F804" s="2596">
        <v>3</v>
      </c>
      <c r="G804" s="2596">
        <v>4</v>
      </c>
      <c r="H804" s="2596">
        <v>5</v>
      </c>
      <c r="I804" s="2596">
        <v>6</v>
      </c>
      <c r="J804" s="2596">
        <v>7</v>
      </c>
      <c r="K804" s="2596">
        <v>8</v>
      </c>
      <c r="L804" s="2596">
        <v>9</v>
      </c>
      <c r="M804" s="2596">
        <v>10</v>
      </c>
      <c r="N804" s="2596">
        <v>11</v>
      </c>
      <c r="O804" s="2596">
        <v>12</v>
      </c>
      <c r="P804" s="2596">
        <v>13</v>
      </c>
      <c r="Q804" s="2596">
        <v>14</v>
      </c>
      <c r="R804" s="2596">
        <v>15</v>
      </c>
      <c r="S804" s="2596">
        <v>16</v>
      </c>
      <c r="T804" s="2596">
        <v>17</v>
      </c>
      <c r="U804" s="2596">
        <v>18</v>
      </c>
      <c r="V804" s="2596">
        <v>19</v>
      </c>
      <c r="W804" s="2596">
        <v>20</v>
      </c>
      <c r="X804" s="2596">
        <v>21</v>
      </c>
      <c r="Y804" s="5220"/>
      <c r="Z804" s="5220"/>
      <c r="AA804" s="5221"/>
      <c r="AB804" s="413"/>
      <c r="AC804" s="241" t="s">
        <v>1138</v>
      </c>
      <c r="AD804" s="1807" t="s">
        <v>1677</v>
      </c>
    </row>
    <row r="805" spans="1:30" ht="12.75" customHeight="1" x14ac:dyDescent="0.2">
      <c r="A805" s="2029">
        <v>211</v>
      </c>
      <c r="B805" s="4995"/>
      <c r="C805" s="5110" t="s">
        <v>1128</v>
      </c>
      <c r="D805" s="5111"/>
      <c r="E805" s="2756" t="s">
        <v>1129</v>
      </c>
      <c r="F805" s="2756" t="s">
        <v>1130</v>
      </c>
      <c r="G805" s="2756" t="s">
        <v>1815</v>
      </c>
      <c r="H805" s="2756" t="s">
        <v>1131</v>
      </c>
      <c r="I805" s="2756" t="s">
        <v>9311</v>
      </c>
      <c r="J805" s="2756" t="s">
        <v>9312</v>
      </c>
      <c r="K805" s="2756" t="s">
        <v>1132</v>
      </c>
      <c r="L805" s="4041" t="s">
        <v>1791</v>
      </c>
      <c r="M805" s="4041"/>
      <c r="N805" s="4041"/>
      <c r="O805" s="4041"/>
      <c r="P805" s="4041"/>
      <c r="Q805" s="2756" t="s">
        <v>1134</v>
      </c>
      <c r="R805" s="2756" t="s">
        <v>1134</v>
      </c>
      <c r="S805" s="2756" t="s">
        <v>1135</v>
      </c>
      <c r="T805" s="2756" t="s">
        <v>1136</v>
      </c>
      <c r="U805" s="2756" t="s">
        <v>1137</v>
      </c>
      <c r="V805" s="2756" t="s">
        <v>1804</v>
      </c>
      <c r="W805" s="2756" t="s">
        <v>2740</v>
      </c>
      <c r="X805" s="2756" t="s">
        <v>1133</v>
      </c>
      <c r="Y805" s="2756" t="s">
        <v>9353</v>
      </c>
      <c r="Z805" s="2756" t="s">
        <v>9354</v>
      </c>
      <c r="AA805" s="2059" t="s">
        <v>9355</v>
      </c>
      <c r="AB805" s="413"/>
      <c r="AC805" s="2418" t="s">
        <v>9226</v>
      </c>
      <c r="AD805" s="1807" t="s">
        <v>4706</v>
      </c>
    </row>
    <row r="806" spans="1:30" ht="12.75" customHeight="1" thickBot="1" x14ac:dyDescent="0.25">
      <c r="A806" s="2029">
        <v>211</v>
      </c>
      <c r="B806" s="4995"/>
      <c r="C806" s="1799"/>
      <c r="D806" s="241" t="s">
        <v>1138</v>
      </c>
      <c r="E806" s="2771"/>
      <c r="F806" s="2771"/>
      <c r="G806" s="2771"/>
      <c r="H806" s="2771"/>
      <c r="I806" s="2771"/>
      <c r="J806" s="2771"/>
      <c r="K806" s="2771"/>
      <c r="L806" s="2624" t="s">
        <v>1769</v>
      </c>
      <c r="M806" s="2771"/>
      <c r="N806" s="2771"/>
      <c r="O806" s="2624"/>
      <c r="P806" s="2771"/>
      <c r="Q806" s="2771"/>
      <c r="R806" s="2771"/>
      <c r="S806" s="2771"/>
      <c r="T806" s="2771"/>
      <c r="U806" s="2771">
        <f t="shared" ref="U806:U837" si="75">W806*E806</f>
        <v>0</v>
      </c>
      <c r="V806" s="2771">
        <v>0</v>
      </c>
      <c r="W806" s="2771"/>
      <c r="X806" s="2771" t="s">
        <v>1769</v>
      </c>
      <c r="Y806" s="2920"/>
      <c r="Z806" s="2836"/>
      <c r="AA806" s="1997"/>
      <c r="AB806" s="413"/>
      <c r="AC806" s="2418" t="s">
        <v>9227</v>
      </c>
      <c r="AD806" s="2419" t="s">
        <v>9261</v>
      </c>
    </row>
    <row r="807" spans="1:30" ht="12.75" customHeight="1" thickBot="1" x14ac:dyDescent="0.25">
      <c r="A807" s="2029">
        <v>211</v>
      </c>
      <c r="B807" s="4995"/>
      <c r="C807" s="1799"/>
      <c r="D807" s="490" t="s">
        <v>1139</v>
      </c>
      <c r="E807" s="2771">
        <f>10+Bono_Fue</f>
        <v>10</v>
      </c>
      <c r="F807" s="2771"/>
      <c r="G807" s="2771">
        <v>0</v>
      </c>
      <c r="H807" s="2771"/>
      <c r="I807" s="2771"/>
      <c r="J807" s="2771"/>
      <c r="K807" s="2771"/>
      <c r="L807" s="162" t="s">
        <v>1140</v>
      </c>
      <c r="M807" s="178"/>
      <c r="N807" s="178"/>
      <c r="O807" s="516"/>
      <c r="P807" s="178"/>
      <c r="Q807" s="2771"/>
      <c r="R807" s="2771"/>
      <c r="S807" s="2771"/>
      <c r="T807" s="2771"/>
      <c r="U807" s="2771">
        <f t="shared" si="75"/>
        <v>0</v>
      </c>
      <c r="V807" s="2771">
        <f>20*IF(AND(Arma_Desarrollada="Desarmado",D807=PDs!$AD$56),0.5,1)</f>
        <v>20</v>
      </c>
      <c r="W807" s="2771">
        <f>IF(COUNTIF(PDs!$AD$56:$AD$74,Tablas!D807)&gt;0,1,0)</f>
        <v>0</v>
      </c>
      <c r="X807" s="2771" t="str">
        <f>IF(T.Manos_final&lt;20,"NO","-")</f>
        <v>NO</v>
      </c>
      <c r="Y807" s="2920">
        <f>HA_final-PDs!$X$22+MIN(PDs!$X$22+H$896-H807,50)</f>
        <v>0</v>
      </c>
      <c r="Z807" s="2836">
        <f>HE_final-PDs!$X$24+MIN(PDs!$X$24+I$896-I807,50)</f>
        <v>0</v>
      </c>
      <c r="AA807" s="1997">
        <f>HP_final-PDs!$X$23+MIN(PDs!$X$23+J$896-J807,50)</f>
        <v>0</v>
      </c>
      <c r="AB807" s="413"/>
      <c r="AC807" s="2418" t="s">
        <v>9228</v>
      </c>
      <c r="AD807" s="2421" t="s">
        <v>9263</v>
      </c>
    </row>
    <row r="808" spans="1:30" ht="12.75" customHeight="1" x14ac:dyDescent="0.2">
      <c r="A808" s="2029">
        <v>211</v>
      </c>
      <c r="B808" s="4995"/>
      <c r="C808" s="1799"/>
      <c r="D808" s="490" t="s">
        <v>1141</v>
      </c>
      <c r="E808" s="2771">
        <f>10+Bono_Fue</f>
        <v>10</v>
      </c>
      <c r="F808" s="2771"/>
      <c r="G808" s="2771">
        <v>10</v>
      </c>
      <c r="H808" s="2771"/>
      <c r="I808" s="2771">
        <v>10</v>
      </c>
      <c r="J808" s="2771">
        <v>10</v>
      </c>
      <c r="K808" s="2771"/>
      <c r="L808" s="162" t="s">
        <v>1142</v>
      </c>
      <c r="M808" s="2741"/>
      <c r="N808" s="2741"/>
      <c r="O808" s="2115"/>
      <c r="P808" s="2741"/>
      <c r="Q808" s="2771"/>
      <c r="R808" s="2771"/>
      <c r="S808" s="2771"/>
      <c r="T808" s="2771"/>
      <c r="U808" s="2771">
        <f t="shared" si="75"/>
        <v>0</v>
      </c>
      <c r="V808" s="2771">
        <f>30*IF(Arma_Desarrollada="Desarmado",IF(D807=PDs!$AD$56,0.5,1),1)</f>
        <v>30</v>
      </c>
      <c r="W808" s="2771">
        <f>IF(COUNTIF(PDs!$AD$56:$AD$74,Tablas!D808)&gt;0,1,0)</f>
        <v>0</v>
      </c>
      <c r="X808" s="2771" t="str">
        <f>IF(OR(T.Manos_final&lt;40,Y808&lt;100,MAX(Z808,AA808)&lt;120,W807=0),"NO","-")</f>
        <v>NO</v>
      </c>
      <c r="Y808" s="2920">
        <f>HA_final-PDs!$X$22+MIN(PDs!$X$22+H$896-H808,50)</f>
        <v>0</v>
      </c>
      <c r="Z808" s="2836">
        <f>HE_final-PDs!$X$24+MIN(PDs!$X$24+I$896-I808,50)</f>
        <v>-10</v>
      </c>
      <c r="AA808" s="1997">
        <f>HP_final-PDs!$X$23+MIN(PDs!$X$23+J$896-J808,50)</f>
        <v>-10</v>
      </c>
      <c r="AB808" s="413"/>
      <c r="AC808" s="2418" t="s">
        <v>9229</v>
      </c>
      <c r="AD808" s="2417" t="s">
        <v>1677</v>
      </c>
    </row>
    <row r="809" spans="1:30" ht="12.75" customHeight="1" thickBot="1" x14ac:dyDescent="0.25">
      <c r="A809" s="2029">
        <v>211</v>
      </c>
      <c r="B809" s="4995"/>
      <c r="C809" s="1799"/>
      <c r="D809" s="490" t="s">
        <v>1143</v>
      </c>
      <c r="E809" s="2771">
        <f>10+Bono_Fue</f>
        <v>10</v>
      </c>
      <c r="F809" s="2771"/>
      <c r="G809" s="2771">
        <v>10</v>
      </c>
      <c r="H809" s="2771"/>
      <c r="I809" s="2771">
        <v>10</v>
      </c>
      <c r="J809" s="2771">
        <v>10</v>
      </c>
      <c r="K809" s="2771"/>
      <c r="L809" s="162" t="s">
        <v>1144</v>
      </c>
      <c r="M809" s="2741"/>
      <c r="N809" s="2741"/>
      <c r="O809" s="2115"/>
      <c r="P809" s="2741"/>
      <c r="Q809" s="2771"/>
      <c r="R809" s="2771"/>
      <c r="S809" s="2771"/>
      <c r="T809" s="2771"/>
      <c r="U809" s="2771">
        <f t="shared" si="75"/>
        <v>0</v>
      </c>
      <c r="V809" s="2771">
        <f>50*IF(Arma_Desarrollada="Desarmado",IF(D807=PDs!$AD$56,0.5,1),1)</f>
        <v>50</v>
      </c>
      <c r="W809" s="2771">
        <f>IF(COUNTIF(PDs!$AD$56:$AD$74,Tablas!D809)&gt;0,1,0)</f>
        <v>0</v>
      </c>
      <c r="X809" s="2771" t="str">
        <f>IF(OR(T.Manos_final&lt;80,MAX(Z809,AA809)&lt;200,W808=0),"NO","-")</f>
        <v>NO</v>
      </c>
      <c r="Y809" s="2920">
        <f>HA_final-PDs!$X$22+MIN(PDs!$X$22+H$896-H809,50)</f>
        <v>0</v>
      </c>
      <c r="Z809" s="2836">
        <f>HE_final-PDs!$X$24+MIN(PDs!$X$24+I$896-I809,50)</f>
        <v>-10</v>
      </c>
      <c r="AA809" s="1997">
        <f>HP_final-PDs!$X$23+MIN(PDs!$X$23+J$896-J809,50)</f>
        <v>-10</v>
      </c>
      <c r="AB809" s="413"/>
      <c r="AC809" s="2418" t="s">
        <v>9230</v>
      </c>
      <c r="AD809" s="2419" t="s">
        <v>4707</v>
      </c>
    </row>
    <row r="810" spans="1:30" ht="12.75" customHeight="1" x14ac:dyDescent="0.2">
      <c r="A810" s="2029">
        <v>211</v>
      </c>
      <c r="B810" s="4995"/>
      <c r="C810" s="1799"/>
      <c r="D810" s="490" t="s">
        <v>1145</v>
      </c>
      <c r="E810" s="2771">
        <f>10+2*Bono_Fue</f>
        <v>10</v>
      </c>
      <c r="F810" s="2771"/>
      <c r="G810" s="2771">
        <v>0</v>
      </c>
      <c r="H810" s="2771"/>
      <c r="I810" s="2771"/>
      <c r="J810" s="2771"/>
      <c r="K810" s="2771">
        <v>5</v>
      </c>
      <c r="L810" s="162" t="s">
        <v>1769</v>
      </c>
      <c r="M810" s="2741"/>
      <c r="N810" s="2741"/>
      <c r="O810" s="2115"/>
      <c r="P810" s="2741"/>
      <c r="Q810" s="2771"/>
      <c r="R810" s="2771"/>
      <c r="S810" s="2771"/>
      <c r="T810" s="2771"/>
      <c r="U810" s="2771">
        <f t="shared" si="75"/>
        <v>0</v>
      </c>
      <c r="V810" s="2771">
        <f>20*IF(AND(Arma_Desarrollada="Desarmado",D810=PDs!$AD$56),0.5,1)</f>
        <v>20</v>
      </c>
      <c r="W810" s="2771">
        <f>IF(COUNTIF(PDs!$AD$56:$AD$74,Tablas!D810)&gt;0,1,0)</f>
        <v>0</v>
      </c>
      <c r="X810" s="2771" t="str">
        <f>IF(OR(P.Fuerza_final&lt;30),"NO","-")</f>
        <v>NO</v>
      </c>
      <c r="Y810" s="2920">
        <f>HA_final-PDs!$X$22+MIN(PDs!$X$22+H$896-H810,50)</f>
        <v>0</v>
      </c>
      <c r="Z810" s="2836">
        <f>HE_final-PDs!$X$24+MIN(PDs!$X$24+I$896-I810,50)</f>
        <v>0</v>
      </c>
      <c r="AA810" s="1997">
        <f>HP_final-PDs!$X$23+MIN(PDs!$X$23+J$896-J810,50)</f>
        <v>0</v>
      </c>
      <c r="AB810" s="413"/>
      <c r="AC810" s="2418" t="s">
        <v>9231</v>
      </c>
    </row>
    <row r="811" spans="1:30" ht="12.75" customHeight="1" x14ac:dyDescent="0.2">
      <c r="A811" s="2029">
        <v>211</v>
      </c>
      <c r="B811" s="4995"/>
      <c r="C811" s="1799"/>
      <c r="D811" s="490" t="s">
        <v>1146</v>
      </c>
      <c r="E811" s="2771">
        <f>20+2*Bono_Fue</f>
        <v>20</v>
      </c>
      <c r="F811" s="2771"/>
      <c r="G811" s="2771">
        <v>10</v>
      </c>
      <c r="H811" s="2771"/>
      <c r="I811" s="2771"/>
      <c r="J811" s="2771"/>
      <c r="K811" s="2771">
        <v>5</v>
      </c>
      <c r="L811" s="162" t="s">
        <v>1147</v>
      </c>
      <c r="M811" s="2741"/>
      <c r="N811" s="2741"/>
      <c r="O811" s="2115"/>
      <c r="P811" s="2741"/>
      <c r="Q811" s="2771"/>
      <c r="R811" s="2771"/>
      <c r="S811" s="2771"/>
      <c r="T811" s="2771"/>
      <c r="U811" s="2771">
        <f t="shared" si="75"/>
        <v>0</v>
      </c>
      <c r="V811" s="2771">
        <f>30*IF(Arma_Desarrollada="Desarmado",IF(D810=PDs!$AD$56,0.5,1),1)</f>
        <v>30</v>
      </c>
      <c r="W811" s="2771">
        <f>IF(COUNTIF(PDs!$AD$56:$AD$74,Tablas!D811)&gt;0,1,0)</f>
        <v>0</v>
      </c>
      <c r="X811" s="2771" t="str">
        <f>IF(OR(P.Fuerza_final&lt;60,Y811&lt;120,MAX(Z811,AA811)&lt;120,W810=0),"NO","-")</f>
        <v>NO</v>
      </c>
      <c r="Y811" s="2920">
        <f>HA_final-PDs!$X$22+MIN(PDs!$X$22+H$896-H811,50)</f>
        <v>0</v>
      </c>
      <c r="Z811" s="2836">
        <f>HE_final-PDs!$X$24+MIN(PDs!$X$24+I$896-I811,50)</f>
        <v>0</v>
      </c>
      <c r="AA811" s="1997">
        <f>HP_final-PDs!$X$23+MIN(PDs!$X$23+J$896-J811,50)</f>
        <v>0</v>
      </c>
      <c r="AB811" s="413"/>
      <c r="AC811" s="2418" t="s">
        <v>9232</v>
      </c>
    </row>
    <row r="812" spans="1:30" ht="12.75" customHeight="1" x14ac:dyDescent="0.2">
      <c r="A812" s="2029">
        <v>211</v>
      </c>
      <c r="B812" s="4995"/>
      <c r="C812" s="1799"/>
      <c r="D812" s="490" t="s">
        <v>1148</v>
      </c>
      <c r="E812" s="2771">
        <f>30+2*Bono_Fue</f>
        <v>30</v>
      </c>
      <c r="F812" s="2771"/>
      <c r="G812" s="2771">
        <v>10</v>
      </c>
      <c r="H812" s="2771">
        <v>10</v>
      </c>
      <c r="I812" s="2771"/>
      <c r="J812" s="2771"/>
      <c r="K812" s="2771">
        <v>10</v>
      </c>
      <c r="L812" s="162" t="s">
        <v>1769</v>
      </c>
      <c r="M812" s="2741"/>
      <c r="N812" s="2741"/>
      <c r="O812" s="2115"/>
      <c r="P812" s="2741"/>
      <c r="Q812" s="2771"/>
      <c r="R812" s="2771"/>
      <c r="S812" s="2771"/>
      <c r="T812" s="2771"/>
      <c r="U812" s="2771">
        <f t="shared" si="75"/>
        <v>0</v>
      </c>
      <c r="V812" s="2771">
        <f>50*IF(Arma_Desarrollada="Desarmado",IF(D810=PDs!$AD$56,0.5,1),1)</f>
        <v>50</v>
      </c>
      <c r="W812" s="2771">
        <f>IF(COUNTIF(PDs!$AD$56:$AD$74,Tablas!D812)&gt;0,1,0)</f>
        <v>0</v>
      </c>
      <c r="X812" s="2771" t="str">
        <f>IF(OR(P.Fuerza_final&lt;120,Y812&lt;200,MAX(Z812,AA812)&lt;200,W811=0),"NO","-")</f>
        <v>NO</v>
      </c>
      <c r="Y812" s="2920">
        <f>HA_final-PDs!$X$22+MIN(PDs!$X$22+H$896-H812,50)</f>
        <v>-10</v>
      </c>
      <c r="Z812" s="2836">
        <f>HE_final-PDs!$X$24+MIN(PDs!$X$24+I$896-I812,50)</f>
        <v>0</v>
      </c>
      <c r="AA812" s="1997">
        <f>HP_final-PDs!$X$23+MIN(PDs!$X$23+J$896-J812,50)</f>
        <v>0</v>
      </c>
      <c r="AB812" s="413"/>
      <c r="AC812" s="2418" t="s">
        <v>9233</v>
      </c>
    </row>
    <row r="813" spans="1:30" ht="12.75" customHeight="1" x14ac:dyDescent="0.2">
      <c r="A813" s="2029">
        <v>211</v>
      </c>
      <c r="B813" s="4995"/>
      <c r="C813" s="1799"/>
      <c r="D813" s="490" t="s">
        <v>1149</v>
      </c>
      <c r="E813" s="2771">
        <f>20+Bono_Fue</f>
        <v>20</v>
      </c>
      <c r="F813" s="2771"/>
      <c r="G813" s="2771">
        <v>0</v>
      </c>
      <c r="H813" s="2771"/>
      <c r="I813" s="2771"/>
      <c r="J813" s="2771"/>
      <c r="K813" s="2771"/>
      <c r="L813" s="162" t="s">
        <v>1150</v>
      </c>
      <c r="M813" s="2741"/>
      <c r="N813" s="2741"/>
      <c r="O813" s="2115"/>
      <c r="P813" s="2741"/>
      <c r="Q813" s="2771"/>
      <c r="R813" s="2771"/>
      <c r="S813" s="2771"/>
      <c r="T813" s="2771"/>
      <c r="U813" s="2771">
        <f t="shared" si="75"/>
        <v>0</v>
      </c>
      <c r="V813" s="2771">
        <f>20*IF(AND(Arma_Desarrollada="Desarmado",D813=PDs!$AD$56),0.5,1)</f>
        <v>20</v>
      </c>
      <c r="W813" s="2771">
        <f>IF(COUNTIF(PDs!$AD$56:$AD$74,Tablas!D813)&gt;0,1,0)</f>
        <v>0</v>
      </c>
      <c r="X813" s="2771" t="str">
        <f>IF(OR(Baile_final&lt;20,Baile_final="-"),"NO","-")</f>
        <v>NO</v>
      </c>
      <c r="Y813" s="2920">
        <f>HA_final-PDs!$X$22+MIN(PDs!$X$22+H$896-H813,50)</f>
        <v>0</v>
      </c>
      <c r="Z813" s="2836">
        <f>HE_final-PDs!$X$24+MIN(PDs!$X$24+I$896-I813,50)</f>
        <v>0</v>
      </c>
      <c r="AA813" s="1997">
        <f>HP_final-PDs!$X$23+MIN(PDs!$X$23+J$896-J813,50)</f>
        <v>0</v>
      </c>
      <c r="AB813" s="413"/>
      <c r="AC813" s="2418" t="s">
        <v>9234</v>
      </c>
    </row>
    <row r="814" spans="1:30" ht="12.75" customHeight="1" x14ac:dyDescent="0.2">
      <c r="A814" s="2029">
        <v>211</v>
      </c>
      <c r="B814" s="4995"/>
      <c r="C814" s="1799"/>
      <c r="D814" s="490" t="s">
        <v>1151</v>
      </c>
      <c r="E814" s="2771">
        <f>20+Bono_Fue</f>
        <v>20</v>
      </c>
      <c r="F814" s="2771"/>
      <c r="G814" s="2771">
        <v>10</v>
      </c>
      <c r="H814" s="2771"/>
      <c r="I814" s="2771">
        <v>10</v>
      </c>
      <c r="J814" s="2771"/>
      <c r="K814" s="2771"/>
      <c r="L814" s="162" t="s">
        <v>1152</v>
      </c>
      <c r="M814" s="178"/>
      <c r="N814" s="178"/>
      <c r="O814" s="516"/>
      <c r="P814" s="178"/>
      <c r="Q814" s="2771"/>
      <c r="R814" s="2771"/>
      <c r="S814" s="2771"/>
      <c r="T814" s="2771"/>
      <c r="U814" s="2771">
        <f t="shared" si="75"/>
        <v>0</v>
      </c>
      <c r="V814" s="2771">
        <f>30*IF(Arma_Desarrollada="Desarmado",IF(D813=PDs!$AD$56,0.5,1),1)</f>
        <v>30</v>
      </c>
      <c r="W814" s="2771">
        <f>IF(COUNTIF(PDs!$AD$56:$AD$74,Tablas!D814)&gt;0,1,0)</f>
        <v>0</v>
      </c>
      <c r="X814" s="2771" t="str">
        <f>IF(OR(Baile_final&lt;40,Baile_final="-",$W$813=0,Z814&lt;120),"NO","-")</f>
        <v>NO</v>
      </c>
      <c r="Y814" s="2920">
        <f>HA_final-PDs!$X$22+MIN(PDs!$X$22+H$896-H814,50)</f>
        <v>0</v>
      </c>
      <c r="Z814" s="2836">
        <f>HE_final-PDs!$X$24+MIN(PDs!$X$24+I$896-I814,50)</f>
        <v>-10</v>
      </c>
      <c r="AA814" s="1997">
        <f>HP_final-PDs!$X$23+MIN(PDs!$X$23+J$896-J814,50)</f>
        <v>0</v>
      </c>
      <c r="AB814" s="413"/>
      <c r="AC814" s="2418" t="s">
        <v>9235</v>
      </c>
    </row>
    <row r="815" spans="1:30" ht="12.75" customHeight="1" x14ac:dyDescent="0.2">
      <c r="A815" s="2029">
        <v>211</v>
      </c>
      <c r="B815" s="4995"/>
      <c r="C815" s="1799"/>
      <c r="D815" s="490" t="s">
        <v>1153</v>
      </c>
      <c r="E815" s="2771">
        <f>20+Bono_Fue</f>
        <v>20</v>
      </c>
      <c r="F815" s="2771"/>
      <c r="G815" s="2771">
        <v>10</v>
      </c>
      <c r="H815" s="2771"/>
      <c r="I815" s="2771">
        <v>10</v>
      </c>
      <c r="J815" s="2771"/>
      <c r="K815" s="2771"/>
      <c r="L815" s="162" t="s">
        <v>1154</v>
      </c>
      <c r="M815" s="2741"/>
      <c r="N815" s="2741"/>
      <c r="O815" s="2115"/>
      <c r="P815" s="2741"/>
      <c r="Q815" s="2771"/>
      <c r="R815" s="2771"/>
      <c r="S815" s="2771"/>
      <c r="T815" s="2771"/>
      <c r="U815" s="2771">
        <f t="shared" si="75"/>
        <v>0</v>
      </c>
      <c r="V815" s="2771">
        <f>50*IF(Arma_Desarrollada="Desarmado",IF(D813=PDs!$AD$56,0.5,1),1)</f>
        <v>50</v>
      </c>
      <c r="W815" s="2771">
        <f>IF(COUNTIF(PDs!$AD$56:$AD$74,Tablas!D815)&gt;0,1,0)</f>
        <v>0</v>
      </c>
      <c r="X815" s="2771" t="str">
        <f>IF(OR(Baile_final&lt;120,Baile_final="-",$W$814=0,Z815&lt;200),"NO","-")</f>
        <v>NO</v>
      </c>
      <c r="Y815" s="2920">
        <f>HA_final-PDs!$X$22+MIN(PDs!$X$22+H$896-H815,50)</f>
        <v>0</v>
      </c>
      <c r="Z815" s="2836">
        <f>HE_final-PDs!$X$24+MIN(PDs!$X$24+I$896-I815,50)</f>
        <v>-10</v>
      </c>
      <c r="AA815" s="1997">
        <f>HP_final-PDs!$X$23+MIN(PDs!$X$23+J$896-J815,50)</f>
        <v>0</v>
      </c>
      <c r="AB815" s="413"/>
      <c r="AC815" s="2418" t="s">
        <v>9236</v>
      </c>
    </row>
    <row r="816" spans="1:30" ht="12.75" customHeight="1" x14ac:dyDescent="0.2">
      <c r="A816" s="2029">
        <v>211</v>
      </c>
      <c r="B816" s="4995"/>
      <c r="C816" s="1799"/>
      <c r="D816" s="490" t="s">
        <v>1155</v>
      </c>
      <c r="E816" s="2771">
        <f>10+Bono_Fue</f>
        <v>10</v>
      </c>
      <c r="F816" s="2771"/>
      <c r="G816" s="2771">
        <v>0</v>
      </c>
      <c r="H816" s="2771"/>
      <c r="I816" s="2771"/>
      <c r="J816" s="2771"/>
      <c r="K816" s="2771"/>
      <c r="L816" s="2624" t="s">
        <v>1156</v>
      </c>
      <c r="M816" s="516"/>
      <c r="N816" s="516"/>
      <c r="O816" s="516"/>
      <c r="P816" s="516"/>
      <c r="Q816" s="2771"/>
      <c r="R816" s="2771"/>
      <c r="S816" s="2771"/>
      <c r="T816" s="2771"/>
      <c r="U816" s="2771">
        <f t="shared" si="75"/>
        <v>0</v>
      </c>
      <c r="V816" s="2771">
        <f>20*IF(AND(Arma_Desarrollada="Desarmado",D816=PDs!$AD$56),0.5,1)</f>
        <v>20</v>
      </c>
      <c r="W816" s="2771">
        <f>IF(COUNTIF(PDs!$AD$56:$AD$74,Tablas!D816)&gt;0,1,0)</f>
        <v>0</v>
      </c>
      <c r="X816" s="2771" t="str">
        <f>IF(P.Fuerza_final&lt;20,"NO","-")</f>
        <v>NO</v>
      </c>
      <c r="Y816" s="2920">
        <f>HA_final-PDs!$X$22+MIN(PDs!$X$22+H$896-H816,50)</f>
        <v>0</v>
      </c>
      <c r="Z816" s="2836">
        <f>HE_final-PDs!$X$24+MIN(PDs!$X$24+I$896-I816,50)</f>
        <v>0</v>
      </c>
      <c r="AA816" s="1997">
        <f>HP_final-PDs!$X$23+MIN(PDs!$X$23+J$896-J816,50)</f>
        <v>0</v>
      </c>
      <c r="AB816" s="413"/>
      <c r="AC816" s="2418" t="s">
        <v>9237</v>
      </c>
    </row>
    <row r="817" spans="1:29" ht="12.75" customHeight="1" x14ac:dyDescent="0.2">
      <c r="A817" s="2029">
        <v>211</v>
      </c>
      <c r="B817" s="4995"/>
      <c r="C817" s="1799"/>
      <c r="D817" s="490" t="s">
        <v>1157</v>
      </c>
      <c r="E817" s="2771">
        <f>20+Bono_Fue</f>
        <v>20</v>
      </c>
      <c r="F817" s="2771"/>
      <c r="G817" s="2771">
        <v>10</v>
      </c>
      <c r="H817" s="2771"/>
      <c r="I817" s="2771"/>
      <c r="J817" s="2771"/>
      <c r="K817" s="2771"/>
      <c r="L817" s="162" t="s">
        <v>1158</v>
      </c>
      <c r="M817" s="178"/>
      <c r="N817" s="178"/>
      <c r="O817" s="516"/>
      <c r="P817" s="178"/>
      <c r="Q817" s="2771"/>
      <c r="R817" s="2771"/>
      <c r="S817" s="2771"/>
      <c r="T817" s="2771"/>
      <c r="U817" s="2771">
        <f t="shared" si="75"/>
        <v>0</v>
      </c>
      <c r="V817" s="2771">
        <f>30*IF(Arma_Desarrollada="Desarmado",IF(D816=PDs!$AD$56,0.5,1),1)</f>
        <v>30</v>
      </c>
      <c r="W817" s="2771">
        <f>IF(COUNTIF(PDs!$AD$56:$AD$74,Tablas!D817)&gt;0,1,0)</f>
        <v>0</v>
      </c>
      <c r="X817" s="2771" t="str">
        <f>IF(OR(P.Fuerza_final&lt;40,Y817&lt;130,$W$816=0),"NO","-")</f>
        <v>NO</v>
      </c>
      <c r="Y817" s="2920">
        <f>HA_final-PDs!$X$22+MIN(PDs!$X$22+H$896-H817,50)</f>
        <v>0</v>
      </c>
      <c r="Z817" s="2836">
        <f>HE_final-PDs!$X$24+MIN(PDs!$X$24+I$896-I817,50)</f>
        <v>0</v>
      </c>
      <c r="AA817" s="1997">
        <f>HP_final-PDs!$X$23+MIN(PDs!$X$23+J$896-J817,50)</f>
        <v>0</v>
      </c>
      <c r="AB817" s="413"/>
      <c r="AC817" s="2418" t="s">
        <v>9238</v>
      </c>
    </row>
    <row r="818" spans="1:29" ht="12.75" customHeight="1" x14ac:dyDescent="0.2">
      <c r="A818" s="2029">
        <v>211</v>
      </c>
      <c r="B818" s="4995"/>
      <c r="C818" s="1799"/>
      <c r="D818" s="490" t="s">
        <v>1159</v>
      </c>
      <c r="E818" s="2771">
        <f>20+Bono_Fue</f>
        <v>20</v>
      </c>
      <c r="F818" s="2771"/>
      <c r="G818" s="2771">
        <v>10</v>
      </c>
      <c r="H818" s="2771"/>
      <c r="I818" s="2771"/>
      <c r="J818" s="2771"/>
      <c r="K818" s="2771"/>
      <c r="L818" s="2624" t="s">
        <v>1160</v>
      </c>
      <c r="M818" s="516"/>
      <c r="N818" s="516"/>
      <c r="O818" s="516"/>
      <c r="P818" s="516"/>
      <c r="Q818" s="2771"/>
      <c r="R818" s="2771"/>
      <c r="S818" s="2771"/>
      <c r="T818" s="2771"/>
      <c r="U818" s="2771">
        <f t="shared" si="75"/>
        <v>0</v>
      </c>
      <c r="V818" s="2771">
        <f>50*IF(Arma_Desarrollada="Desarmado",IF(D816=PDs!$AD$56,0.5,1),1)</f>
        <v>50</v>
      </c>
      <c r="W818" s="2771">
        <f>IF(COUNTIF(PDs!$AD$56:$AD$74,Tablas!D818)&gt;0,1,0)</f>
        <v>0</v>
      </c>
      <c r="X818" s="2771" t="str">
        <f>IF(OR(P.Fuerza_final&lt;120,Y818&lt;200,$W$817=0),"NO","-")</f>
        <v>NO</v>
      </c>
      <c r="Y818" s="2920">
        <f>HA_final-PDs!$X$22+MIN(PDs!$X$22+H$896-H818,50)</f>
        <v>0</v>
      </c>
      <c r="Z818" s="2836">
        <f>HE_final-PDs!$X$24+MIN(PDs!$X$24+I$896-I818,50)</f>
        <v>0</v>
      </c>
      <c r="AA818" s="1997">
        <f>HP_final-PDs!$X$23+MIN(PDs!$X$23+J$896-J818,50)</f>
        <v>0</v>
      </c>
      <c r="AB818" s="413"/>
      <c r="AC818" s="2418" t="s">
        <v>9239</v>
      </c>
    </row>
    <row r="819" spans="1:29" ht="12.75" customHeight="1" x14ac:dyDescent="0.2">
      <c r="A819" s="2029">
        <v>211</v>
      </c>
      <c r="B819" s="4995"/>
      <c r="C819" s="1799"/>
      <c r="D819" s="490" t="s">
        <v>1161</v>
      </c>
      <c r="E819" s="2771">
        <f>10+Bono_Fue</f>
        <v>10</v>
      </c>
      <c r="F819" s="2771"/>
      <c r="G819" s="2771">
        <v>0</v>
      </c>
      <c r="H819" s="2771"/>
      <c r="I819" s="2771"/>
      <c r="J819" s="2771"/>
      <c r="K819" s="2771"/>
      <c r="L819" s="2624" t="s">
        <v>1162</v>
      </c>
      <c r="M819" s="516"/>
      <c r="N819" s="516"/>
      <c r="O819" s="516"/>
      <c r="P819" s="516"/>
      <c r="Q819" s="2771"/>
      <c r="R819" s="2771"/>
      <c r="S819" s="2771"/>
      <c r="T819" s="2771"/>
      <c r="U819" s="2771">
        <f t="shared" si="75"/>
        <v>0</v>
      </c>
      <c r="V819" s="2771">
        <f>20*IF(AND(Arma_Desarrollada="Desarmado",D819=PDs!$AD$56),0.5,1)</f>
        <v>20</v>
      </c>
      <c r="W819" s="2771">
        <f>IF(COUNTIF(PDs!$AD$56:$AD$74,Tablas!D819)&gt;0,1,0)</f>
        <v>0</v>
      </c>
      <c r="X819" s="2771" t="str">
        <f>IF(OR(T.Manos_final&lt;20,Atletismo_final&lt;40),"NO","-")</f>
        <v>NO</v>
      </c>
      <c r="Y819" s="2920">
        <f>HA_final-PDs!$X$22+MIN(PDs!$X$22+H$896-H819,50)</f>
        <v>0</v>
      </c>
      <c r="Z819" s="2836">
        <f>HE_final-PDs!$X$24+MIN(PDs!$X$24+I$896-I819,50)</f>
        <v>0</v>
      </c>
      <c r="AA819" s="1997">
        <f>HP_final-PDs!$X$23+MIN(PDs!$X$23+J$896-J819,50)</f>
        <v>0</v>
      </c>
      <c r="AB819" s="413"/>
      <c r="AC819" s="2418" t="s">
        <v>9240</v>
      </c>
    </row>
    <row r="820" spans="1:29" ht="12.75" customHeight="1" x14ac:dyDescent="0.2">
      <c r="A820" s="2029">
        <v>211</v>
      </c>
      <c r="B820" s="4995"/>
      <c r="C820" s="1799"/>
      <c r="D820" s="490" t="s">
        <v>1163</v>
      </c>
      <c r="E820" s="2771">
        <f>20+Bono_Fue</f>
        <v>20</v>
      </c>
      <c r="F820" s="2771"/>
      <c r="G820" s="2771">
        <v>10</v>
      </c>
      <c r="H820" s="2771"/>
      <c r="I820" s="2771">
        <v>10</v>
      </c>
      <c r="J820" s="2771">
        <v>10</v>
      </c>
      <c r="K820" s="2771"/>
      <c r="L820" s="2624" t="s">
        <v>1164</v>
      </c>
      <c r="M820" s="516"/>
      <c r="N820" s="516"/>
      <c r="O820" s="516"/>
      <c r="P820" s="516"/>
      <c r="Q820" s="2771"/>
      <c r="R820" s="2771"/>
      <c r="S820" s="2771"/>
      <c r="T820" s="2771"/>
      <c r="U820" s="2771">
        <f t="shared" si="75"/>
        <v>0</v>
      </c>
      <c r="V820" s="2771">
        <f>30*IF(Arma_Desarrollada="Desarmado",IF(D819=PDs!$AD$56,0.5,1),1)</f>
        <v>30</v>
      </c>
      <c r="W820" s="2771">
        <f>IF(COUNTIF(PDs!$AD$56:$AD$74,Tablas!D820)&gt;0,1,0)</f>
        <v>0</v>
      </c>
      <c r="X820" s="2771" t="str">
        <f>IF(OR(T.Manos_final&lt;40,Atletismo_final&lt;60,MAX(Z820,AA820)&lt;120,$W$819=0),"NO","-")</f>
        <v>NO</v>
      </c>
      <c r="Y820" s="2920">
        <f>HA_final-PDs!$X$22+MIN(PDs!$X$22+H$896-H820,50)</f>
        <v>0</v>
      </c>
      <c r="Z820" s="2836">
        <f>HE_final-PDs!$X$24+MIN(PDs!$X$24+I$896-I820,50)</f>
        <v>-10</v>
      </c>
      <c r="AA820" s="1997">
        <f>HP_final-PDs!$X$23+MIN(PDs!$X$23+J$896-J820,50)</f>
        <v>-10</v>
      </c>
      <c r="AB820" s="413"/>
      <c r="AC820" s="2418" t="s">
        <v>9241</v>
      </c>
    </row>
    <row r="821" spans="1:29" ht="12.75" customHeight="1" x14ac:dyDescent="0.2">
      <c r="A821" s="2029">
        <v>211</v>
      </c>
      <c r="B821" s="4995"/>
      <c r="C821" s="1799"/>
      <c r="D821" s="490" t="s">
        <v>1165</v>
      </c>
      <c r="E821" s="2771">
        <f>30+Bono_Fue</f>
        <v>30</v>
      </c>
      <c r="F821" s="2771"/>
      <c r="G821" s="2771">
        <v>10</v>
      </c>
      <c r="H821" s="2771"/>
      <c r="I821" s="2771">
        <v>10</v>
      </c>
      <c r="J821" s="2771">
        <v>10</v>
      </c>
      <c r="K821" s="2771"/>
      <c r="L821" s="2624" t="s">
        <v>1166</v>
      </c>
      <c r="M821" s="516"/>
      <c r="N821" s="516"/>
      <c r="O821" s="516"/>
      <c r="P821" s="516"/>
      <c r="Q821" s="2771"/>
      <c r="R821" s="2771"/>
      <c r="S821" s="2771"/>
      <c r="T821" s="2771"/>
      <c r="U821" s="2771">
        <f t="shared" si="75"/>
        <v>0</v>
      </c>
      <c r="V821" s="2771">
        <f>50*IF(Arma_Desarrollada="Desarmado",IF(D819=PDs!$AD$56,0.5,1),1)</f>
        <v>50</v>
      </c>
      <c r="W821" s="2771">
        <f>IF(COUNTIF(PDs!$AD$56:$AD$74,Tablas!D821)&gt;0,1,0)</f>
        <v>0</v>
      </c>
      <c r="X821" s="2771" t="str">
        <f>IF(OR(T.Manos_final&lt;100,Atletismo_final&lt;120,$W$820=0),"NO","-")</f>
        <v>NO</v>
      </c>
      <c r="Y821" s="2920">
        <f>HA_final-PDs!$X$22+MIN(PDs!$X$22+H$896-H821,50)</f>
        <v>0</v>
      </c>
      <c r="Z821" s="2836">
        <f>HE_final-PDs!$X$24+MIN(PDs!$X$24+I$896-I821,50)</f>
        <v>-10</v>
      </c>
      <c r="AA821" s="1997">
        <f>HP_final-PDs!$X$23+MIN(PDs!$X$23+J$896-J821,50)</f>
        <v>-10</v>
      </c>
      <c r="AB821" s="413"/>
      <c r="AC821" s="2418" t="s">
        <v>9242</v>
      </c>
    </row>
    <row r="822" spans="1:29" ht="12.75" customHeight="1" x14ac:dyDescent="0.2">
      <c r="A822" s="2029">
        <v>211</v>
      </c>
      <c r="B822" s="4995"/>
      <c r="C822" s="1799"/>
      <c r="D822" s="490" t="s">
        <v>1167</v>
      </c>
      <c r="E822" s="2771">
        <f>10+Bono_Fue</f>
        <v>10</v>
      </c>
      <c r="F822" s="2771"/>
      <c r="G822" s="2771">
        <v>0</v>
      </c>
      <c r="H822" s="2771"/>
      <c r="I822" s="2771"/>
      <c r="J822" s="2771"/>
      <c r="K822" s="2771"/>
      <c r="L822" s="2624" t="s">
        <v>1168</v>
      </c>
      <c r="M822" s="516"/>
      <c r="N822" s="516"/>
      <c r="O822" s="516"/>
      <c r="P822" s="516"/>
      <c r="Q822" s="2771"/>
      <c r="R822" s="2771"/>
      <c r="S822" s="2771"/>
      <c r="T822" s="2771"/>
      <c r="U822" s="2771">
        <f t="shared" si="75"/>
        <v>0</v>
      </c>
      <c r="V822" s="2771">
        <f>20*IF(AND(Arma_Desarrollada="Desarmado",D822=PDs!$AD$56),0.5,1)</f>
        <v>20</v>
      </c>
      <c r="W822" s="2771">
        <f>IF(COUNTIF(PDs!$AD$56:$AD$74,Tablas!D822)&gt;0,1,0)</f>
        <v>0</v>
      </c>
      <c r="X822" s="2771" t="s">
        <v>1769</v>
      </c>
      <c r="Y822" s="2920">
        <f>HA_final-PDs!$X$22+MIN(PDs!$X$22+H$896-H822,50)</f>
        <v>0</v>
      </c>
      <c r="Z822" s="2836">
        <f>HE_final-PDs!$X$24+MIN(PDs!$X$24+I$896-I822,50)</f>
        <v>0</v>
      </c>
      <c r="AA822" s="1997">
        <f>HP_final-PDs!$X$23+MIN(PDs!$X$23+J$896-J822,50)</f>
        <v>0</v>
      </c>
      <c r="AB822" s="413"/>
      <c r="AC822" s="2418" t="s">
        <v>9243</v>
      </c>
    </row>
    <row r="823" spans="1:29" ht="12.75" customHeight="1" x14ac:dyDescent="0.2">
      <c r="A823" s="2029">
        <v>211</v>
      </c>
      <c r="B823" s="4995"/>
      <c r="C823" s="1799"/>
      <c r="D823" s="490" t="s">
        <v>1169</v>
      </c>
      <c r="E823" s="2771">
        <f>20+Bono_Fue</f>
        <v>20</v>
      </c>
      <c r="F823" s="2771"/>
      <c r="G823" s="2771">
        <v>10</v>
      </c>
      <c r="H823" s="2771"/>
      <c r="I823" s="2771"/>
      <c r="J823" s="2771"/>
      <c r="K823" s="2771"/>
      <c r="L823" s="162" t="s">
        <v>1170</v>
      </c>
      <c r="M823" s="178"/>
      <c r="N823" s="178"/>
      <c r="O823" s="516"/>
      <c r="P823" s="178"/>
      <c r="Q823" s="2771"/>
      <c r="R823" s="2771"/>
      <c r="S823" s="2771"/>
      <c r="T823" s="2771"/>
      <c r="U823" s="2771">
        <f t="shared" si="75"/>
        <v>0</v>
      </c>
      <c r="V823" s="2771">
        <f>30*IF(Arma_Desarrollada="Desarmado",IF(D822=PDs!$AD$56,0.5,1),1)</f>
        <v>30</v>
      </c>
      <c r="W823" s="2771">
        <f>IF(COUNTIF(PDs!$AD$56:$AD$74,Tablas!D823)&gt;0,1,0)</f>
        <v>0</v>
      </c>
      <c r="X823" s="57" t="str">
        <f>IF(OR(Y823&lt;120,$W$822=0),"NO","-")</f>
        <v>NO</v>
      </c>
      <c r="Y823" s="2920">
        <f>HA_final-PDs!$X$22+MIN(PDs!$X$22+H$896-H823,50)</f>
        <v>0</v>
      </c>
      <c r="Z823" s="2836">
        <f>HE_final-PDs!$X$24+MIN(PDs!$X$24+I$896-I823,50)</f>
        <v>0</v>
      </c>
      <c r="AA823" s="1997">
        <f>HP_final-PDs!$X$23+MIN(PDs!$X$23+J$896-J823,50)</f>
        <v>0</v>
      </c>
      <c r="AB823" s="413"/>
      <c r="AC823" s="2420" t="s">
        <v>1235</v>
      </c>
    </row>
    <row r="824" spans="1:29" ht="12.75" customHeight="1" x14ac:dyDescent="0.2">
      <c r="A824" s="2029">
        <v>211</v>
      </c>
      <c r="B824" s="4995"/>
      <c r="C824" s="1799"/>
      <c r="D824" s="490" t="s">
        <v>1171</v>
      </c>
      <c r="E824" s="2771">
        <f>20+Bono_Fue</f>
        <v>20</v>
      </c>
      <c r="F824" s="2771"/>
      <c r="G824" s="2771">
        <v>10</v>
      </c>
      <c r="H824" s="2771">
        <v>10</v>
      </c>
      <c r="I824" s="2771"/>
      <c r="J824" s="2771"/>
      <c r="K824" s="2771"/>
      <c r="L824" s="2624" t="s">
        <v>1172</v>
      </c>
      <c r="M824" s="516"/>
      <c r="N824" s="516"/>
      <c r="O824" s="516"/>
      <c r="P824" s="516"/>
      <c r="Q824" s="2771"/>
      <c r="R824" s="2771"/>
      <c r="S824" s="2771"/>
      <c r="T824" s="2771"/>
      <c r="U824" s="2771">
        <f t="shared" si="75"/>
        <v>0</v>
      </c>
      <c r="V824" s="2771">
        <f>50*IF(Arma_Desarrollada="Desarmado",IF(D822=PDs!$AD$56,0.5,1),1)</f>
        <v>50</v>
      </c>
      <c r="W824" s="2771">
        <f>IF(COUNTIF(PDs!$AD$56:$AD$74,Tablas!D824)&gt;0,1,0)</f>
        <v>0</v>
      </c>
      <c r="X824" s="57" t="str">
        <f>IF(OR(Y824&lt;200,$W$823=0),"NO","-")</f>
        <v>NO</v>
      </c>
      <c r="Y824" s="2920">
        <f>HA_final-PDs!$X$22+MIN(PDs!$X$22+H$896-H824,50)</f>
        <v>-10</v>
      </c>
      <c r="Z824" s="2836">
        <f>HE_final-PDs!$X$24+MIN(PDs!$X$24+I$896-I824,50)</f>
        <v>0</v>
      </c>
      <c r="AA824" s="1997">
        <f>HP_final-PDs!$X$23+MIN(PDs!$X$23+J$896-J824,50)</f>
        <v>0</v>
      </c>
      <c r="AB824" s="413"/>
      <c r="AC824" s="2418" t="s">
        <v>9244</v>
      </c>
    </row>
    <row r="825" spans="1:29" ht="12.75" customHeight="1" x14ac:dyDescent="0.2">
      <c r="A825" s="2029">
        <v>211</v>
      </c>
      <c r="B825" s="4995"/>
      <c r="C825" s="1799"/>
      <c r="D825" s="490" t="s">
        <v>1173</v>
      </c>
      <c r="E825" s="2771">
        <f>10+Bono_Fue</f>
        <v>10</v>
      </c>
      <c r="F825" s="2771"/>
      <c r="G825" s="2771">
        <v>0</v>
      </c>
      <c r="H825" s="2771"/>
      <c r="I825" s="2771"/>
      <c r="J825" s="2771"/>
      <c r="K825" s="2771"/>
      <c r="L825" s="2624" t="s">
        <v>1174</v>
      </c>
      <c r="M825" s="516"/>
      <c r="N825" s="516"/>
      <c r="O825" s="516"/>
      <c r="P825" s="516"/>
      <c r="Q825" s="2771"/>
      <c r="R825" s="2771"/>
      <c r="S825" s="2771"/>
      <c r="T825" s="2771"/>
      <c r="U825" s="2771">
        <f t="shared" si="75"/>
        <v>0</v>
      </c>
      <c r="V825" s="2771">
        <f>20*IF(AND(Arma_Desarrollada="Desarmado",D825=PDs!$AD$56),0.5,1)</f>
        <v>20</v>
      </c>
      <c r="W825" s="2771">
        <f>IF(COUNTIF(PDs!$AD$56:$AD$74,Tablas!D825)&gt;0,1,0)</f>
        <v>0</v>
      </c>
      <c r="X825" s="57" t="str">
        <f>IF(T.Manos_final&lt;40,"NO","-")</f>
        <v>NO</v>
      </c>
      <c r="Y825" s="2920">
        <f>HA_final-PDs!$X$22+MIN(PDs!$X$22+H$896-H825,50)</f>
        <v>0</v>
      </c>
      <c r="Z825" s="2836">
        <f>HE_final-PDs!$X$24+MIN(PDs!$X$24+I$896-I825,50)</f>
        <v>0</v>
      </c>
      <c r="AA825" s="1997">
        <f>HP_final-PDs!$X$23+MIN(PDs!$X$23+J$896-J825,50)</f>
        <v>0</v>
      </c>
      <c r="AB825" s="413"/>
      <c r="AC825" s="2418" t="s">
        <v>9245</v>
      </c>
    </row>
    <row r="826" spans="1:29" ht="12.75" customHeight="1" x14ac:dyDescent="0.2">
      <c r="A826" s="2029">
        <v>211</v>
      </c>
      <c r="B826" s="4995"/>
      <c r="C826" s="1799"/>
      <c r="D826" s="490" t="s">
        <v>1175</v>
      </c>
      <c r="E826" s="2771">
        <f>20+Bono_Fue</f>
        <v>20</v>
      </c>
      <c r="F826" s="2771"/>
      <c r="G826" s="2771">
        <v>10</v>
      </c>
      <c r="H826" s="2771"/>
      <c r="I826" s="2771"/>
      <c r="J826" s="2771">
        <v>10</v>
      </c>
      <c r="K826" s="2771"/>
      <c r="L826" s="2624" t="s">
        <v>1176</v>
      </c>
      <c r="M826" s="516"/>
      <c r="N826" s="516"/>
      <c r="O826" s="516"/>
      <c r="P826" s="516"/>
      <c r="Q826" s="2771"/>
      <c r="R826" s="2771"/>
      <c r="S826" s="2771"/>
      <c r="T826" s="2771"/>
      <c r="U826" s="2771">
        <f t="shared" si="75"/>
        <v>0</v>
      </c>
      <c r="V826" s="2771">
        <f>30*IF(Arma_Desarrollada="Desarmado",IF(D825=PDs!$AD$56,0.5,1),1)</f>
        <v>30</v>
      </c>
      <c r="W826" s="2771">
        <f>IF(COUNTIF(PDs!$AD$56:$AD$74,Tablas!D826)&gt;0,1,0)</f>
        <v>0</v>
      </c>
      <c r="X826" s="57" t="str">
        <f>IF(OR(T.Manos_final&lt;60,MAX(Z826,AA826)&lt;120,$W$825=0),"NO","-")</f>
        <v>NO</v>
      </c>
      <c r="Y826" s="2920">
        <f>HA_final-PDs!$X$22+MIN(PDs!$X$22+H$896-H826,50)</f>
        <v>0</v>
      </c>
      <c r="Z826" s="2836">
        <f>HE_final-PDs!$X$24+MIN(PDs!$X$24+I$896-I826,50)</f>
        <v>0</v>
      </c>
      <c r="AA826" s="1997">
        <f>HP_final-PDs!$X$23+MIN(PDs!$X$23+J$896-J826,50)</f>
        <v>-10</v>
      </c>
      <c r="AB826" s="413"/>
      <c r="AC826" s="2418" t="s">
        <v>9246</v>
      </c>
    </row>
    <row r="827" spans="1:29" ht="12.75" customHeight="1" x14ac:dyDescent="0.2">
      <c r="A827" s="2029">
        <v>211</v>
      </c>
      <c r="B827" s="4995"/>
      <c r="C827" s="1799"/>
      <c r="D827" s="490" t="s">
        <v>1177</v>
      </c>
      <c r="E827" s="2771">
        <f>20+Bono_Fue</f>
        <v>20</v>
      </c>
      <c r="F827" s="2771"/>
      <c r="G827" s="2771">
        <v>10</v>
      </c>
      <c r="H827" s="2771"/>
      <c r="I827" s="2771"/>
      <c r="J827" s="2771">
        <v>10</v>
      </c>
      <c r="K827" s="2771"/>
      <c r="L827" s="2624" t="s">
        <v>1178</v>
      </c>
      <c r="M827" s="516"/>
      <c r="N827" s="516"/>
      <c r="O827" s="516"/>
      <c r="P827" s="516"/>
      <c r="Q827" s="2771"/>
      <c r="R827" s="2771"/>
      <c r="S827" s="2771"/>
      <c r="T827" s="2771"/>
      <c r="U827" s="2771">
        <f t="shared" si="75"/>
        <v>0</v>
      </c>
      <c r="V827" s="2771">
        <f>50*IF(Arma_Desarrollada="Desarmado",IF(D825=PDs!$AD$56,0.5,1),1)</f>
        <v>50</v>
      </c>
      <c r="W827" s="2771">
        <f>IF(COUNTIF(PDs!$AD$56:$AD$74,Tablas!D827)&gt;0,1,0)</f>
        <v>0</v>
      </c>
      <c r="X827" s="57" t="str">
        <f>IF(OR(T.Manos_final&lt;140,MAX(Z827,AA827)&lt;200,$W$826=0),"NO","-")</f>
        <v>NO</v>
      </c>
      <c r="Y827" s="2920">
        <f>HA_final-PDs!$X$22+MIN(PDs!$X$22+H$896-H827,50)</f>
        <v>0</v>
      </c>
      <c r="Z827" s="2836">
        <f>HE_final-PDs!$X$24+MIN(PDs!$X$24+I$896-I827,50)</f>
        <v>0</v>
      </c>
      <c r="AA827" s="1997">
        <f>HP_final-PDs!$X$23+MIN(PDs!$X$23+J$896-J827,50)</f>
        <v>-10</v>
      </c>
      <c r="AB827" s="413"/>
      <c r="AC827" s="2418" t="s">
        <v>9247</v>
      </c>
    </row>
    <row r="828" spans="1:29" ht="12.75" customHeight="1" x14ac:dyDescent="0.2">
      <c r="A828" s="2029">
        <v>211</v>
      </c>
      <c r="B828" s="4995"/>
      <c r="C828" s="1799"/>
      <c r="D828" s="490" t="s">
        <v>1179</v>
      </c>
      <c r="E828" s="2771">
        <f>20+Bono_Fue</f>
        <v>20</v>
      </c>
      <c r="F828" s="2771"/>
      <c r="G828" s="2771">
        <v>0</v>
      </c>
      <c r="H828" s="2771"/>
      <c r="I828" s="2771"/>
      <c r="J828" s="2771"/>
      <c r="K828" s="2771"/>
      <c r="L828" s="162" t="s">
        <v>1769</v>
      </c>
      <c r="M828" s="178"/>
      <c r="N828" s="178"/>
      <c r="O828" s="516"/>
      <c r="P828" s="178"/>
      <c r="Q828" s="2771"/>
      <c r="R828" s="2771"/>
      <c r="S828" s="2771"/>
      <c r="T828" s="2771"/>
      <c r="U828" s="2771">
        <f t="shared" si="75"/>
        <v>0</v>
      </c>
      <c r="V828" s="2771">
        <f>20*IF(AND(Arma_Desarrollada="Desarmado",D828=PDs!$AD$56),0.5,1)</f>
        <v>20</v>
      </c>
      <c r="W828" s="2771">
        <f>IF(COUNTIF(PDs!$AD$56:$AD$74,Tablas!D828)&gt;0,1,0)</f>
        <v>0</v>
      </c>
      <c r="X828" s="57" t="str">
        <f>IF(OR(Acrobacias_final&lt;20,Estilo_final&lt;10,T.Manos_final&lt;20),"NO","-")</f>
        <v>NO</v>
      </c>
      <c r="Y828" s="2920">
        <f>HA_final-PDs!$X$22+MIN(PDs!$X$22+H$896-H828,50)</f>
        <v>0</v>
      </c>
      <c r="Z828" s="2836">
        <f>HE_final-PDs!$X$24+MIN(PDs!$X$24+I$896-I828,50)</f>
        <v>0</v>
      </c>
      <c r="AA828" s="1997">
        <f>HP_final-PDs!$X$23+MIN(PDs!$X$23+J$896-J828,50)</f>
        <v>0</v>
      </c>
      <c r="AB828" s="413"/>
      <c r="AC828" s="2418" t="s">
        <v>9248</v>
      </c>
    </row>
    <row r="829" spans="1:29" ht="12.75" customHeight="1" x14ac:dyDescent="0.2">
      <c r="A829" s="2029">
        <v>211</v>
      </c>
      <c r="B829" s="4995"/>
      <c r="C829" s="1799"/>
      <c r="D829" s="490" t="s">
        <v>1180</v>
      </c>
      <c r="E829" s="2771">
        <f>20+Bono_Fue</f>
        <v>20</v>
      </c>
      <c r="F829" s="2771"/>
      <c r="G829" s="2771">
        <v>10</v>
      </c>
      <c r="H829" s="2771"/>
      <c r="I829" s="2771"/>
      <c r="J829" s="2771"/>
      <c r="K829" s="2771"/>
      <c r="L829" s="2624" t="s">
        <v>1181</v>
      </c>
      <c r="M829" s="516"/>
      <c r="N829" s="516"/>
      <c r="O829" s="516"/>
      <c r="P829" s="516"/>
      <c r="Q829" s="2771"/>
      <c r="R829" s="2771"/>
      <c r="S829" s="2771"/>
      <c r="T829" s="2771"/>
      <c r="U829" s="2771">
        <f t="shared" si="75"/>
        <v>0</v>
      </c>
      <c r="V829" s="2771">
        <f>30*IF(Arma_Desarrollada="Desarmado",IF(D828=PDs!$AD$56,0.5,1),1)</f>
        <v>30</v>
      </c>
      <c r="W829" s="2771">
        <f>IF(COUNTIF(PDs!$AD$56:$AD$74,Tablas!D829)&gt;0,1,0)</f>
        <v>0</v>
      </c>
      <c r="X829" s="57" t="str">
        <f>IF(OR(Acrobacias_final&lt;40,Estilo_final&lt;20,T.Manos_final&lt;40,Y829&lt;120,MAX(Z829,AA829)&lt;120,$W$828=0),"NO","-")</f>
        <v>NO</v>
      </c>
      <c r="Y829" s="2920">
        <f>HA_final-PDs!$X$22+MIN(PDs!$X$22+H$896-H829,50)</f>
        <v>0</v>
      </c>
      <c r="Z829" s="2836">
        <f>HE_final-PDs!$X$24+MIN(PDs!$X$24+I$896-I829,50)</f>
        <v>0</v>
      </c>
      <c r="AA829" s="1997">
        <f>HP_final-PDs!$X$23+MIN(PDs!$X$23+J$896-J829,50)</f>
        <v>0</v>
      </c>
      <c r="AB829" s="413"/>
      <c r="AC829" s="2418" t="s">
        <v>9249</v>
      </c>
    </row>
    <row r="830" spans="1:29" ht="12.75" customHeight="1" x14ac:dyDescent="0.2">
      <c r="A830" s="2029">
        <v>211</v>
      </c>
      <c r="B830" s="4995"/>
      <c r="C830" s="1799"/>
      <c r="D830" s="490" t="s">
        <v>1182</v>
      </c>
      <c r="E830" s="2771">
        <f>20+Bono_Fue</f>
        <v>20</v>
      </c>
      <c r="F830" s="2771"/>
      <c r="G830" s="2771">
        <v>10</v>
      </c>
      <c r="H830" s="2771"/>
      <c r="I830" s="2771"/>
      <c r="J830" s="2771"/>
      <c r="K830" s="2771"/>
      <c r="L830" s="2624" t="s">
        <v>1183</v>
      </c>
      <c r="M830" s="516"/>
      <c r="N830" s="516"/>
      <c r="O830" s="516"/>
      <c r="P830" s="516"/>
      <c r="Q830" s="2771"/>
      <c r="R830" s="2771" t="s">
        <v>1869</v>
      </c>
      <c r="S830" s="2771"/>
      <c r="T830" s="2771"/>
      <c r="U830" s="2771">
        <f t="shared" si="75"/>
        <v>0</v>
      </c>
      <c r="V830" s="2771">
        <f>50*IF(Arma_Desarrollada="Desarmado",IF(D828=PDs!$AD$56,0.5,1),1)</f>
        <v>50</v>
      </c>
      <c r="W830" s="2771">
        <f>IF(COUNTIF(PDs!$AD$56:$AD$74,Tablas!D830)&gt;0,1,0)</f>
        <v>0</v>
      </c>
      <c r="X830" s="57" t="str">
        <f>IF(OR(Acrobacias_final&lt;120,Estilo_final&lt;100,T.Manos_final&lt;120,Y830&lt;200,MAX(Z830,AA830)&lt;200,$W$829=0),"NO","-")</f>
        <v>NO</v>
      </c>
      <c r="Y830" s="2920">
        <f>HA_final-PDs!$X$22+MIN(PDs!$X$22+H$896-H830,50)</f>
        <v>0</v>
      </c>
      <c r="Z830" s="2836">
        <f>HE_final-PDs!$X$24+MIN(PDs!$X$24+I$896-I830,50)</f>
        <v>0</v>
      </c>
      <c r="AA830" s="1997">
        <f>HP_final-PDs!$X$23+MIN(PDs!$X$23+J$896-J830,50)</f>
        <v>0</v>
      </c>
      <c r="AB830" s="413"/>
      <c r="AC830" s="2418" t="s">
        <v>9250</v>
      </c>
    </row>
    <row r="831" spans="1:29" ht="12.75" customHeight="1" x14ac:dyDescent="0.2">
      <c r="A831" s="2029">
        <v>211</v>
      </c>
      <c r="B831" s="4995"/>
      <c r="C831" s="1799"/>
      <c r="D831" s="490" t="s">
        <v>1184</v>
      </c>
      <c r="E831" s="2771">
        <f>10+Bono_Fue</f>
        <v>10</v>
      </c>
      <c r="F831" s="2771"/>
      <c r="G831" s="2771">
        <v>0</v>
      </c>
      <c r="H831" s="2771"/>
      <c r="I831" s="2771">
        <v>10</v>
      </c>
      <c r="J831" s="2771">
        <v>10</v>
      </c>
      <c r="K831" s="2771"/>
      <c r="L831" s="2624" t="s">
        <v>1769</v>
      </c>
      <c r="M831" s="516"/>
      <c r="N831" s="516"/>
      <c r="O831" s="516"/>
      <c r="P831" s="516"/>
      <c r="Q831" s="2771"/>
      <c r="R831" s="2771"/>
      <c r="S831" s="2771"/>
      <c r="T831" s="2771"/>
      <c r="U831" s="2771">
        <f t="shared" si="75"/>
        <v>0</v>
      </c>
      <c r="V831" s="2771">
        <f>20*IF(AND(Arma_Desarrollada="Desarmado",D831=PDs!$AD$56),0.5,1)</f>
        <v>20</v>
      </c>
      <c r="W831" s="2771">
        <f>IF(COUNTIF(PDs!$AD$56:$AD$74,Tablas!D831)&gt;0,1,0)</f>
        <v>0</v>
      </c>
      <c r="X831" s="57" t="str">
        <f>IF(Estilo_final&lt;20,"NO","-")</f>
        <v>NO</v>
      </c>
      <c r="Y831" s="2920">
        <f>HA_final-PDs!$X$22+MIN(PDs!$X$22+H$896-H831,50)</f>
        <v>0</v>
      </c>
      <c r="Z831" s="2836">
        <f>HE_final-PDs!$X$24+MIN(PDs!$X$24+I$896-I831,50)</f>
        <v>-10</v>
      </c>
      <c r="AA831" s="1997">
        <f>HP_final-PDs!$X$23+MIN(PDs!$X$23+J$896-J831,50)</f>
        <v>-10</v>
      </c>
      <c r="AB831" s="413"/>
      <c r="AC831" s="2418" t="s">
        <v>9251</v>
      </c>
    </row>
    <row r="832" spans="1:29" ht="12.75" customHeight="1" x14ac:dyDescent="0.2">
      <c r="A832" s="2029">
        <v>211</v>
      </c>
      <c r="B832" s="4995"/>
      <c r="C832" s="1799"/>
      <c r="D832" s="490" t="s">
        <v>1185</v>
      </c>
      <c r="E832" s="2771">
        <f>20+Bono_Fue</f>
        <v>20</v>
      </c>
      <c r="F832" s="2771"/>
      <c r="G832" s="2771">
        <v>10</v>
      </c>
      <c r="H832" s="2771"/>
      <c r="I832" s="2771"/>
      <c r="J832" s="2771"/>
      <c r="K832" s="2771"/>
      <c r="L832" s="2624" t="s">
        <v>1186</v>
      </c>
      <c r="M832" s="516"/>
      <c r="N832" s="516"/>
      <c r="O832" s="516"/>
      <c r="P832" s="516"/>
      <c r="Q832" s="2771"/>
      <c r="R832" s="2771"/>
      <c r="S832" s="2771"/>
      <c r="T832" s="2771"/>
      <c r="U832" s="2771">
        <f t="shared" si="75"/>
        <v>0</v>
      </c>
      <c r="V832" s="2771">
        <f>30*IF(Arma_Desarrollada="Desarmado",IF(D831=PDs!$AD$56,0.5,1),1)</f>
        <v>30</v>
      </c>
      <c r="W832" s="2771">
        <f>IF(COUNTIF(PDs!$AD$56:$AD$74,Tablas!D832)&gt;0,1,0)</f>
        <v>0</v>
      </c>
      <c r="X832" s="57" t="str">
        <f>IF(OR(Estilo_final&lt;40,MAX(Z832,AA832)&lt;130,$W$831=0),"NO","-")</f>
        <v>NO</v>
      </c>
      <c r="Y832" s="2920">
        <f>HA_final-PDs!$X$22+MIN(PDs!$X$22+H$896-H832,50)</f>
        <v>0</v>
      </c>
      <c r="Z832" s="2836">
        <f>HE_final-PDs!$X$24+MIN(PDs!$X$24+I$896-I832,50)</f>
        <v>0</v>
      </c>
      <c r="AA832" s="1997">
        <f>HP_final-PDs!$X$23+MIN(PDs!$X$23+J$896-J832,50)</f>
        <v>0</v>
      </c>
      <c r="AB832" s="413"/>
      <c r="AC832" s="2418" t="s">
        <v>9252</v>
      </c>
    </row>
    <row r="833" spans="1:29" ht="12.75" customHeight="1" x14ac:dyDescent="0.2">
      <c r="A833" s="2029">
        <v>211</v>
      </c>
      <c r="B833" s="4995"/>
      <c r="C833" s="1799"/>
      <c r="D833" s="490" t="s">
        <v>1187</v>
      </c>
      <c r="E833" s="2771">
        <f>20+Bono_Fue</f>
        <v>20</v>
      </c>
      <c r="F833" s="2771"/>
      <c r="G833" s="2771">
        <v>10</v>
      </c>
      <c r="H833" s="2771"/>
      <c r="I833" s="2771">
        <v>10</v>
      </c>
      <c r="J833" s="2771">
        <v>10</v>
      </c>
      <c r="K833" s="2771"/>
      <c r="L833" s="2624" t="s">
        <v>1188</v>
      </c>
      <c r="M833" s="516"/>
      <c r="N833" s="516"/>
      <c r="O833" s="516"/>
      <c r="P833" s="516"/>
      <c r="Q833" s="2771"/>
      <c r="R833" s="2771"/>
      <c r="S833" s="2771"/>
      <c r="T833" s="2771"/>
      <c r="U833" s="2771">
        <f t="shared" si="75"/>
        <v>0</v>
      </c>
      <c r="V833" s="2771">
        <f>50*IF(Arma_Desarrollada="Desarmado",IF(D831=PDs!$AD$56,0.5,1),1)</f>
        <v>50</v>
      </c>
      <c r="W833" s="2771">
        <f>IF(COUNTIF(PDs!$AD$56:$AD$74,Tablas!D833)&gt;0,1,0)</f>
        <v>0</v>
      </c>
      <c r="X833" s="57" t="str">
        <f>IF(OR(Estilo_final&lt;80,MAX(Z833,AA833)&lt;200,$W$832=0),"NO","-")</f>
        <v>NO</v>
      </c>
      <c r="Y833" s="2920">
        <f>HA_final-PDs!$X$22+MIN(PDs!$X$22+H$896-H833,50)</f>
        <v>0</v>
      </c>
      <c r="Z833" s="2836">
        <f>HE_final-PDs!$X$24+MIN(PDs!$X$24+I$896-I833,50)</f>
        <v>-10</v>
      </c>
      <c r="AA833" s="1997">
        <f>HP_final-PDs!$X$23+MIN(PDs!$X$23+J$896-J833,50)</f>
        <v>-10</v>
      </c>
      <c r="AB833" s="413"/>
      <c r="AC833" s="2418" t="s">
        <v>9253</v>
      </c>
    </row>
    <row r="834" spans="1:29" ht="12.75" customHeight="1" x14ac:dyDescent="0.2">
      <c r="A834" s="2029">
        <v>211</v>
      </c>
      <c r="B834" s="4995"/>
      <c r="C834" s="1799"/>
      <c r="D834" s="490" t="s">
        <v>1189</v>
      </c>
      <c r="E834" s="2771">
        <f>20+Bono_Fue</f>
        <v>20</v>
      </c>
      <c r="F834" s="2771"/>
      <c r="G834" s="2771">
        <v>0</v>
      </c>
      <c r="H834" s="2771"/>
      <c r="I834" s="2771"/>
      <c r="J834" s="2771"/>
      <c r="K834" s="2771"/>
      <c r="L834" s="2624" t="s">
        <v>1190</v>
      </c>
      <c r="M834" s="516"/>
      <c r="N834" s="516"/>
      <c r="O834" s="516"/>
      <c r="P834" s="516"/>
      <c r="Q834" s="2771"/>
      <c r="R834" s="2771"/>
      <c r="S834" s="2771"/>
      <c r="T834" s="2771"/>
      <c r="U834" s="2771">
        <f t="shared" si="75"/>
        <v>0</v>
      </c>
      <c r="V834" s="2771">
        <f>20*IF(AND(Arma_Desarrollada="Desarmado",D834=PDs!$AD$56),0.5,1)</f>
        <v>20</v>
      </c>
      <c r="W834" s="2771">
        <f>IF(COUNTIF(PDs!$AD$56:$AD$74,Tablas!D834)&gt;0,1,0)</f>
        <v>0</v>
      </c>
      <c r="X834" s="57" t="str">
        <f>IF(T.Manos_final&lt;20,"NO","-")</f>
        <v>NO</v>
      </c>
      <c r="Y834" s="2920">
        <f>HA_final-PDs!$X$22+MIN(PDs!$X$22+H$896-H834,50)</f>
        <v>0</v>
      </c>
      <c r="Z834" s="2836">
        <f>HE_final-PDs!$X$24+MIN(PDs!$X$24+I$896-I834,50)</f>
        <v>0</v>
      </c>
      <c r="AA834" s="1997">
        <f>HP_final-PDs!$X$23+MIN(PDs!$X$23+J$896-J834,50)</f>
        <v>0</v>
      </c>
      <c r="AB834" s="413"/>
      <c r="AC834" s="2418" t="s">
        <v>9254</v>
      </c>
    </row>
    <row r="835" spans="1:29" ht="12.75" customHeight="1" x14ac:dyDescent="0.2">
      <c r="A835" s="2029">
        <v>211</v>
      </c>
      <c r="B835" s="4995"/>
      <c r="C835" s="1799"/>
      <c r="D835" s="490" t="s">
        <v>1191</v>
      </c>
      <c r="E835" s="2771">
        <f>30+Bono_Fue</f>
        <v>30</v>
      </c>
      <c r="F835" s="2771"/>
      <c r="G835" s="2771">
        <v>10</v>
      </c>
      <c r="H835" s="2771"/>
      <c r="I835" s="2771"/>
      <c r="J835" s="2771">
        <v>10</v>
      </c>
      <c r="K835" s="2771"/>
      <c r="L835" s="2624" t="s">
        <v>1192</v>
      </c>
      <c r="M835" s="516"/>
      <c r="N835" s="516"/>
      <c r="O835" s="516"/>
      <c r="P835" s="516"/>
      <c r="Q835" s="2771"/>
      <c r="R835" s="2771"/>
      <c r="S835" s="2771"/>
      <c r="T835" s="2771"/>
      <c r="U835" s="2771">
        <f t="shared" si="75"/>
        <v>0</v>
      </c>
      <c r="V835" s="2771">
        <f>30*IF(Arma_Desarrollada="Desarmado",IF(D834=PDs!$AD$56,0.5,1),1)</f>
        <v>30</v>
      </c>
      <c r="W835" s="2771">
        <f>IF(COUNTIF(PDs!$AD$56:$AD$74,Tablas!D835)&gt;0,1,0)</f>
        <v>0</v>
      </c>
      <c r="X835" s="57" t="str">
        <f>IF(OR(T.Manos_final&lt;40,MAX(Z835,AA835)&lt;120,$W$834=0),"NO","-")</f>
        <v>NO</v>
      </c>
      <c r="Y835" s="2920">
        <f>HA_final-PDs!$X$22+MIN(PDs!$X$22+H$896-H835,50)</f>
        <v>0</v>
      </c>
      <c r="Z835" s="2836">
        <f>HE_final-PDs!$X$24+MIN(PDs!$X$24+I$896-I835,50)</f>
        <v>0</v>
      </c>
      <c r="AA835" s="1997">
        <f>HP_final-PDs!$X$23+MIN(PDs!$X$23+J$896-J835,50)</f>
        <v>-10</v>
      </c>
      <c r="AB835" s="413"/>
      <c r="AC835" s="2418" t="s">
        <v>9255</v>
      </c>
    </row>
    <row r="836" spans="1:29" ht="12.75" customHeight="1" x14ac:dyDescent="0.2">
      <c r="A836" s="2029">
        <v>211</v>
      </c>
      <c r="B836" s="4995"/>
      <c r="C836" s="1799"/>
      <c r="D836" s="490" t="s">
        <v>1193</v>
      </c>
      <c r="E836" s="2771">
        <f>40+Bono_Fue</f>
        <v>40</v>
      </c>
      <c r="F836" s="2771"/>
      <c r="G836" s="2771">
        <v>10</v>
      </c>
      <c r="H836" s="2771"/>
      <c r="I836" s="2771"/>
      <c r="J836" s="2771">
        <v>20</v>
      </c>
      <c r="K836" s="2771"/>
      <c r="L836" s="2624" t="s">
        <v>1194</v>
      </c>
      <c r="M836" s="516"/>
      <c r="N836" s="516"/>
      <c r="O836" s="516"/>
      <c r="P836" s="516"/>
      <c r="Q836" s="2771"/>
      <c r="R836" s="2771"/>
      <c r="S836" s="2771"/>
      <c r="T836" s="2771"/>
      <c r="U836" s="2771">
        <f t="shared" si="75"/>
        <v>0</v>
      </c>
      <c r="V836" s="2771">
        <f>50*IF(Arma_Desarrollada="Desarmado",IF(D834=PDs!$AD$56,0.5,1),1)</f>
        <v>50</v>
      </c>
      <c r="W836" s="2771">
        <f>IF(COUNTIF(PDs!$AD$56:$AD$74,Tablas!D836)&gt;0,1,0)</f>
        <v>0</v>
      </c>
      <c r="X836" s="57" t="str">
        <f>IF(OR(T.Manos_final&lt;100,AA836&lt;200,$W$835=0),"NO","-")</f>
        <v>NO</v>
      </c>
      <c r="Y836" s="2920">
        <f>HA_final-PDs!$X$22+MIN(PDs!$X$22+H$896-H836,50)</f>
        <v>0</v>
      </c>
      <c r="Z836" s="2836">
        <f>HE_final-PDs!$X$24+MIN(PDs!$X$24+I$896-I836,50)</f>
        <v>0</v>
      </c>
      <c r="AA836" s="1997">
        <f>HP_final-PDs!$X$23+MIN(PDs!$X$23+J$896-J836,50)</f>
        <v>-20</v>
      </c>
      <c r="AB836" s="413"/>
      <c r="AC836" s="2418" t="s">
        <v>9256</v>
      </c>
    </row>
    <row r="837" spans="1:29" ht="12.75" customHeight="1" x14ac:dyDescent="0.2">
      <c r="A837" s="2029">
        <v>211</v>
      </c>
      <c r="B837" s="4995"/>
      <c r="C837" s="1799"/>
      <c r="D837" s="490" t="s">
        <v>1195</v>
      </c>
      <c r="E837" s="2771">
        <f>20+2*Bono_Fue</f>
        <v>20</v>
      </c>
      <c r="F837" s="2771"/>
      <c r="G837" s="2771">
        <v>0</v>
      </c>
      <c r="H837" s="2771"/>
      <c r="I837" s="2771"/>
      <c r="J837" s="2771"/>
      <c r="K837" s="2771"/>
      <c r="L837" s="2624" t="s">
        <v>1769</v>
      </c>
      <c r="M837" s="516"/>
      <c r="N837" s="516"/>
      <c r="O837" s="516"/>
      <c r="P837" s="516"/>
      <c r="Q837" s="2771"/>
      <c r="R837" s="2771"/>
      <c r="S837" s="2771"/>
      <c r="T837" s="2771"/>
      <c r="U837" s="2771">
        <f t="shared" si="75"/>
        <v>0</v>
      </c>
      <c r="V837" s="2771">
        <f>20*IF(AND(Arma_Desarrollada="Desarmado",D837=PDs!$AD$56),0.5,1)</f>
        <v>20</v>
      </c>
      <c r="W837" s="2771">
        <f>IF(COUNTIF(PDs!$AD$56:$AD$74,Tablas!D837)&gt;0,1,0)</f>
        <v>0</v>
      </c>
      <c r="X837" s="57" t="str">
        <f>IF(P.Fuerza_final&lt;30,"NO","-")</f>
        <v>NO</v>
      </c>
      <c r="Y837" s="2920">
        <f>HA_final-PDs!$X$22+MIN(PDs!$X$22+H$896-H837,50)</f>
        <v>0</v>
      </c>
      <c r="Z837" s="2836">
        <f>HE_final-PDs!$X$24+MIN(PDs!$X$24+I$896-I837,50)</f>
        <v>0</v>
      </c>
      <c r="AA837" s="1997">
        <f>HP_final-PDs!$X$23+MIN(PDs!$X$23+J$896-J837,50)</f>
        <v>0</v>
      </c>
      <c r="AB837" s="413"/>
      <c r="AC837" s="2418" t="s">
        <v>9257</v>
      </c>
    </row>
    <row r="838" spans="1:29" ht="12.75" customHeight="1" x14ac:dyDescent="0.2">
      <c r="A838" s="2029">
        <v>211</v>
      </c>
      <c r="B838" s="4995"/>
      <c r="C838" s="1799"/>
      <c r="D838" s="490" t="s">
        <v>1196</v>
      </c>
      <c r="E838" s="2771">
        <f>20+3*Bono_Fue</f>
        <v>20</v>
      </c>
      <c r="F838" s="2771"/>
      <c r="G838" s="2771">
        <v>10</v>
      </c>
      <c r="H838" s="2771"/>
      <c r="I838" s="2771"/>
      <c r="J838" s="2771"/>
      <c r="K838" s="2771"/>
      <c r="L838" s="162" t="s">
        <v>1769</v>
      </c>
      <c r="M838" s="178"/>
      <c r="N838" s="178"/>
      <c r="O838" s="516"/>
      <c r="P838" s="178"/>
      <c r="Q838" s="2771"/>
      <c r="R838" s="2771"/>
      <c r="S838" s="2771"/>
      <c r="T838" s="2771"/>
      <c r="U838" s="2771">
        <f t="shared" ref="U838:U869" si="76">W838*E838</f>
        <v>0</v>
      </c>
      <c r="V838" s="2771">
        <f>30*IF(Arma_Desarrollada="Desarmado",IF(D837=PDs!$AD$56,0.5,1),1)</f>
        <v>30</v>
      </c>
      <c r="W838" s="2771">
        <f>IF(COUNTIF(PDs!$AD$56:$AD$74,Tablas!D838)&gt;0,1,0)</f>
        <v>0</v>
      </c>
      <c r="X838" s="57" t="str">
        <f>IF(OR(P.Fuerza_final&lt;40,Y838&lt;130,$W$837=0),"NO","-")</f>
        <v>NO</v>
      </c>
      <c r="Y838" s="2920">
        <f>HA_final-PDs!$X$22+MIN(PDs!$X$22+H$896-H838,50)</f>
        <v>0</v>
      </c>
      <c r="Z838" s="2836">
        <f>HE_final-PDs!$X$24+MIN(PDs!$X$24+I$896-I838,50)</f>
        <v>0</v>
      </c>
      <c r="AA838" s="1997">
        <f>HP_final-PDs!$X$23+MIN(PDs!$X$23+J$896-J838,50)</f>
        <v>0</v>
      </c>
      <c r="AB838" s="413"/>
      <c r="AC838" s="2418" t="s">
        <v>9258</v>
      </c>
    </row>
    <row r="839" spans="1:29" ht="12.75" customHeight="1" x14ac:dyDescent="0.2">
      <c r="A839" s="2029">
        <v>211</v>
      </c>
      <c r="B839" s="4995"/>
      <c r="C839" s="1799"/>
      <c r="D839" s="490" t="s">
        <v>1197</v>
      </c>
      <c r="E839" s="2771">
        <f>20+4*Bono_Fue</f>
        <v>20</v>
      </c>
      <c r="F839" s="2771"/>
      <c r="G839" s="2771">
        <v>10</v>
      </c>
      <c r="H839" s="2771"/>
      <c r="I839" s="2771"/>
      <c r="J839" s="2771"/>
      <c r="K839" s="2771"/>
      <c r="L839" s="2624" t="s">
        <v>1198</v>
      </c>
      <c r="M839" s="516"/>
      <c r="N839" s="516"/>
      <c r="O839" s="516"/>
      <c r="P839" s="516"/>
      <c r="Q839" s="2771"/>
      <c r="R839" s="2771"/>
      <c r="S839" s="2771"/>
      <c r="T839" s="2771"/>
      <c r="U839" s="2771">
        <f t="shared" si="76"/>
        <v>0</v>
      </c>
      <c r="V839" s="2771">
        <f>50*IF(Arma_Desarrollada="Desarmado",IF(D837=PDs!$AD$56,0.5,1),1)</f>
        <v>50</v>
      </c>
      <c r="W839" s="2771">
        <f>IF(COUNTIF(PDs!$AD$56:$AD$74,Tablas!D839)&gt;0,1,0)</f>
        <v>0</v>
      </c>
      <c r="X839" s="57" t="str">
        <f>IF(OR(P.Fuerza_final&lt;160,Y839&lt;200,$W$838=0),"NO","-")</f>
        <v>NO</v>
      </c>
      <c r="Y839" s="2920">
        <f>HA_final-PDs!$X$22+MIN(PDs!$X$22+H$896-H839,50)</f>
        <v>0</v>
      </c>
      <c r="Z839" s="2836">
        <f>HE_final-PDs!$X$24+MIN(PDs!$X$24+I$896-I839,50)</f>
        <v>0</v>
      </c>
      <c r="AA839" s="1997">
        <f>HP_final-PDs!$X$23+MIN(PDs!$X$23+J$896-J839,50)</f>
        <v>0</v>
      </c>
      <c r="AB839" s="413"/>
      <c r="AC839" s="2418" t="s">
        <v>9259</v>
      </c>
    </row>
    <row r="840" spans="1:29" ht="12.75" customHeight="1" thickBot="1" x14ac:dyDescent="0.25">
      <c r="A840" s="2029">
        <v>211</v>
      </c>
      <c r="B840" s="4995"/>
      <c r="C840" s="1799"/>
      <c r="D840" s="490" t="s">
        <v>1199</v>
      </c>
      <c r="E840" s="2771">
        <f>20+Bono_Fue</f>
        <v>20</v>
      </c>
      <c r="F840" s="2771"/>
      <c r="G840" s="2771">
        <v>0</v>
      </c>
      <c r="H840" s="2771"/>
      <c r="I840" s="2771"/>
      <c r="J840" s="2771"/>
      <c r="K840" s="2771"/>
      <c r="L840" s="2624" t="s">
        <v>1200</v>
      </c>
      <c r="M840" s="516"/>
      <c r="N840" s="516"/>
      <c r="O840" s="516"/>
      <c r="P840" s="516"/>
      <c r="Q840" s="2771"/>
      <c r="R840" s="2771"/>
      <c r="S840" s="2771"/>
      <c r="T840" s="2771"/>
      <c r="U840" s="2771">
        <f t="shared" si="76"/>
        <v>0</v>
      </c>
      <c r="V840" s="2771">
        <f>20*IF(AND(Arma_Desarrollada="Desarmado",D840=PDs!$AD$56),0.5,1)</f>
        <v>20</v>
      </c>
      <c r="W840" s="2771">
        <f>IF(COUNTIF(PDs!$AD$56:$AD$74,Tablas!D840)&gt;0,1,0)</f>
        <v>0</v>
      </c>
      <c r="X840" s="57" t="str">
        <f>IF(OR(Atletismo_final&lt;30,P.Fuerza_final&lt;30),"NO","-")</f>
        <v>NO</v>
      </c>
      <c r="Y840" s="2920">
        <f>HA_final-PDs!$X$22+MIN(PDs!$X$22+H$896-H840,50)</f>
        <v>0</v>
      </c>
      <c r="Z840" s="2836">
        <f>HE_final-PDs!$X$24+MIN(PDs!$X$24+I$896-I840,50)</f>
        <v>0</v>
      </c>
      <c r="AA840" s="1997">
        <f>HP_final-PDs!$X$23+MIN(PDs!$X$23+J$896-J840,50)</f>
        <v>0</v>
      </c>
      <c r="AB840" s="413"/>
      <c r="AC840" s="2419" t="s">
        <v>9260</v>
      </c>
    </row>
    <row r="841" spans="1:29" ht="12.75" customHeight="1" x14ac:dyDescent="0.2">
      <c r="A841" s="2029">
        <v>211</v>
      </c>
      <c r="B841" s="4995"/>
      <c r="C841" s="1799"/>
      <c r="D841" s="490" t="s">
        <v>1201</v>
      </c>
      <c r="E841" s="2771">
        <f>20+Bono_Fue</f>
        <v>20</v>
      </c>
      <c r="F841" s="2771"/>
      <c r="G841" s="2771">
        <v>10</v>
      </c>
      <c r="H841" s="2771"/>
      <c r="I841" s="2771"/>
      <c r="J841" s="2771"/>
      <c r="K841" s="2771"/>
      <c r="L841" s="2624" t="s">
        <v>1202</v>
      </c>
      <c r="M841" s="516"/>
      <c r="N841" s="516"/>
      <c r="O841" s="516"/>
      <c r="P841" s="516"/>
      <c r="Q841" s="2771"/>
      <c r="R841" s="2771"/>
      <c r="S841" s="2771"/>
      <c r="T841" s="2771"/>
      <c r="U841" s="2771">
        <f t="shared" si="76"/>
        <v>0</v>
      </c>
      <c r="V841" s="2771">
        <f>30*IF(Arma_Desarrollada="Desarmado",IF(D840=PDs!$AD$56,0.5,1),1)</f>
        <v>30</v>
      </c>
      <c r="W841" s="2771">
        <f>IF(COUNTIF(PDs!$AD$56:$AD$74,Tablas!D841)&gt;0,1,0)</f>
        <v>0</v>
      </c>
      <c r="X841" s="57" t="str">
        <f>IF(OR(Atletismo_final&lt;50,P.Fuerza_final&lt;50,$W$840=0,Y841&lt;110,MAX(Z841,AA841)&lt;110),"NO","-")</f>
        <v>NO</v>
      </c>
      <c r="Y841" s="2920">
        <f>HA_final-PDs!$X$22+MIN(PDs!$X$22+H$896-H841,50)</f>
        <v>0</v>
      </c>
      <c r="Z841" s="2836">
        <f>HE_final-PDs!$X$24+MIN(PDs!$X$24+I$896-I841,50)</f>
        <v>0</v>
      </c>
      <c r="AA841" s="1997">
        <f>HP_final-PDs!$X$23+MIN(PDs!$X$23+J$896-J841,50)</f>
        <v>0</v>
      </c>
      <c r="AB841" s="413"/>
    </row>
    <row r="842" spans="1:29" ht="12.75" customHeight="1" x14ac:dyDescent="0.2">
      <c r="A842" s="2029">
        <v>211</v>
      </c>
      <c r="B842" s="4995"/>
      <c r="C842" s="1799"/>
      <c r="D842" s="490" t="s">
        <v>1203</v>
      </c>
      <c r="E842" s="2771">
        <f>20+Bono_Fue</f>
        <v>20</v>
      </c>
      <c r="F842" s="2771"/>
      <c r="G842" s="2771">
        <v>10</v>
      </c>
      <c r="H842" s="2771"/>
      <c r="I842" s="2771">
        <v>10</v>
      </c>
      <c r="J842" s="2771">
        <v>10</v>
      </c>
      <c r="K842" s="2771"/>
      <c r="L842" s="2624" t="s">
        <v>1204</v>
      </c>
      <c r="M842" s="516"/>
      <c r="N842" s="516"/>
      <c r="O842" s="516"/>
      <c r="P842" s="516"/>
      <c r="Q842" s="2771"/>
      <c r="R842" s="2771"/>
      <c r="S842" s="2771"/>
      <c r="T842" s="2771"/>
      <c r="U842" s="2771">
        <f t="shared" si="76"/>
        <v>0</v>
      </c>
      <c r="V842" s="2771">
        <f>50*IF(Arma_Desarrollada="Desarmado",IF(D840=PDs!$AD$56,0.5,1),1)</f>
        <v>50</v>
      </c>
      <c r="W842" s="2771">
        <f>IF(COUNTIF(PDs!$AD$56:$AD$74,Tablas!D842)&gt;0,1,0)</f>
        <v>0</v>
      </c>
      <c r="X842" s="57" t="str">
        <f>IF(OR(P.Fuerza_final&lt;120,$W$841=0,MAX(Z842,AA842)&lt;200),"NO","-")</f>
        <v>NO</v>
      </c>
      <c r="Y842" s="2920">
        <f>HA_final-PDs!$X$22+MIN(PDs!$X$22+H$896-H842,50)</f>
        <v>0</v>
      </c>
      <c r="Z842" s="2836">
        <f>HE_final-PDs!$X$24+MIN(PDs!$X$24+I$896-I842,50)</f>
        <v>-10</v>
      </c>
      <c r="AA842" s="1997">
        <f>HP_final-PDs!$X$23+MIN(PDs!$X$23+J$896-J842,50)</f>
        <v>-10</v>
      </c>
    </row>
    <row r="843" spans="1:29" ht="12.75" customHeight="1" x14ac:dyDescent="0.2">
      <c r="A843" s="2029">
        <v>211</v>
      </c>
      <c r="B843" s="4995"/>
      <c r="C843" s="1799"/>
      <c r="D843" s="490" t="s">
        <v>1205</v>
      </c>
      <c r="E843" s="2771">
        <f>10+Bono_Fue</f>
        <v>10</v>
      </c>
      <c r="F843" s="2771"/>
      <c r="G843" s="2771">
        <v>0</v>
      </c>
      <c r="H843" s="2771"/>
      <c r="I843" s="2771"/>
      <c r="J843" s="2771"/>
      <c r="K843" s="2771"/>
      <c r="L843" s="2624" t="s">
        <v>1206</v>
      </c>
      <c r="M843" s="516"/>
      <c r="N843" s="516"/>
      <c r="O843" s="516"/>
      <c r="P843" s="516"/>
      <c r="Q843" s="2771"/>
      <c r="R843" s="2771"/>
      <c r="S843" s="2771"/>
      <c r="T843" s="2771"/>
      <c r="U843" s="2771">
        <f t="shared" si="76"/>
        <v>0</v>
      </c>
      <c r="V843" s="2771">
        <f>20*IF(AND(Arma_Desarrollada="Desarmado",D843=PDs!$AD$56),0.5,1)</f>
        <v>20</v>
      </c>
      <c r="W843" s="2771">
        <f>IF(COUNTIF(PDs!$AD$56:$AD$74,Tablas!D843)&gt;0,1,0)</f>
        <v>0</v>
      </c>
      <c r="X843" s="57" t="s">
        <v>1769</v>
      </c>
      <c r="Y843" s="2920">
        <f>HA_final-PDs!$X$22+MIN(PDs!$X$22+H$896-H843,50)</f>
        <v>0</v>
      </c>
      <c r="Z843" s="2836">
        <f>HE_final-PDs!$X$24+MIN(PDs!$X$24+I$896-I843,50)</f>
        <v>0</v>
      </c>
      <c r="AA843" s="1997">
        <f>HP_final-PDs!$X$23+MIN(PDs!$X$23+J$896-J843,50)</f>
        <v>0</v>
      </c>
    </row>
    <row r="844" spans="1:29" ht="12.75" customHeight="1" x14ac:dyDescent="0.2">
      <c r="A844" s="2029">
        <v>211</v>
      </c>
      <c r="B844" s="4995"/>
      <c r="C844" s="1799"/>
      <c r="D844" s="490" t="s">
        <v>1207</v>
      </c>
      <c r="E844" s="2771">
        <f>20+Bono_Fue</f>
        <v>20</v>
      </c>
      <c r="F844" s="2771"/>
      <c r="G844" s="2771">
        <v>10</v>
      </c>
      <c r="H844" s="2771"/>
      <c r="I844" s="2771"/>
      <c r="J844" s="2771">
        <v>10</v>
      </c>
      <c r="K844" s="2771"/>
      <c r="L844" s="162" t="s">
        <v>1208</v>
      </c>
      <c r="M844" s="178"/>
      <c r="N844" s="178"/>
      <c r="O844" s="516"/>
      <c r="P844" s="178"/>
      <c r="Q844" s="2771"/>
      <c r="R844" s="2771"/>
      <c r="S844" s="2771"/>
      <c r="T844" s="2771"/>
      <c r="U844" s="2771">
        <f t="shared" si="76"/>
        <v>0</v>
      </c>
      <c r="V844" s="2771">
        <f>30*IF(Arma_Desarrollada="Desarmado",IF(D843=PDs!$AD$56,0.5,1),1)</f>
        <v>30</v>
      </c>
      <c r="W844" s="2771">
        <f>IF(COUNTIF(PDs!$AD$56:$AD$74,Tablas!D844)&gt;0,1,0)</f>
        <v>0</v>
      </c>
      <c r="X844" s="57" t="str">
        <f>IF(OR(Y844&lt;130,$W$843=0),"NO","-")</f>
        <v>NO</v>
      </c>
      <c r="Y844" s="2920">
        <f>HA_final-PDs!$X$22+MIN(PDs!$X$22+H$896-H844,50)</f>
        <v>0</v>
      </c>
      <c r="Z844" s="2836">
        <f>HE_final-PDs!$X$24+MIN(PDs!$X$24+I$896-I844,50)</f>
        <v>0</v>
      </c>
      <c r="AA844" s="1997">
        <f>HP_final-PDs!$X$23+MIN(PDs!$X$23+J$896-J844,50)</f>
        <v>-10</v>
      </c>
    </row>
    <row r="845" spans="1:29" ht="12.75" customHeight="1" x14ac:dyDescent="0.2">
      <c r="A845" s="2029">
        <v>211</v>
      </c>
      <c r="B845" s="4995"/>
      <c r="C845" s="1799"/>
      <c r="D845" s="490" t="s">
        <v>1209</v>
      </c>
      <c r="E845" s="2771">
        <f>30+Bono_Fue</f>
        <v>30</v>
      </c>
      <c r="F845" s="2771"/>
      <c r="G845" s="2771">
        <v>10</v>
      </c>
      <c r="H845" s="2771"/>
      <c r="I845" s="2771"/>
      <c r="J845" s="2771">
        <v>10</v>
      </c>
      <c r="K845" s="2771"/>
      <c r="L845" s="2624" t="s">
        <v>1210</v>
      </c>
      <c r="M845" s="516"/>
      <c r="N845" s="516"/>
      <c r="O845" s="516"/>
      <c r="P845" s="516"/>
      <c r="Q845" s="2771"/>
      <c r="R845" s="2771"/>
      <c r="S845" s="2771"/>
      <c r="T845" s="2771"/>
      <c r="U845" s="2771">
        <f t="shared" si="76"/>
        <v>0</v>
      </c>
      <c r="V845" s="2771">
        <f>50*IF(Arma_Desarrollada="Desarmado",IF(D843=PDs!$AD$56,0.5,1),1)</f>
        <v>50</v>
      </c>
      <c r="W845" s="2771">
        <f>IF(COUNTIF(PDs!$AD$56:$AD$74,Tablas!D845)&gt;0,1,0)</f>
        <v>0</v>
      </c>
      <c r="X845" s="57" t="str">
        <f>IF(OR(Y845&lt;200,MAX(Z845,AA845)&lt;200,$W$844=0),"NO","-")</f>
        <v>NO</v>
      </c>
      <c r="Y845" s="2920">
        <f>HA_final-PDs!$X$22+MIN(PDs!$X$22+H$896-H845,50)</f>
        <v>0</v>
      </c>
      <c r="Z845" s="2836">
        <f>HE_final-PDs!$X$24+MIN(PDs!$X$24+I$896-I845,50)</f>
        <v>0</v>
      </c>
      <c r="AA845" s="1997">
        <f>HP_final-PDs!$X$23+MIN(PDs!$X$23+J$896-J845,50)</f>
        <v>-10</v>
      </c>
    </row>
    <row r="846" spans="1:29" ht="12.75" customHeight="1" x14ac:dyDescent="0.2">
      <c r="A846" s="2029">
        <v>211</v>
      </c>
      <c r="B846" s="4995"/>
      <c r="C846" s="1799"/>
      <c r="D846" s="490" t="s">
        <v>1211</v>
      </c>
      <c r="E846" s="2771">
        <f>20+Bono_Fue</f>
        <v>20</v>
      </c>
      <c r="F846" s="2771"/>
      <c r="G846" s="2771">
        <v>0</v>
      </c>
      <c r="H846" s="2771">
        <v>5</v>
      </c>
      <c r="I846" s="2771"/>
      <c r="J846" s="2771"/>
      <c r="K846" s="2771"/>
      <c r="L846" s="162" t="s">
        <v>1769</v>
      </c>
      <c r="M846" s="178"/>
      <c r="N846" s="178"/>
      <c r="O846" s="516"/>
      <c r="P846" s="178"/>
      <c r="Q846" s="2771"/>
      <c r="R846" s="2771"/>
      <c r="S846" s="2771"/>
      <c r="T846" s="2771"/>
      <c r="U846" s="2771">
        <f t="shared" si="76"/>
        <v>0</v>
      </c>
      <c r="V846" s="2771">
        <f>20*IF(AND(Arma_Desarrollada="Desarmado",D846=PDs!$AD$56),0.5,1)</f>
        <v>20</v>
      </c>
      <c r="W846" s="2771">
        <f>IF(COUNTIF(PDs!$AD$56:$AD$74,Tablas!D846)&gt;0,1,0)</f>
        <v>0</v>
      </c>
      <c r="X846" s="57" t="s">
        <v>1769</v>
      </c>
      <c r="Y846" s="2920">
        <f>HA_final-PDs!$X$22+MIN(PDs!$X$22+H$896-H846,50)</f>
        <v>-5</v>
      </c>
      <c r="Z846" s="2836">
        <f>HE_final-PDs!$X$24+MIN(PDs!$X$24+I$896-I846,50)</f>
        <v>0</v>
      </c>
      <c r="AA846" s="1997">
        <f>HP_final-PDs!$X$23+MIN(PDs!$X$23+J$896-J846,50)</f>
        <v>0</v>
      </c>
    </row>
    <row r="847" spans="1:29" ht="12.75" customHeight="1" x14ac:dyDescent="0.2">
      <c r="A847" s="2029">
        <v>211</v>
      </c>
      <c r="B847" s="4995"/>
      <c r="C847" s="1799"/>
      <c r="D847" s="490" t="s">
        <v>1212</v>
      </c>
      <c r="E847" s="2771">
        <f>30+Bono_Fue</f>
        <v>30</v>
      </c>
      <c r="F847" s="2771"/>
      <c r="G847" s="2771">
        <v>10</v>
      </c>
      <c r="H847" s="2771">
        <v>5</v>
      </c>
      <c r="I847" s="2771"/>
      <c r="J847" s="2771"/>
      <c r="K847" s="2771"/>
      <c r="L847" s="2624" t="s">
        <v>1769</v>
      </c>
      <c r="M847" s="516"/>
      <c r="N847" s="516"/>
      <c r="O847" s="516"/>
      <c r="P847" s="516"/>
      <c r="Q847" s="2771"/>
      <c r="R847" s="2771"/>
      <c r="S847" s="2771"/>
      <c r="T847" s="2771"/>
      <c r="U847" s="2771">
        <f t="shared" si="76"/>
        <v>0</v>
      </c>
      <c r="V847" s="2771">
        <f>30*IF(Arma_Desarrollada="Desarmado",IF(D846=PDs!$AD$56,0.5,1),1)</f>
        <v>30</v>
      </c>
      <c r="W847" s="2771">
        <f>IF(COUNTIF(PDs!$AD$56:$AD$74,Tablas!D847)&gt;0,1,0)</f>
        <v>0</v>
      </c>
      <c r="X847" s="57" t="str">
        <f>IF(OR(Y847&lt;120,MAX(Z847,AA847)&lt;120,$W$846=0),"NO","-")</f>
        <v>NO</v>
      </c>
      <c r="Y847" s="2920">
        <f>HA_final-PDs!$X$22+MIN(PDs!$X$22+H$896-H847,50)</f>
        <v>-5</v>
      </c>
      <c r="Z847" s="2836">
        <f>HE_final-PDs!$X$24+MIN(PDs!$X$24+I$896-I847,50)</f>
        <v>0</v>
      </c>
      <c r="AA847" s="1997">
        <f>HP_final-PDs!$X$23+MIN(PDs!$X$23+J$896-J847,50)</f>
        <v>0</v>
      </c>
    </row>
    <row r="848" spans="1:29" ht="12.75" customHeight="1" x14ac:dyDescent="0.2">
      <c r="A848" s="2029">
        <v>211</v>
      </c>
      <c r="B848" s="4995"/>
      <c r="C848" s="1799"/>
      <c r="D848" s="490" t="s">
        <v>1213</v>
      </c>
      <c r="E848" s="2771">
        <f>50+Bono_Fue</f>
        <v>50</v>
      </c>
      <c r="F848" s="2771"/>
      <c r="G848" s="2771">
        <v>10</v>
      </c>
      <c r="H848" s="2771">
        <v>10</v>
      </c>
      <c r="I848" s="2771"/>
      <c r="J848" s="2771"/>
      <c r="K848" s="2771"/>
      <c r="L848" s="2624" t="s">
        <v>1769</v>
      </c>
      <c r="M848" s="516"/>
      <c r="N848" s="516"/>
      <c r="O848" s="516"/>
      <c r="P848" s="516"/>
      <c r="Q848" s="2771"/>
      <c r="R848" s="2771"/>
      <c r="S848" s="2771"/>
      <c r="T848" s="2771"/>
      <c r="U848" s="2771">
        <f t="shared" si="76"/>
        <v>0</v>
      </c>
      <c r="V848" s="2771">
        <f>50*IF(Arma_Desarrollada="Desarmado",IF(D846=PDs!$AD$56,0.5,1),1)</f>
        <v>50</v>
      </c>
      <c r="W848" s="2771">
        <f>IF(COUNTIF(PDs!$AD$56:$AD$74,Tablas!D848)&gt;0,1,0)</f>
        <v>0</v>
      </c>
      <c r="X848" s="57" t="str">
        <f>IF(OR(Y848&lt;200,$W847=0),"NO","-")</f>
        <v>NO</v>
      </c>
      <c r="Y848" s="2920">
        <f>HA_final-PDs!$X$22+MIN(PDs!$X$22+H$896-H848,50)</f>
        <v>-10</v>
      </c>
      <c r="Z848" s="2836">
        <f>HE_final-PDs!$X$24+MIN(PDs!$X$24+I$896-I848,50)</f>
        <v>0</v>
      </c>
      <c r="AA848" s="1997">
        <f>HP_final-PDs!$X$23+MIN(PDs!$X$23+J$896-J848,50)</f>
        <v>0</v>
      </c>
    </row>
    <row r="849" spans="1:27" ht="12.75" customHeight="1" x14ac:dyDescent="0.2">
      <c r="A849" s="2029">
        <v>211</v>
      </c>
      <c r="B849" s="4995"/>
      <c r="C849" s="1799"/>
      <c r="D849" s="490" t="s">
        <v>1214</v>
      </c>
      <c r="E849" s="2771">
        <f>10+Bono_Fue</f>
        <v>10</v>
      </c>
      <c r="F849" s="2771"/>
      <c r="G849" s="2771">
        <v>0</v>
      </c>
      <c r="H849" s="2771"/>
      <c r="I849" s="2771"/>
      <c r="J849" s="2771"/>
      <c r="K849" s="2771"/>
      <c r="L849" s="2624" t="s">
        <v>1215</v>
      </c>
      <c r="M849" s="516"/>
      <c r="N849" s="516"/>
      <c r="O849" s="516"/>
      <c r="P849" s="516"/>
      <c r="Q849" s="2771"/>
      <c r="R849" s="2771"/>
      <c r="S849" s="2771"/>
      <c r="T849" s="2771"/>
      <c r="U849" s="2771">
        <f t="shared" si="76"/>
        <v>0</v>
      </c>
      <c r="V849" s="2771">
        <f>20*IF(AND(Arma_Desarrollada="Desarmado",D849=PDs!$AD$56),0.5,1)</f>
        <v>20</v>
      </c>
      <c r="W849" s="2771">
        <f>IF(COUNTIF(PDs!$AD$56:$AD$74,Tablas!D849)&gt;0,1,0)</f>
        <v>0</v>
      </c>
      <c r="X849" s="2771" t="str">
        <f>IF(Advertir_final&lt;50,"NO","-")</f>
        <v>NO</v>
      </c>
      <c r="Y849" s="2920">
        <f>HA_final-PDs!$X$22+MIN(PDs!$X$22+H$896-H849,50)</f>
        <v>0</v>
      </c>
      <c r="Z849" s="2836">
        <f>HE_final-PDs!$X$24+MIN(PDs!$X$24+I$896-I849,50)</f>
        <v>0</v>
      </c>
      <c r="AA849" s="1997">
        <f>HP_final-PDs!$X$23+MIN(PDs!$X$23+J$896-J849,50)</f>
        <v>0</v>
      </c>
    </row>
    <row r="850" spans="1:27" ht="12.75" customHeight="1" x14ac:dyDescent="0.2">
      <c r="A850" s="2029">
        <v>211</v>
      </c>
      <c r="B850" s="4995"/>
      <c r="C850" s="1799"/>
      <c r="D850" s="490" t="s">
        <v>1216</v>
      </c>
      <c r="E850" s="2771">
        <f>20+Bono_Fue</f>
        <v>20</v>
      </c>
      <c r="F850" s="2771"/>
      <c r="G850" s="2771">
        <v>10</v>
      </c>
      <c r="H850" s="2771"/>
      <c r="I850" s="2771">
        <v>10</v>
      </c>
      <c r="J850" s="2771">
        <v>10</v>
      </c>
      <c r="K850" s="2771"/>
      <c r="L850" s="2624" t="s">
        <v>1217</v>
      </c>
      <c r="M850" s="516"/>
      <c r="N850" s="516"/>
      <c r="O850" s="516"/>
      <c r="P850" s="516"/>
      <c r="Q850" s="2771"/>
      <c r="R850" s="2771"/>
      <c r="S850" s="2771"/>
      <c r="T850" s="2771"/>
      <c r="U850" s="2771">
        <f t="shared" si="76"/>
        <v>0</v>
      </c>
      <c r="V850" s="2771">
        <f>30*IF(Arma_Desarrollada="Desarmado",IF(D849=PDs!$AD$56,0.5,1),1)</f>
        <v>30</v>
      </c>
      <c r="W850" s="2771">
        <f>IF(COUNTIF(PDs!$AD$56:$AD$74,Tablas!D850)&gt;0,1,0)</f>
        <v>0</v>
      </c>
      <c r="X850" s="2771" t="str">
        <f>IF(OR(Advertir_final&lt;90,MAX(Z850,AA850)&lt;120,$W$849=0),"NO","-")</f>
        <v>NO</v>
      </c>
      <c r="Y850" s="2920">
        <f>HA_final-PDs!$X$22+MIN(PDs!$X$22+H$896-H850,50)</f>
        <v>0</v>
      </c>
      <c r="Z850" s="2836">
        <f>HE_final-PDs!$X$24+MIN(PDs!$X$24+I$896-I850,50)</f>
        <v>-10</v>
      </c>
      <c r="AA850" s="1997">
        <f>HP_final-PDs!$X$23+MIN(PDs!$X$23+J$896-J850,50)</f>
        <v>-10</v>
      </c>
    </row>
    <row r="851" spans="1:27" ht="12.75" customHeight="1" x14ac:dyDescent="0.2">
      <c r="A851" s="2029">
        <v>211</v>
      </c>
      <c r="B851" s="4995"/>
      <c r="C851" s="1799"/>
      <c r="D851" s="490" t="s">
        <v>1218</v>
      </c>
      <c r="E851" s="2771">
        <f>30+Bono_Fue</f>
        <v>30</v>
      </c>
      <c r="F851" s="2771"/>
      <c r="G851" s="2771">
        <v>10</v>
      </c>
      <c r="H851" s="2771"/>
      <c r="I851" s="2771">
        <v>10</v>
      </c>
      <c r="J851" s="2771">
        <v>10</v>
      </c>
      <c r="K851" s="2771"/>
      <c r="L851" s="2624" t="s">
        <v>1219</v>
      </c>
      <c r="M851" s="516"/>
      <c r="N851" s="516"/>
      <c r="O851" s="516"/>
      <c r="P851" s="516"/>
      <c r="Q851" s="2771"/>
      <c r="R851" s="2771"/>
      <c r="S851" s="2771"/>
      <c r="T851" s="2771"/>
      <c r="U851" s="2771">
        <f t="shared" si="76"/>
        <v>0</v>
      </c>
      <c r="V851" s="2771">
        <f>50*IF(Arma_Desarrollada="Desarmado",IF(D849=PDs!$AD$56,0.5,1),1)</f>
        <v>50</v>
      </c>
      <c r="W851" s="2771">
        <f>IF(COUNTIF(PDs!$AD$56:$AD$74,Tablas!D851)&gt;0,1,0)</f>
        <v>0</v>
      </c>
      <c r="X851" s="2771" t="str">
        <f>IF(OR(Advertir_final&lt;120,Acrobacias_final&lt;60,MAX(Z851,AA851)&lt;200,$W$850=0),"NO","-")</f>
        <v>NO</v>
      </c>
      <c r="Y851" s="2920">
        <f>HA_final-PDs!$X$22+MIN(PDs!$X$22+H$896-H851,50)</f>
        <v>0</v>
      </c>
      <c r="Z851" s="2836">
        <f>HE_final-PDs!$X$24+MIN(PDs!$X$24+I$896-I851,50)</f>
        <v>-10</v>
      </c>
      <c r="AA851" s="1997">
        <f>HP_final-PDs!$X$23+MIN(PDs!$X$23+J$896-J851,50)</f>
        <v>-10</v>
      </c>
    </row>
    <row r="852" spans="1:27" ht="12.75" customHeight="1" x14ac:dyDescent="0.2">
      <c r="A852" s="2029">
        <v>211</v>
      </c>
      <c r="B852" s="4995"/>
      <c r="C852" s="1799"/>
      <c r="D852" s="490" t="s">
        <v>1220</v>
      </c>
      <c r="E852" s="2771">
        <f>10+Bono_Fue</f>
        <v>10</v>
      </c>
      <c r="F852" s="2771"/>
      <c r="G852" s="2771">
        <v>0</v>
      </c>
      <c r="H852" s="2771"/>
      <c r="I852" s="2771"/>
      <c r="J852" s="2771"/>
      <c r="K852" s="2771"/>
      <c r="L852" s="2624" t="s">
        <v>1221</v>
      </c>
      <c r="M852" s="516"/>
      <c r="N852" s="516"/>
      <c r="O852" s="516"/>
      <c r="P852" s="516"/>
      <c r="Q852" s="2771"/>
      <c r="R852" s="2771"/>
      <c r="S852" s="2771"/>
      <c r="T852" s="2771"/>
      <c r="U852" s="2771">
        <f t="shared" si="76"/>
        <v>0</v>
      </c>
      <c r="V852" s="2771">
        <f>20*IF(AND(Arma_Desarrollada="Desarmado",D852=PDs!$AD$56),0.5,1)</f>
        <v>20</v>
      </c>
      <c r="W852" s="2771">
        <f>IF(COUNTIF(PDs!$AD$56:$AD$74,Tablas!D852)&gt;0,1,0)</f>
        <v>0</v>
      </c>
      <c r="X852" s="2771" t="s">
        <v>1769</v>
      </c>
      <c r="Y852" s="2920">
        <f>HA_final-PDs!$X$22+MIN(PDs!$X$22+H$896-H852,50)</f>
        <v>0</v>
      </c>
      <c r="Z852" s="2836">
        <f>HE_final-PDs!$X$24+MIN(PDs!$X$24+I$896-I852,50)</f>
        <v>0</v>
      </c>
      <c r="AA852" s="1997">
        <f>HP_final-PDs!$X$23+MIN(PDs!$X$23+J$896-J852,50)</f>
        <v>0</v>
      </c>
    </row>
    <row r="853" spans="1:27" ht="12.75" customHeight="1" x14ac:dyDescent="0.2">
      <c r="A853" s="2029">
        <v>211</v>
      </c>
      <c r="B853" s="4995"/>
      <c r="C853" s="1799"/>
      <c r="D853" s="490" t="s">
        <v>1222</v>
      </c>
      <c r="E853" s="2771">
        <f>20+Bono_Fue</f>
        <v>20</v>
      </c>
      <c r="F853" s="2771"/>
      <c r="G853" s="2771">
        <v>10</v>
      </c>
      <c r="H853" s="2771"/>
      <c r="I853" s="2771"/>
      <c r="J853" s="2771"/>
      <c r="K853" s="2771"/>
      <c r="L853" s="162" t="s">
        <v>1223</v>
      </c>
      <c r="M853" s="178"/>
      <c r="N853" s="178"/>
      <c r="O853" s="516"/>
      <c r="P853" s="178"/>
      <c r="Q853" s="2771"/>
      <c r="R853" s="2771"/>
      <c r="S853" s="2771"/>
      <c r="T853" s="2771"/>
      <c r="U853" s="2771">
        <f t="shared" si="76"/>
        <v>0</v>
      </c>
      <c r="V853" s="2771">
        <f>30*IF(Arma_Desarrollada="Desarmado",IF(D852=PDs!$AD$56,0.5,1),1)</f>
        <v>30</v>
      </c>
      <c r="W853" s="2771">
        <f>IF(COUNTIF(PDs!$AD$56:$AD$74,Tablas!D853)&gt;0,1,0)</f>
        <v>0</v>
      </c>
      <c r="X853" s="2771" t="str">
        <f>IF(OR(Y853&lt;130,MAX(Z853,AA853)&lt;100,$W$852=0),"NO","-")</f>
        <v>NO</v>
      </c>
      <c r="Y853" s="2920">
        <f>HA_final-PDs!$X$22+MIN(PDs!$X$22+H$896-H853,50)</f>
        <v>0</v>
      </c>
      <c r="Z853" s="2836">
        <f>HE_final-PDs!$X$24+MIN(PDs!$X$24+I$896-I853,50)</f>
        <v>0</v>
      </c>
      <c r="AA853" s="1997">
        <f>HP_final-PDs!$X$23+MIN(PDs!$X$23+J$896-J853,50)</f>
        <v>0</v>
      </c>
    </row>
    <row r="854" spans="1:27" ht="12.75" customHeight="1" x14ac:dyDescent="0.2">
      <c r="A854" s="2029">
        <v>211</v>
      </c>
      <c r="B854" s="4995"/>
      <c r="C854" s="1799"/>
      <c r="D854" s="490" t="s">
        <v>1224</v>
      </c>
      <c r="E854" s="2771">
        <f>20+Bono_Fue</f>
        <v>20</v>
      </c>
      <c r="F854" s="2771"/>
      <c r="G854" s="2771">
        <v>10</v>
      </c>
      <c r="H854" s="2771"/>
      <c r="I854" s="2771"/>
      <c r="J854" s="2771"/>
      <c r="K854" s="2771"/>
      <c r="L854" s="2624" t="s">
        <v>1225</v>
      </c>
      <c r="M854" s="516"/>
      <c r="N854" s="516"/>
      <c r="O854" s="516"/>
      <c r="P854" s="516"/>
      <c r="Q854" s="2771"/>
      <c r="R854" s="2771"/>
      <c r="S854" s="2771"/>
      <c r="T854" s="2771"/>
      <c r="U854" s="2771">
        <f t="shared" si="76"/>
        <v>0</v>
      </c>
      <c r="V854" s="2771">
        <f>50*IF(Arma_Desarrollada="Desarmado",IF(D852=PDs!$AD$56,0.5,1),1)</f>
        <v>50</v>
      </c>
      <c r="W854" s="2771">
        <f>IF(COUNTIF(PDs!$AD$56:$AD$74,Tablas!D854)&gt;0,1,0)</f>
        <v>0</v>
      </c>
      <c r="X854" s="2771" t="str">
        <f>IF(OR(Y854&lt;200,$W$853=0),"NO","-")</f>
        <v>NO</v>
      </c>
      <c r="Y854" s="2920">
        <f>HA_final-PDs!$X$22+MIN(PDs!$X$22+H$896-H854,50)</f>
        <v>0</v>
      </c>
      <c r="Z854" s="2836">
        <f>HE_final-PDs!$X$24+MIN(PDs!$X$24+I$896-I854,50)</f>
        <v>0</v>
      </c>
      <c r="AA854" s="1997">
        <f>HP_final-PDs!$X$23+MIN(PDs!$X$23+J$896-J854,50)</f>
        <v>0</v>
      </c>
    </row>
    <row r="855" spans="1:27" ht="12.75" customHeight="1" x14ac:dyDescent="0.2">
      <c r="A855" s="2029">
        <v>211</v>
      </c>
      <c r="B855" s="4995"/>
      <c r="C855" s="1799"/>
      <c r="D855" s="490" t="s">
        <v>1226</v>
      </c>
      <c r="E855" s="2771">
        <f>20+Bono_Pod</f>
        <v>20</v>
      </c>
      <c r="F855" s="2771"/>
      <c r="G855" s="2771">
        <v>10</v>
      </c>
      <c r="H855" s="2771"/>
      <c r="I855" s="2771"/>
      <c r="J855" s="2771"/>
      <c r="K855" s="2771"/>
      <c r="L855" s="2624" t="s">
        <v>1769</v>
      </c>
      <c r="M855" s="516"/>
      <c r="N855" s="516"/>
      <c r="O855" s="516"/>
      <c r="P855" s="516"/>
      <c r="Q855" s="2771"/>
      <c r="R855" s="2771"/>
      <c r="S855" s="2771"/>
      <c r="T855" s="2771"/>
      <c r="U855" s="2771">
        <f t="shared" si="76"/>
        <v>0</v>
      </c>
      <c r="V855" s="2771">
        <f>20*IF(AND(Arma_Desarrollada="Desarmado",D855=PDs!$AD$56),0.5,1)</f>
        <v>20</v>
      </c>
      <c r="W855" s="2771">
        <f>IF(COUNTIF(PDs!$AD$56:$AD$74,Tablas!D855)&gt;0,1,0)</f>
        <v>0</v>
      </c>
      <c r="X855" s="2771" t="s">
        <v>1769</v>
      </c>
      <c r="Y855" s="2920">
        <f>HA_final-PDs!$X$22+MIN(PDs!$X$22+H$896-H855,50)</f>
        <v>0</v>
      </c>
      <c r="Z855" s="2836">
        <f>HE_final-PDs!$X$24+MIN(PDs!$X$24+I$896-I855,50)</f>
        <v>0</v>
      </c>
      <c r="AA855" s="1997">
        <f>HP_final-PDs!$X$23+MIN(PDs!$X$23+J$896-J855,50)</f>
        <v>0</v>
      </c>
    </row>
    <row r="856" spans="1:27" ht="12.75" customHeight="1" x14ac:dyDescent="0.2">
      <c r="A856" s="2029">
        <v>211</v>
      </c>
      <c r="B856" s="4995"/>
      <c r="C856" s="1799"/>
      <c r="D856" s="490" t="s">
        <v>1227</v>
      </c>
      <c r="E856" s="2771">
        <f>20+2*Bono_Pod</f>
        <v>20</v>
      </c>
      <c r="F856" s="2771"/>
      <c r="G856" s="2771">
        <v>20</v>
      </c>
      <c r="H856" s="2771"/>
      <c r="I856" s="2771"/>
      <c r="J856" s="2771"/>
      <c r="K856" s="2771"/>
      <c r="L856" s="162" t="s">
        <v>1769</v>
      </c>
      <c r="M856" s="178"/>
      <c r="N856" s="178"/>
      <c r="O856" s="516"/>
      <c r="P856" s="178"/>
      <c r="Q856" s="2771"/>
      <c r="R856" s="2771"/>
      <c r="S856" s="2771"/>
      <c r="T856" s="2771"/>
      <c r="U856" s="2771">
        <f t="shared" si="76"/>
        <v>0</v>
      </c>
      <c r="V856" s="2771">
        <f>30*IF(Arma_Desarrollada="Desarmado",IF(D855=PDs!$AD$56,0.5,1),1)</f>
        <v>30</v>
      </c>
      <c r="W856" s="2771">
        <f>IF(COUNTIF(PDs!$AD$56:$AD$74,Tablas!D856)&gt;0,1,0)</f>
        <v>0</v>
      </c>
      <c r="X856" s="2771" t="str">
        <f>IF(OR(NOT(UsodelKi),$W$855=0),"NO","-")</f>
        <v>NO</v>
      </c>
      <c r="Y856" s="2920">
        <f>HA_final-PDs!$X$22+MIN(PDs!$X$22+H$896-H856,50)</f>
        <v>0</v>
      </c>
      <c r="Z856" s="2836">
        <f>HE_final-PDs!$X$24+MIN(PDs!$X$24+I$896-I856,50)</f>
        <v>0</v>
      </c>
      <c r="AA856" s="1997">
        <f>HP_final-PDs!$X$23+MIN(PDs!$X$23+J$896-J856,50)</f>
        <v>0</v>
      </c>
    </row>
    <row r="857" spans="1:27" ht="12.75" customHeight="1" x14ac:dyDescent="0.2">
      <c r="A857" s="2029">
        <v>211</v>
      </c>
      <c r="B857" s="4995"/>
      <c r="C857" s="1799"/>
      <c r="D857" s="490" t="s">
        <v>1228</v>
      </c>
      <c r="E857" s="2771">
        <f>20+2*Bono_Pod</f>
        <v>20</v>
      </c>
      <c r="F857" s="2771">
        <f>Bono_Pod</f>
        <v>0</v>
      </c>
      <c r="G857" s="2771">
        <v>30</v>
      </c>
      <c r="H857" s="2771"/>
      <c r="I857" s="2771"/>
      <c r="J857" s="2771"/>
      <c r="K857" s="2771"/>
      <c r="L857" s="2624" t="s">
        <v>1769</v>
      </c>
      <c r="M857" s="516"/>
      <c r="N857" s="516"/>
      <c r="O857" s="516"/>
      <c r="P857" s="516"/>
      <c r="Q857" s="2771"/>
      <c r="R857" s="2771"/>
      <c r="S857" s="2771"/>
      <c r="T857" s="2771"/>
      <c r="U857" s="2771">
        <f t="shared" si="76"/>
        <v>0</v>
      </c>
      <c r="V857" s="2771">
        <f>50*IF(Arma_Desarrollada="Desarmado",IF(D855=PDs!$AD$56,0.5,1),1)</f>
        <v>50</v>
      </c>
      <c r="W857" s="2771">
        <f>IF(COUNTIF(PDs!$AD$56:$AD$74,Tablas!D857)&gt;0,1,0)</f>
        <v>0</v>
      </c>
      <c r="X857" s="2771" t="str">
        <f>IF(OR(NOT(Usodelaenergíanecesaria),$W$856=0,Y857&lt;180,MAX(Z857,AA857)&lt;180),"NO","-")</f>
        <v>NO</v>
      </c>
      <c r="Y857" s="2920">
        <f>HA_final-PDs!$X$22+MIN(PDs!$X$22+H$896-H857,50)</f>
        <v>0</v>
      </c>
      <c r="Z857" s="2836">
        <f>HE_final-PDs!$X$24+MIN(PDs!$X$24+I$896-I857,50)</f>
        <v>0</v>
      </c>
      <c r="AA857" s="1997">
        <f>HP_final-PDs!$X$23+MIN(PDs!$X$23+J$896-J857,50)</f>
        <v>0</v>
      </c>
    </row>
    <row r="858" spans="1:27" ht="12.75" customHeight="1" x14ac:dyDescent="0.2">
      <c r="A858" s="2029">
        <v>211</v>
      </c>
      <c r="B858" s="4995"/>
      <c r="C858" s="1799"/>
      <c r="D858" s="490" t="s">
        <v>1229</v>
      </c>
      <c r="E858" s="2771">
        <f>10+Bono_Fue</f>
        <v>10</v>
      </c>
      <c r="F858" s="2771"/>
      <c r="G858" s="2771">
        <v>0</v>
      </c>
      <c r="H858" s="2771"/>
      <c r="I858" s="2771"/>
      <c r="J858" s="2771"/>
      <c r="K858" s="2771"/>
      <c r="L858" s="2624" t="s">
        <v>1230</v>
      </c>
      <c r="M858" s="516"/>
      <c r="N858" s="516"/>
      <c r="O858" s="516"/>
      <c r="P858" s="516"/>
      <c r="Q858" s="2771"/>
      <c r="R858" s="2771"/>
      <c r="S858" s="2771"/>
      <c r="T858" s="2771"/>
      <c r="U858" s="2771">
        <f t="shared" si="76"/>
        <v>0</v>
      </c>
      <c r="V858" s="2771">
        <f>20*IF(AND(Arma_Desarrollada="Desarmado",D858=PDs!$AD$56),0.5,1)</f>
        <v>20</v>
      </c>
      <c r="W858" s="2771">
        <f>IF(COUNTIF(PDs!$AD$56:$AD$74,Tablas!D858)&gt;0,1,0)</f>
        <v>0</v>
      </c>
      <c r="X858" s="2771" t="str">
        <f>IF(T.Manos_final&lt;20,"NO","-")</f>
        <v>NO</v>
      </c>
      <c r="Y858" s="2920">
        <f>HA_final-PDs!$X$22+MIN(PDs!$X$22+H$896-H858,50)</f>
        <v>0</v>
      </c>
      <c r="Z858" s="2836">
        <f>HE_final-PDs!$X$24+MIN(PDs!$X$24+I$896-I858,50)</f>
        <v>0</v>
      </c>
      <c r="AA858" s="1997">
        <f>HP_final-PDs!$X$23+MIN(PDs!$X$23+J$896-J858,50)</f>
        <v>0</v>
      </c>
    </row>
    <row r="859" spans="1:27" ht="12.75" customHeight="1" x14ac:dyDescent="0.2">
      <c r="A859" s="2029">
        <v>211</v>
      </c>
      <c r="B859" s="4995"/>
      <c r="C859" s="1799"/>
      <c r="D859" s="490" t="s">
        <v>1231</v>
      </c>
      <c r="E859" s="2771">
        <f>20+Bono_Fue</f>
        <v>20</v>
      </c>
      <c r="F859" s="2771"/>
      <c r="G859" s="2771">
        <v>10</v>
      </c>
      <c r="H859" s="2771"/>
      <c r="I859" s="2771"/>
      <c r="J859" s="2771"/>
      <c r="K859" s="2771"/>
      <c r="L859" s="2624" t="s">
        <v>1232</v>
      </c>
      <c r="M859" s="516"/>
      <c r="N859" s="516"/>
      <c r="O859" s="516"/>
      <c r="P859" s="516"/>
      <c r="Q859" s="2771"/>
      <c r="R859" s="2771"/>
      <c r="S859" s="2771"/>
      <c r="T859" s="2771"/>
      <c r="U859" s="2771">
        <f t="shared" si="76"/>
        <v>0</v>
      </c>
      <c r="V859" s="2771">
        <f>30*IF(Arma_Desarrollada="Desarmado",IF(D858=PDs!$AD$56,0.5,1),1)</f>
        <v>30</v>
      </c>
      <c r="W859" s="2771">
        <f>IF(COUNTIF(PDs!$AD$56:$AD$74,Tablas!D859)&gt;0,1,0)</f>
        <v>0</v>
      </c>
      <c r="X859" s="2771" t="str">
        <f>IF(OR(T.Manos_final&lt;50,Turno_SinArmas_final&lt;100,Y859&lt;120,$W$858=0),"NO","-")</f>
        <v>NO</v>
      </c>
      <c r="Y859" s="2920">
        <f>HA_final-PDs!$X$22+MIN(PDs!$X$22+H$896-H859,50)</f>
        <v>0</v>
      </c>
      <c r="Z859" s="2836">
        <f>HE_final-PDs!$X$24+MIN(PDs!$X$24+I$896-I859,50)</f>
        <v>0</v>
      </c>
      <c r="AA859" s="1997">
        <f>HP_final-PDs!$X$23+MIN(PDs!$X$23+J$896-J859,50)</f>
        <v>0</v>
      </c>
    </row>
    <row r="860" spans="1:27" ht="12.75" customHeight="1" x14ac:dyDescent="0.2">
      <c r="A860" s="2029">
        <v>211</v>
      </c>
      <c r="B860" s="4995"/>
      <c r="C860" s="1799"/>
      <c r="D860" s="490" t="s">
        <v>1233</v>
      </c>
      <c r="E860" s="2771">
        <f>30+Bono_Fue</f>
        <v>30</v>
      </c>
      <c r="F860" s="2771"/>
      <c r="G860" s="2771">
        <v>10</v>
      </c>
      <c r="H860" s="2771"/>
      <c r="I860" s="2771"/>
      <c r="J860" s="2771"/>
      <c r="K860" s="2771"/>
      <c r="L860" s="2624" t="s">
        <v>1234</v>
      </c>
      <c r="M860" s="516"/>
      <c r="N860" s="516"/>
      <c r="O860" s="516"/>
      <c r="P860" s="516"/>
      <c r="Q860" s="2771"/>
      <c r="R860" s="2771"/>
      <c r="S860" s="2771"/>
      <c r="T860" s="2771"/>
      <c r="U860" s="2771">
        <f t="shared" si="76"/>
        <v>0</v>
      </c>
      <c r="V860" s="2771">
        <f>50*IF(Arma_Desarrollada="Desarmado",IF(D858=PDs!$AD$56,0.5,1),1)</f>
        <v>50</v>
      </c>
      <c r="W860" s="2771">
        <f>IF(COUNTIF(PDs!$AD$56:$AD$74,Tablas!D860)&gt;0,1,0)</f>
        <v>0</v>
      </c>
      <c r="X860" s="2771" t="str">
        <f>IF(OR(T.Manos_final&lt;100,Turno_SinArmas_final&lt;120,Y860&lt;200,$W$859=0),"NO","-")</f>
        <v>NO</v>
      </c>
      <c r="Y860" s="2920">
        <f>HA_final-PDs!$X$22+MIN(PDs!$X$22+H$896-H860,50)</f>
        <v>0</v>
      </c>
      <c r="Z860" s="2836">
        <f>HE_final-PDs!$X$24+MIN(PDs!$X$24+I$896-I860,50)</f>
        <v>0</v>
      </c>
      <c r="AA860" s="1997">
        <f>HP_final-PDs!$X$23+MIN(PDs!$X$23+J$896-J860,50)</f>
        <v>0</v>
      </c>
    </row>
    <row r="861" spans="1:27" ht="12.75" customHeight="1" x14ac:dyDescent="0.2">
      <c r="A861" s="2029">
        <v>211</v>
      </c>
      <c r="B861" s="4995"/>
      <c r="C861" s="1799"/>
      <c r="D861" s="241" t="s">
        <v>1235</v>
      </c>
      <c r="E861" s="2771"/>
      <c r="F861" s="2771"/>
      <c r="G861" s="2771"/>
      <c r="H861" s="2771"/>
      <c r="I861" s="2771"/>
      <c r="J861" s="2771"/>
      <c r="K861" s="2771"/>
      <c r="L861" s="2624" t="s">
        <v>1769</v>
      </c>
      <c r="M861" s="2771"/>
      <c r="N861" s="2771"/>
      <c r="O861" s="2624"/>
      <c r="P861" s="2771"/>
      <c r="Q861" s="2771"/>
      <c r="R861" s="2771"/>
      <c r="S861" s="2771"/>
      <c r="T861" s="2771"/>
      <c r="U861" s="2771">
        <f t="shared" si="76"/>
        <v>0</v>
      </c>
      <c r="V861" s="2771">
        <v>0</v>
      </c>
      <c r="W861" s="2771">
        <f>IF(COUNTIF(PDs!$AD$56:$AD$74,Tablas!D861)&gt;0,1,0)</f>
        <v>0</v>
      </c>
      <c r="X861" s="2771" t="s">
        <v>1769</v>
      </c>
      <c r="Y861" s="2920"/>
      <c r="Z861" s="2836"/>
      <c r="AA861" s="1997"/>
    </row>
    <row r="862" spans="1:27" ht="12.75" customHeight="1" x14ac:dyDescent="0.2">
      <c r="A862" s="2029">
        <v>211</v>
      </c>
      <c r="B862" s="4995"/>
      <c r="C862" s="1799"/>
      <c r="D862" s="490" t="s">
        <v>1236</v>
      </c>
      <c r="E862" s="2771">
        <v>0</v>
      </c>
      <c r="F862" s="2771">
        <v>10</v>
      </c>
      <c r="G862" s="2771">
        <v>10</v>
      </c>
      <c r="H862" s="2771">
        <v>10</v>
      </c>
      <c r="I862" s="2771">
        <v>10</v>
      </c>
      <c r="J862" s="2771">
        <v>10</v>
      </c>
      <c r="K862" s="2771">
        <v>10</v>
      </c>
      <c r="L862" s="162" t="s">
        <v>1769</v>
      </c>
      <c r="M862" s="178"/>
      <c r="N862" s="178"/>
      <c r="O862" s="516"/>
      <c r="P862" s="178"/>
      <c r="Q862" s="2771"/>
      <c r="R862" s="2771"/>
      <c r="S862" s="2771"/>
      <c r="T862" s="2771"/>
      <c r="U862" s="2771">
        <f t="shared" si="76"/>
        <v>0</v>
      </c>
      <c r="V862" s="2771">
        <v>50</v>
      </c>
      <c r="W862" s="2771">
        <f>IF(COUNTIF(PDs!$AD$56:$AD$74,Tablas!D862)&gt;0,1,0)</f>
        <v>0</v>
      </c>
      <c r="X862" s="2771" t="str">
        <f>IF(OR(Y862&lt;160,MAX(Z862,AA862)&lt;160,$W$829=0),"NO","-")</f>
        <v>NO</v>
      </c>
      <c r="Y862" s="2920">
        <f t="array" ref="Y862">HA_final-PDs!$X$22+MIN(PDs!$X$22+H$896-H862,50)+MAX(S$806:S861*$W$806:$W861,S863:S$895*$W863:$W$895)</f>
        <v>-10</v>
      </c>
      <c r="Z862" s="2836">
        <f t="array" ref="Z862">HE_final-PDs!$X$24+MIN(PDs!$X$24+I$896-I862,50)+MAX(T$806:T861*$W$806:$W861,T863:T$895*$W863:$W$895)</f>
        <v>-10</v>
      </c>
      <c r="AA862" s="1997">
        <f t="array" ref="AA862">HP_final-PDs!$X$23+MIN(PDs!$X$23+J$896-J862,50)+MAX(T$806:T861*$W$806:$W861,T863:T$895*$W863:$W$895)</f>
        <v>-10</v>
      </c>
    </row>
    <row r="863" spans="1:27" ht="12.75" customHeight="1" x14ac:dyDescent="0.2">
      <c r="A863" s="2029">
        <v>211</v>
      </c>
      <c r="B863" s="4995"/>
      <c r="C863" s="1799"/>
      <c r="D863" s="490" t="s">
        <v>1237</v>
      </c>
      <c r="E863" s="2771">
        <v>0</v>
      </c>
      <c r="F863" s="2771"/>
      <c r="G863" s="2771">
        <v>10</v>
      </c>
      <c r="H863" s="2771"/>
      <c r="I863" s="2771"/>
      <c r="J863" s="2771"/>
      <c r="K863" s="2771"/>
      <c r="L863" s="162" t="s">
        <v>1238</v>
      </c>
      <c r="M863" s="2741"/>
      <c r="N863" s="2741"/>
      <c r="O863" s="2115"/>
      <c r="P863" s="2741"/>
      <c r="Q863" s="2771"/>
      <c r="R863" s="2771"/>
      <c r="S863" s="2771">
        <v>10</v>
      </c>
      <c r="T863" s="2771">
        <v>10</v>
      </c>
      <c r="U863" s="2771">
        <f t="shared" si="76"/>
        <v>0</v>
      </c>
      <c r="V863" s="2771">
        <v>50</v>
      </c>
      <c r="W863" s="2771">
        <f>IF(COUNTIF(PDs!$AD$56:$AD$74,Tablas!D863)&gt;0,1,0)</f>
        <v>0</v>
      </c>
      <c r="X863" s="2771" t="str">
        <f>IF(OR(Y863&lt;280,MAX(Z863,AA863)&lt;280,AND($W$862=0,$W$830=0),NOT(Inhumanidad)),"NO","-")</f>
        <v>NO</v>
      </c>
      <c r="Y863" s="2920">
        <f t="array" ref="Y863">HA_final-PDs!$X$22+MIN(PDs!$X$22+H$896-H863,50)+MAX(S$806:S862*$W$806:$W862,S864:S$895*$W864:$W$895)</f>
        <v>0</v>
      </c>
      <c r="Z863" s="2836">
        <f t="array" ref="Z863">HE_final-PDs!$X$24+MIN(PDs!$X$24+I$896-I863,50)+MAX(T$806:T862*$W$806:$W862,T864:T$895*$W864:$W$895)</f>
        <v>0</v>
      </c>
      <c r="AA863" s="1997">
        <f t="array" ref="AA863">HP_final-PDs!$X$23+MIN(PDs!$X$23+J$896-J863,50)+MAX(T$806:T862*$W$806:$W862,T864:T$895*$W864:$W$895)</f>
        <v>0</v>
      </c>
    </row>
    <row r="864" spans="1:27" ht="12.75" customHeight="1" x14ac:dyDescent="0.2">
      <c r="A864" s="2029">
        <v>211</v>
      </c>
      <c r="B864" s="4995"/>
      <c r="C864" s="1799"/>
      <c r="D864" s="490" t="s">
        <v>1239</v>
      </c>
      <c r="E864" s="2771">
        <v>0</v>
      </c>
      <c r="F864" s="2771">
        <v>10</v>
      </c>
      <c r="G864" s="2771">
        <v>10</v>
      </c>
      <c r="H864" s="2771">
        <v>20</v>
      </c>
      <c r="I864" s="2771"/>
      <c r="J864" s="2771"/>
      <c r="K864" s="2771"/>
      <c r="L864" s="162" t="s">
        <v>1240</v>
      </c>
      <c r="M864" s="178"/>
      <c r="N864" s="178"/>
      <c r="O864" s="516"/>
      <c r="P864" s="178"/>
      <c r="Q864" s="2771" t="s">
        <v>1868</v>
      </c>
      <c r="R864" s="2771" t="s">
        <v>1869</v>
      </c>
      <c r="S864" s="2771"/>
      <c r="T864" s="2771"/>
      <c r="U864" s="2771">
        <f t="shared" si="76"/>
        <v>0</v>
      </c>
      <c r="V864" s="2771">
        <v>50</v>
      </c>
      <c r="W864" s="2771">
        <f>IF(COUNTIF(PDs!$AD$56:$AD$74,Tablas!D864)&gt;0,1,0)</f>
        <v>0</v>
      </c>
      <c r="X864" s="2771" t="str">
        <f>IF(OR(NOT(OR($W$823=1,$W$814=1)),NOT(Extrusióndepresencia)),"NO","-")</f>
        <v>NO</v>
      </c>
      <c r="Y864" s="2920">
        <f t="array" ref="Y864">HA_final-PDs!$X$22+MIN(PDs!$X$22+H$896-H864,50)+MAX(S$806:S863*$W$806:$W863,S865:S$895*$W865:$W$895)</f>
        <v>-20</v>
      </c>
      <c r="Z864" s="2836">
        <f t="array" ref="Z864">HE_final-PDs!$X$24+MIN(PDs!$X$24+I$896-I864,50)+MAX(T$806:T863*$W$806:$W863,T865:T$895*$W865:$W$895)</f>
        <v>0</v>
      </c>
      <c r="AA864" s="1997">
        <f t="array" ref="AA864">HP_final-PDs!$X$23+MIN(PDs!$X$23+J$896-J864,50)+MAX(T$806:T863*$W$806:$W863,T865:T$895*$W865:$W$895)</f>
        <v>0</v>
      </c>
    </row>
    <row r="865" spans="1:27" ht="12.75" customHeight="1" x14ac:dyDescent="0.2">
      <c r="A865" s="2029">
        <v>211</v>
      </c>
      <c r="B865" s="4995"/>
      <c r="C865" s="1799"/>
      <c r="D865" s="490" t="s">
        <v>1241</v>
      </c>
      <c r="E865" s="2771">
        <v>0</v>
      </c>
      <c r="F865" s="2771">
        <v>10</v>
      </c>
      <c r="G865" s="2771">
        <v>10</v>
      </c>
      <c r="H865" s="2771"/>
      <c r="I865" s="2771"/>
      <c r="J865" s="2771"/>
      <c r="K865" s="2771"/>
      <c r="L865" s="2624" t="s">
        <v>1242</v>
      </c>
      <c r="M865" s="516"/>
      <c r="N865" s="516"/>
      <c r="O865" s="516"/>
      <c r="P865" s="516"/>
      <c r="Q865" s="2771"/>
      <c r="R865" s="2771"/>
      <c r="S865" s="2771">
        <v>20</v>
      </c>
      <c r="T865" s="2771"/>
      <c r="U865" s="2771">
        <f t="shared" si="76"/>
        <v>0</v>
      </c>
      <c r="V865" s="2771">
        <v>50</v>
      </c>
      <c r="W865" s="2771">
        <f>IF(COUNTIF(PDs!$AD$56:$AD$74,Tablas!D865)&gt;0,1,0)</f>
        <v>0</v>
      </c>
      <c r="X865" s="2771" t="str">
        <f>IF(OR(NOT(OR($W$824=1,$W$815=1)),$W$864=0,NOT(Inhumanidad),Y865&lt;280),"NO","-")</f>
        <v>NO</v>
      </c>
      <c r="Y865" s="2920">
        <f t="array" ref="Y865">HA_final-PDs!$X$22+MIN(PDs!$X$22+H$896-H865,50)+MAX(S$806:S864*$W$806:$W864,S866:S$895*$W866:$W$895)</f>
        <v>0</v>
      </c>
      <c r="Z865" s="2836">
        <f t="array" ref="Z865">HE_final-PDs!$X$24+MIN(PDs!$X$24+I$896-I865,50)+MAX(T$806:T864*$W$806:$W864,T866:T$895*$W866:$W$895)</f>
        <v>0</v>
      </c>
      <c r="AA865" s="1997">
        <f t="array" ref="AA865">HP_final-PDs!$X$23+MIN(PDs!$X$23+J$896-J865,50)+MAX(T$806:T864*$W$806:$W864,T866:T$895*$W866:$W$895)</f>
        <v>0</v>
      </c>
    </row>
    <row r="866" spans="1:27" ht="12.75" customHeight="1" x14ac:dyDescent="0.2">
      <c r="A866" s="2029">
        <v>211</v>
      </c>
      <c r="B866" s="4995"/>
      <c r="C866" s="1799"/>
      <c r="D866" s="490" t="s">
        <v>1243</v>
      </c>
      <c r="E866" s="2771">
        <v>0</v>
      </c>
      <c r="F866" s="2771"/>
      <c r="G866" s="2771">
        <v>10</v>
      </c>
      <c r="H866" s="2771">
        <v>20</v>
      </c>
      <c r="I866" s="2771"/>
      <c r="J866" s="2771"/>
      <c r="K866" s="2771">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71"/>
      <c r="R866" s="2771"/>
      <c r="S866" s="2771"/>
      <c r="T866" s="2771"/>
      <c r="U866" s="2771">
        <f t="shared" si="76"/>
        <v>0</v>
      </c>
      <c r="V866" s="2771">
        <v>50</v>
      </c>
      <c r="W866" s="2771">
        <f>IF(COUNTIF(PDs!$AD$56:$AD$74,Tablas!D866)&gt;0,1,0)</f>
        <v>0</v>
      </c>
      <c r="X866" s="2771" t="str">
        <f>IF(OR(NOT(OR($W$823=1,$W$825=1,$W$835=1)),Y866&lt;200),"NO","-")</f>
        <v>NO</v>
      </c>
      <c r="Y866" s="2920">
        <f t="array" ref="Y866">HA_final-PDs!$X$22+MIN(PDs!$X$22+H$896-H866,50)+MAX(S$806:S865*$W$806:$W865,S867:S$895*$W867:$W$895)</f>
        <v>-20</v>
      </c>
      <c r="Z866" s="2836">
        <f t="array" ref="Z866">HE_final-PDs!$X$24+MIN(PDs!$X$24+I$896-I866,50)+MAX(T$806:T865*$W$806:$W865,T867:T$895*$W867:$W$895)</f>
        <v>0</v>
      </c>
      <c r="AA866" s="1997">
        <f t="array" ref="AA866">HP_final-PDs!$X$23+MIN(PDs!$X$23+J$896-J866,50)+MAX(T$806:T865*$W$806:$W865,T867:T$895*$W867:$W$895)</f>
        <v>0</v>
      </c>
    </row>
    <row r="867" spans="1:27" ht="12.75" customHeight="1" x14ac:dyDescent="0.2">
      <c r="A867" s="2029">
        <v>211</v>
      </c>
      <c r="B867" s="4995"/>
      <c r="C867" s="1799"/>
      <c r="D867" s="490" t="s">
        <v>1244</v>
      </c>
      <c r="E867" s="2771">
        <v>0</v>
      </c>
      <c r="F867" s="2771"/>
      <c r="G867" s="2771">
        <v>10</v>
      </c>
      <c r="H867" s="2771"/>
      <c r="I867" s="2771"/>
      <c r="J867" s="2771"/>
      <c r="K867" s="2771">
        <v>10</v>
      </c>
      <c r="L867" s="2624" t="s">
        <v>1245</v>
      </c>
      <c r="M867" s="516"/>
      <c r="N867" s="516"/>
      <c r="O867" s="516"/>
      <c r="P867" s="516"/>
      <c r="Q867" s="2771"/>
      <c r="R867" s="2771"/>
      <c r="S867" s="2771">
        <v>20</v>
      </c>
      <c r="T867" s="2771"/>
      <c r="U867" s="2771">
        <f t="shared" si="76"/>
        <v>0</v>
      </c>
      <c r="V867" s="2771">
        <v>50</v>
      </c>
      <c r="W867" s="2771">
        <f>IF(COUNTIF(PDs!$AD$56:$AD$74,Tablas!D867)&gt;0,1,0)</f>
        <v>0</v>
      </c>
      <c r="X867" s="2771" t="str">
        <f>IF(OR(NOT(OR($W$824=1,$W$827=1,$W$836=1)),Y867&lt;280,MAX(Z867,AA867)&lt;260,$W$866=0),"NO","-")</f>
        <v>NO</v>
      </c>
      <c r="Y867" s="2920">
        <f t="array" ref="Y867">HA_final-PDs!$X$22+MIN(PDs!$X$22+H$896-H867,50)+MAX(S$806:S866*$W$806:$W866,S868:S$895*$W868:$W$895)</f>
        <v>0</v>
      </c>
      <c r="Z867" s="2836">
        <f t="array" ref="Z867">HE_final-PDs!$X$24+MIN(PDs!$X$24+I$896-I867,50)+MAX(T$806:T866*$W$806:$W866,T868:T$895*$W868:$W$895)</f>
        <v>0</v>
      </c>
      <c r="AA867" s="1997">
        <f t="array" ref="AA867">HP_final-PDs!$X$23+MIN(PDs!$X$23+J$896-J867,50)+MAX(T$806:T866*$W$806:$W866,T868:T$895*$W868:$W$895)</f>
        <v>0</v>
      </c>
    </row>
    <row r="868" spans="1:27" ht="12.75" customHeight="1" x14ac:dyDescent="0.2">
      <c r="A868" s="2029">
        <v>211</v>
      </c>
      <c r="B868" s="4995"/>
      <c r="C868" s="1799"/>
      <c r="D868" s="490" t="s">
        <v>1246</v>
      </c>
      <c r="E868" s="2771">
        <v>0</v>
      </c>
      <c r="F868" s="2771"/>
      <c r="G868" s="2771">
        <v>10</v>
      </c>
      <c r="H868" s="2771"/>
      <c r="I868" s="2771">
        <v>20</v>
      </c>
      <c r="J868" s="2771">
        <v>20</v>
      </c>
      <c r="K868" s="2771"/>
      <c r="L868" s="162" t="s">
        <v>1247</v>
      </c>
      <c r="M868" s="178"/>
      <c r="N868" s="178"/>
      <c r="O868" s="516"/>
      <c r="P868" s="178"/>
      <c r="Q868" s="2771"/>
      <c r="R868" s="2771"/>
      <c r="S868" s="2771"/>
      <c r="T868" s="2771"/>
      <c r="U868" s="2771">
        <f t="shared" si="76"/>
        <v>0</v>
      </c>
      <c r="V868" s="2771">
        <v>50</v>
      </c>
      <c r="W868" s="2771">
        <f>IF(COUNTIF(PDs!$AD$56:$AD$74,Tablas!D868)&gt;0,1,0)</f>
        <v>0</v>
      </c>
      <c r="X868" s="2771" t="str">
        <f>IF(OR(NOT(OR($W$844=1,$W$847=1)),Y868&lt;160,MAX(Z868,AA868)&lt;160),"NO","-")</f>
        <v>NO</v>
      </c>
      <c r="Y868" s="2920">
        <f t="array" ref="Y868">HA_final-PDs!$X$22+MIN(PDs!$X$22+H$896-H868,50)+MAX(S$806:S867*$W$806:$W867,S869:S$895*$W869:$W$895)</f>
        <v>0</v>
      </c>
      <c r="Z868" s="2836">
        <f t="array" ref="Z868">HE_final-PDs!$X$24+MIN(PDs!$X$24+I$896-I868,50)+MAX(T$806:T867*$W$806:$W867,T869:T$895*$W869:$W$895)</f>
        <v>-20</v>
      </c>
      <c r="AA868" s="1997">
        <f t="array" ref="AA868">HP_final-PDs!$X$23+MIN(PDs!$X$23+J$896-J868,50)+MAX(T$806:T867*$W$806:$W867,T869:T$895*$W869:$W$895)</f>
        <v>-20</v>
      </c>
    </row>
    <row r="869" spans="1:27" ht="12.75" customHeight="1" x14ac:dyDescent="0.2">
      <c r="A869" s="2029">
        <v>211</v>
      </c>
      <c r="B869" s="4995"/>
      <c r="C869" s="1799"/>
      <c r="D869" s="490" t="s">
        <v>1248</v>
      </c>
      <c r="E869" s="2771">
        <v>0</v>
      </c>
      <c r="F869" s="2771"/>
      <c r="G869" s="2771">
        <v>10</v>
      </c>
      <c r="H869" s="2771"/>
      <c r="I869" s="2771"/>
      <c r="J869" s="2771"/>
      <c r="K869" s="2771"/>
      <c r="L869" s="2624" t="s">
        <v>1249</v>
      </c>
      <c r="M869" s="516"/>
      <c r="N869" s="516"/>
      <c r="O869" s="516"/>
      <c r="P869" s="516"/>
      <c r="Q869" s="2771"/>
      <c r="R869" s="2771"/>
      <c r="S869" s="2771">
        <v>15</v>
      </c>
      <c r="T869" s="2771">
        <v>15</v>
      </c>
      <c r="U869" s="2771">
        <f t="shared" si="76"/>
        <v>0</v>
      </c>
      <c r="V869" s="2771">
        <v>50</v>
      </c>
      <c r="W869" s="2771">
        <f>IF(COUNTIF(PDs!$AD$56:$AD$74,Tablas!D869)&gt;0,1,0)</f>
        <v>0</v>
      </c>
      <c r="X869" s="2771" t="str">
        <f>IF(OR(NOT(OR($W$845=1,$W$848=1)),Y869&lt;280,NOT(Inhumanidad),MAX(Z869,AA869)&lt;280,$W$868=0,NOT(Erudición)),"NO","-")</f>
        <v>NO</v>
      </c>
      <c r="Y869" s="2920">
        <f t="array" ref="Y869">HA_final-PDs!$X$22+MIN(PDs!$X$22+H$896-H869,50)+MAX(S$806:S868*$W$806:$W868,S870:S$895*$W870:$W$895)</f>
        <v>0</v>
      </c>
      <c r="Z869" s="2836">
        <f t="array" ref="Z869">HE_final-PDs!$X$24+MIN(PDs!$X$24+I$896-I869,50)+MAX(T$806:T868*$W$806:$W868,T870:T$895*$W870:$W$895)</f>
        <v>0</v>
      </c>
      <c r="AA869" s="1997">
        <f t="array" ref="AA869">HP_final-PDs!$X$23+MIN(PDs!$X$23+J$896-J869,50)+MAX(T$806:T868*$W$806:$W868,T870:T$895*$W870:$W$895)</f>
        <v>0</v>
      </c>
    </row>
    <row r="870" spans="1:27" ht="12.75" customHeight="1" x14ac:dyDescent="0.2">
      <c r="A870" s="2029">
        <v>211</v>
      </c>
      <c r="B870" s="4995"/>
      <c r="C870" s="1799"/>
      <c r="D870" s="490" t="s">
        <v>1250</v>
      </c>
      <c r="E870" s="2771">
        <f>2*Presencia_final+Bono_Pod-Combate!$R$23</f>
        <v>60</v>
      </c>
      <c r="F870" s="2771"/>
      <c r="G870" s="2771">
        <v>15</v>
      </c>
      <c r="H870" s="2771">
        <v>10</v>
      </c>
      <c r="I870" s="2771"/>
      <c r="J870" s="2771"/>
      <c r="K870" s="2771"/>
      <c r="L870" s="2624" t="s">
        <v>1251</v>
      </c>
      <c r="M870" s="516"/>
      <c r="N870" s="516"/>
      <c r="O870" s="516"/>
      <c r="P870" s="516"/>
      <c r="Q870" s="2771"/>
      <c r="R870" s="2771"/>
      <c r="S870" s="2771"/>
      <c r="T870" s="2771"/>
      <c r="U870" s="2771">
        <f t="shared" ref="U870:U895" si="77">W870*E870</f>
        <v>0</v>
      </c>
      <c r="V870" s="2771">
        <v>50</v>
      </c>
      <c r="W870" s="2771">
        <f>IF(COUNTIF(PDs!$AD$56:$AD$74,Tablas!D870)&gt;0,1,0)</f>
        <v>0</v>
      </c>
      <c r="X870" s="2771" t="str">
        <f>IF(OR(NOT(OR($W$820=1,$W$856=1)),Y870&lt;200,NOT(Extensióndelauraalarma)),"NO","-")</f>
        <v>NO</v>
      </c>
      <c r="Y870" s="2920">
        <f t="array" ref="Y870">HA_final-PDs!$X$22+MIN(PDs!$X$22+H$896-H870,50)+MAX(S$806:S869*$W$806:$W869,S871:S$895*$W871:$W$895)</f>
        <v>-10</v>
      </c>
      <c r="Z870" s="2836">
        <f t="array" ref="Z870">HE_final-PDs!$X$24+MIN(PDs!$X$24+I$896-I870,50)+MAX(T$806:T869*$W$806:$W869,T871:T$895*$W871:$W$895)</f>
        <v>0</v>
      </c>
      <c r="AA870" s="1997">
        <f t="array" ref="AA870">HP_final-PDs!$X$23+MIN(PDs!$X$23+J$896-J870,50)+MAX(T$806:T869*$W$806:$W869,T871:T$895*$W871:$W$895)</f>
        <v>0</v>
      </c>
    </row>
    <row r="871" spans="1:27" ht="12.75" customHeight="1" x14ac:dyDescent="0.2">
      <c r="A871" s="2029">
        <v>211</v>
      </c>
      <c r="B871" s="4995"/>
      <c r="C871" s="1799"/>
      <c r="D871" s="490" t="s">
        <v>1252</v>
      </c>
      <c r="E871" s="2771">
        <f>2*Presencia_final+Bono_Pod-Combate!$R$23</f>
        <v>60</v>
      </c>
      <c r="F871" s="2771"/>
      <c r="G871" s="2771">
        <v>20</v>
      </c>
      <c r="H871" s="2771"/>
      <c r="I871" s="2771"/>
      <c r="J871" s="2771"/>
      <c r="K871" s="2771"/>
      <c r="L871" s="2624" t="s">
        <v>1769</v>
      </c>
      <c r="M871" s="516"/>
      <c r="N871" s="516"/>
      <c r="O871" s="516"/>
      <c r="P871" s="516"/>
      <c r="Q871" s="2771"/>
      <c r="R871" s="2771"/>
      <c r="S871" s="2771">
        <v>25</v>
      </c>
      <c r="T871" s="2771"/>
      <c r="U871" s="2771">
        <f t="shared" si="77"/>
        <v>0</v>
      </c>
      <c r="V871" s="2771">
        <v>50</v>
      </c>
      <c r="W871" s="2771">
        <f>IF(COUNTIF(PDs!$AD$56:$AD$74,Tablas!D871)&gt;0,1,0)</f>
        <v>0</v>
      </c>
      <c r="X871" s="2771" t="str">
        <f>IF(OR(NOT(OR($W$821=1,$W$857=1)),$W$870=0,Y871&lt;300,NOT(Inhumanidad)),"NO","-")</f>
        <v>NO</v>
      </c>
      <c r="Y871" s="2920">
        <f t="array" ref="Y871">HA_final-PDs!$X$22+MIN(PDs!$X$22+H$896-H871,50)+MAX(S$806:S870*$W$806:$W870,S872:S$895*$W872:$W$895)</f>
        <v>0</v>
      </c>
      <c r="Z871" s="2836">
        <f t="array" ref="Z871">HE_final-PDs!$X$24+MIN(PDs!$X$24+I$896-I871,50)+MAX(T$806:T870*$W$806:$W870,T872:T$895*$W872:$W$895)</f>
        <v>0</v>
      </c>
      <c r="AA871" s="1997">
        <f t="array" ref="AA871">HP_final-PDs!$X$23+MIN(PDs!$X$23+J$896-J871,50)+MAX(T$806:T870*$W$806:$W870,T872:T$895*$W872:$W$895)</f>
        <v>0</v>
      </c>
    </row>
    <row r="872" spans="1:27" ht="12.75" customHeight="1" x14ac:dyDescent="0.2">
      <c r="A872" s="2029">
        <v>211</v>
      </c>
      <c r="B872" s="4995"/>
      <c r="C872" s="1799"/>
      <c r="D872" s="490" t="s">
        <v>1253</v>
      </c>
      <c r="E872" s="2771">
        <v>0</v>
      </c>
      <c r="F872" s="2771"/>
      <c r="G872" s="2771">
        <v>10</v>
      </c>
      <c r="H872" s="2771">
        <v>10</v>
      </c>
      <c r="I872" s="2771"/>
      <c r="J872" s="2771"/>
      <c r="K872" s="2771"/>
      <c r="L872" s="2624" t="s">
        <v>1254</v>
      </c>
      <c r="M872" s="516"/>
      <c r="N872" s="516"/>
      <c r="O872" s="516"/>
      <c r="P872" s="516"/>
      <c r="Q872" s="2771"/>
      <c r="R872" s="2771"/>
      <c r="S872" s="2771"/>
      <c r="T872" s="2771"/>
      <c r="U872" s="2771">
        <f t="shared" si="77"/>
        <v>0</v>
      </c>
      <c r="V872" s="2771">
        <v>50</v>
      </c>
      <c r="W872" s="2771">
        <f>IF(COUNTIF(PDs!$AD$56:$AD$74,Tablas!D872)&gt;0,1,0)</f>
        <v>0</v>
      </c>
      <c r="X872" s="2771" t="str">
        <f>IF(OR(NOT(OR($W$811=1,$W$847=1)),Y872&lt;200),"NO","-")</f>
        <v>NO</v>
      </c>
      <c r="Y872" s="2920">
        <f t="array" ref="Y872">HA_final-PDs!$X$22+MIN(PDs!$X$22+H$896-H872,50)+MAX(S$806:S871*$W$806:$W871,S873:S$895*$W873:$W$895)</f>
        <v>-10</v>
      </c>
      <c r="Z872" s="2836">
        <f t="array" ref="Z872">HE_final-PDs!$X$24+MIN(PDs!$X$24+I$896-I872,50)+MAX(T$806:T871*$W$806:$W871,T873:T$895*$W873:$W$895)</f>
        <v>0</v>
      </c>
      <c r="AA872" s="1997">
        <f t="array" ref="AA872">HP_final-PDs!$X$23+MIN(PDs!$X$23+J$896-J872,50)+MAX(T$806:T871*$W$806:$W871,T873:T$895*$W873:$W$895)</f>
        <v>0</v>
      </c>
    </row>
    <row r="873" spans="1:27" ht="12.75" customHeight="1" x14ac:dyDescent="0.2">
      <c r="A873" s="2029">
        <v>211</v>
      </c>
      <c r="B873" s="4995"/>
      <c r="C873" s="1799"/>
      <c r="D873" s="490" t="s">
        <v>1255</v>
      </c>
      <c r="E873" s="2771">
        <v>0</v>
      </c>
      <c r="F873" s="2771"/>
      <c r="G873" s="2771">
        <v>10</v>
      </c>
      <c r="H873" s="2771"/>
      <c r="I873" s="2771"/>
      <c r="J873" s="2771"/>
      <c r="K873" s="2771"/>
      <c r="L873" s="2624" t="s">
        <v>1256</v>
      </c>
      <c r="M873" s="516"/>
      <c r="N873" s="516"/>
      <c r="O873" s="516"/>
      <c r="P873" s="516"/>
      <c r="Q873" s="2771"/>
      <c r="R873" s="2771"/>
      <c r="S873" s="2771">
        <v>15</v>
      </c>
      <c r="T873" s="2771"/>
      <c r="U873" s="2771">
        <f t="shared" si="77"/>
        <v>0</v>
      </c>
      <c r="V873" s="2771">
        <v>50</v>
      </c>
      <c r="W873" s="2771">
        <f>IF(COUNTIF(PDs!$AD$56:$AD$74,Tablas!D873)&gt;0,1,0)</f>
        <v>0</v>
      </c>
      <c r="X873" s="2771" t="str">
        <f>IF(OR(NOT(OR($W$812=1,$W$848=1)),$W$872=0,NOT(Extrusióndepresencia),MAX(Y873)&lt;300,NOT(Inhumanidad)),"NO","-")</f>
        <v>NO</v>
      </c>
      <c r="Y873" s="2920">
        <f t="array" ref="Y873">HA_final-PDs!$X$22+MIN(PDs!$X$22+H$896-H873,50)+MAX(S$806:S872*$W$806:$W872,S874:S$895*$W874:$W$895)</f>
        <v>0</v>
      </c>
      <c r="Z873" s="2836">
        <f t="array" ref="Z873">HE_final-PDs!$X$24+MIN(PDs!$X$24+I$896-I873,50)+MAX(T$806:T872*$W$806:$W872,T874:T$895*$W874:$W$895)</f>
        <v>0</v>
      </c>
      <c r="AA873" s="1997">
        <f t="array" ref="AA873">HP_final-PDs!$X$23+MIN(PDs!$X$23+J$896-J873,50)+MAX(T$806:T872*$W$806:$W872,T874:T$895*$W874:$W$895)</f>
        <v>0</v>
      </c>
    </row>
    <row r="874" spans="1:27" ht="12.75" customHeight="1" x14ac:dyDescent="0.2">
      <c r="A874" s="2029">
        <v>211</v>
      </c>
      <c r="B874" s="4995"/>
      <c r="C874" s="1799"/>
      <c r="D874" s="490" t="s">
        <v>1257</v>
      </c>
      <c r="E874" s="2771">
        <v>0</v>
      </c>
      <c r="F874" s="2771">
        <v>20</v>
      </c>
      <c r="G874" s="2771">
        <v>10</v>
      </c>
      <c r="H874" s="2771">
        <v>10</v>
      </c>
      <c r="I874" s="2771"/>
      <c r="J874" s="2771"/>
      <c r="K874" s="2771">
        <v>20</v>
      </c>
      <c r="L874" s="162" t="s">
        <v>1258</v>
      </c>
      <c r="M874" s="178"/>
      <c r="N874" s="178"/>
      <c r="O874" s="516"/>
      <c r="P874" s="178"/>
      <c r="Q874" s="2771"/>
      <c r="R874" s="2771"/>
      <c r="S874" s="2771"/>
      <c r="T874" s="2771"/>
      <c r="U874" s="2771">
        <f t="shared" si="77"/>
        <v>0</v>
      </c>
      <c r="V874" s="2771">
        <v>50</v>
      </c>
      <c r="W874" s="2771">
        <f>IF(COUNTIF(PDs!$AD$56:$AD$74,Tablas!D874)&gt;0,1,0)</f>
        <v>0</v>
      </c>
      <c r="X874" s="2771" t="str">
        <f>IF(OR(NOT(OR($W$838=1,$W$847=1)),Y874&lt;200,NOT(Usodelaenergíanecesaria)),"NO","-")</f>
        <v>NO</v>
      </c>
      <c r="Y874" s="2920">
        <f t="array" ref="Y874">HA_final-PDs!$X$22+MIN(PDs!$X$22+H$896-H874,50)+MAX(S$806:S873*$W$806:$W873,S875:S$895*$W875:$W$895)</f>
        <v>-10</v>
      </c>
      <c r="Z874" s="2836">
        <f t="array" ref="Z874">HE_final-PDs!$X$24+MIN(PDs!$X$24+I$896-I874,50)+MAX(T$806:T873*$W$806:$W873,T875:T$895*$W875:$W$895)</f>
        <v>0</v>
      </c>
      <c r="AA874" s="1997">
        <f t="array" ref="AA874">HP_final-PDs!$X$23+MIN(PDs!$X$23+J$896-J874,50)+MAX(T$806:T873*$W$806:$W873,T875:T$895*$W875:$W$895)</f>
        <v>0</v>
      </c>
    </row>
    <row r="875" spans="1:27" ht="12.75" customHeight="1" x14ac:dyDescent="0.2">
      <c r="A875" s="2029">
        <v>211</v>
      </c>
      <c r="B875" s="4995"/>
      <c r="C875" s="1799"/>
      <c r="D875" s="490" t="s">
        <v>1259</v>
      </c>
      <c r="E875" s="2771">
        <v>0</v>
      </c>
      <c r="F875" s="2771">
        <v>10</v>
      </c>
      <c r="G875" s="2771">
        <v>10</v>
      </c>
      <c r="H875" s="2771"/>
      <c r="I875" s="2771"/>
      <c r="J875" s="2771"/>
      <c r="K875" s="2771">
        <v>20</v>
      </c>
      <c r="L875" s="2624" t="s">
        <v>1260</v>
      </c>
      <c r="M875" s="516"/>
      <c r="N875" s="516"/>
      <c r="O875" s="516"/>
      <c r="P875" s="516"/>
      <c r="Q875" s="2771"/>
      <c r="R875" s="2771"/>
      <c r="S875" s="2771">
        <v>20</v>
      </c>
      <c r="T875" s="2771"/>
      <c r="U875" s="2771">
        <f t="shared" si="77"/>
        <v>0</v>
      </c>
      <c r="V875" s="2771">
        <v>50</v>
      </c>
      <c r="W875" s="2771">
        <f>IF(COUNTIF(PDs!$AD$56:$AD$74,Tablas!D875)&gt;0,1,0)</f>
        <v>0</v>
      </c>
      <c r="X875" s="2771" t="str">
        <f>IF(OR(NOT(OR($W$839=1,$W$848=1)),$W$874=0,Y875&lt;300,NOT(Inhumanidad)),"NO","-")</f>
        <v>NO</v>
      </c>
      <c r="Y875" s="2920">
        <f t="array" ref="Y875">HA_final-PDs!$X$22+MIN(PDs!$X$22+H$896-H875,50)+MAX(S$806:S874*$W$806:$W874,S876:S$895*$W876:$W$895)</f>
        <v>0</v>
      </c>
      <c r="Z875" s="2836">
        <f t="array" ref="Z875">HE_final-PDs!$X$24+MIN(PDs!$X$24+I$896-I875,50)+MAX(T$806:T874*$W$806:$W874,T876:T$895*$W876:$W$895)</f>
        <v>0</v>
      </c>
      <c r="AA875" s="1997">
        <f t="array" ref="AA875">HP_final-PDs!$X$23+MIN(PDs!$X$23+J$896-J875,50)+MAX(T$806:T874*$W$806:$W874,T876:T$895*$W876:$W$895)</f>
        <v>0</v>
      </c>
    </row>
    <row r="876" spans="1:27" ht="12.75" customHeight="1" x14ac:dyDescent="0.2">
      <c r="A876" s="2029">
        <v>211</v>
      </c>
      <c r="B876" s="4995"/>
      <c r="C876" s="1799"/>
      <c r="D876" s="490" t="s">
        <v>1261</v>
      </c>
      <c r="E876" s="2771">
        <v>0</v>
      </c>
      <c r="F876" s="2771"/>
      <c r="G876" s="2771">
        <v>10</v>
      </c>
      <c r="H876" s="2771"/>
      <c r="I876" s="2771">
        <v>10</v>
      </c>
      <c r="J876" s="2771">
        <v>10</v>
      </c>
      <c r="K876" s="2771"/>
      <c r="L876" s="2624" t="s">
        <v>1262</v>
      </c>
      <c r="M876" s="516"/>
      <c r="N876" s="516"/>
      <c r="O876" s="516"/>
      <c r="P876" s="516"/>
      <c r="Q876" s="2771"/>
      <c r="R876" s="2771"/>
      <c r="S876" s="2771"/>
      <c r="T876" s="2771"/>
      <c r="U876" s="2771">
        <f t="shared" si="77"/>
        <v>0</v>
      </c>
      <c r="V876" s="2771">
        <v>50</v>
      </c>
      <c r="W876" s="2771">
        <f>IF(COUNTIF(PDs!$AD$56:$AD$74,Tablas!D876)&gt;0,1,0)</f>
        <v>0</v>
      </c>
      <c r="X876" s="2771" t="str">
        <f>IF(OR(HD_SinArmas_final-10&lt;200,$W$850=0,Advertir_final&lt;200,NOT(DeteccióndelKi)),"NO","-")</f>
        <v>NO</v>
      </c>
      <c r="Y876" s="2920">
        <f t="array" ref="Y876">HA_final-PDs!$X$22+MIN(PDs!$X$22+H$896-H876,50)+MAX(S$806:S875*$W$806:$W875,S877:S$895*$W877:$W$895)</f>
        <v>0</v>
      </c>
      <c r="Z876" s="2836">
        <f t="array" ref="Z876">HE_final-PDs!$X$24+MIN(PDs!$X$24+I$896-I876,50)+MAX(T$806:T875*$W$806:$W875,T877:T$895*$W877:$W$895)</f>
        <v>-10</v>
      </c>
      <c r="AA876" s="1997">
        <f t="array" ref="AA876">HP_final-PDs!$X$23+MIN(PDs!$X$23+J$896-J876,50)+MAX(T$806:T875*$W$806:$W875,T877:T$895*$W877:$W$895)</f>
        <v>-10</v>
      </c>
    </row>
    <row r="877" spans="1:27" ht="12.75" customHeight="1" x14ac:dyDescent="0.2">
      <c r="A877" s="2029">
        <v>211</v>
      </c>
      <c r="B877" s="4995"/>
      <c r="C877" s="1799"/>
      <c r="D877" s="490" t="s">
        <v>1263</v>
      </c>
      <c r="E877" s="2771">
        <v>0</v>
      </c>
      <c r="F877" s="2771"/>
      <c r="G877" s="2771">
        <v>10</v>
      </c>
      <c r="H877" s="2771"/>
      <c r="I877" s="2771"/>
      <c r="J877" s="2771"/>
      <c r="K877" s="2771"/>
      <c r="L877" s="2624" t="s">
        <v>1264</v>
      </c>
      <c r="M877" s="516"/>
      <c r="N877" s="516"/>
      <c r="O877" s="516"/>
      <c r="P877" s="516"/>
      <c r="Q877" s="2771"/>
      <c r="R877" s="2771"/>
      <c r="S877" s="2771">
        <v>20</v>
      </c>
      <c r="T877" s="2771"/>
      <c r="U877" s="2771">
        <f t="shared" si="77"/>
        <v>0</v>
      </c>
      <c r="V877" s="2771">
        <v>50</v>
      </c>
      <c r="W877" s="2771">
        <f>IF(COUNTIF(PDs!$AD$56:$AD$74,Tablas!D877)&gt;0,1,0)</f>
        <v>0</v>
      </c>
      <c r="X877" s="2771" t="str">
        <f>IF(OR(MAX(Z877,AA877)&lt;300,$W$851=0,$W$876=0,Advertir_final&lt;240,NOT(Inhumanidad),NOT(Erudición)),"NO","-")</f>
        <v>NO</v>
      </c>
      <c r="Y877" s="2920">
        <f t="array" ref="Y877">HA_final-PDs!$X$22+MIN(PDs!$X$22+H$896-H877,50)+MAX(S$806:S876*$W$806:$W876,S878:S$895*$W878:$W$895)</f>
        <v>0</v>
      </c>
      <c r="Z877" s="2836">
        <f t="array" ref="Z877">HE_final-PDs!$X$24+MIN(PDs!$X$24+I$896-I877,50)+MAX(T$806:T876*$W$806:$W876,T878:T$895*$W878:$W$895)</f>
        <v>0</v>
      </c>
      <c r="AA877" s="1997">
        <f t="array" ref="AA877">HP_final-PDs!$X$23+MIN(PDs!$X$23+J$896-J877,50)+MAX(T$806:T876*$W$806:$W876,T878:T$895*$W878:$W$895)</f>
        <v>0</v>
      </c>
    </row>
    <row r="878" spans="1:27" ht="12.75" customHeight="1" x14ac:dyDescent="0.2">
      <c r="A878" s="2029">
        <v>211</v>
      </c>
      <c r="B878" s="4995"/>
      <c r="C878" s="1799"/>
      <c r="D878" s="490" t="s">
        <v>1265</v>
      </c>
      <c r="E878" s="2771">
        <v>0</v>
      </c>
      <c r="F878" s="2771"/>
      <c r="G878" s="2771">
        <v>10</v>
      </c>
      <c r="H878" s="2771"/>
      <c r="I878" s="2771">
        <v>20</v>
      </c>
      <c r="J878" s="2771">
        <v>20</v>
      </c>
      <c r="K878" s="2771"/>
      <c r="L878" s="2624" t="s">
        <v>1266</v>
      </c>
      <c r="M878" s="516"/>
      <c r="N878" s="516"/>
      <c r="O878" s="516"/>
      <c r="P878" s="516"/>
      <c r="Q878" s="2771"/>
      <c r="R878" s="2771"/>
      <c r="S878" s="2771"/>
      <c r="T878" s="2771"/>
      <c r="U878" s="2771">
        <f t="shared" si="77"/>
        <v>0</v>
      </c>
      <c r="V878" s="2771">
        <v>50</v>
      </c>
      <c r="W878" s="2771">
        <f>IF(COUNTIF(PDs!$AD$56:$AD$74,Tablas!D878)&gt;0,1,0)</f>
        <v>0</v>
      </c>
      <c r="X878" s="2771" t="str">
        <f>IF(OR(MAX(Z878,AA878)&lt;220,$W$832=0,Estilo_final&lt;120,NOT(DeteccióndelKi)),"NO","-")</f>
        <v>NO</v>
      </c>
      <c r="Y878" s="2920">
        <f t="array" ref="Y878">HA_final-PDs!$X$22+MIN(PDs!$X$22+H$896-H878,50)+MAX(S$806:S877*$W$806:$W877,S879:S$895*$W879:$W$895)</f>
        <v>0</v>
      </c>
      <c r="Z878" s="2836">
        <f t="array" ref="Z878">HE_final-PDs!$X$24+MIN(PDs!$X$24+I$896-I878,50)+MAX(T$806:T877*$W$806:$W877,T879:T$895*$W879:$W$895)</f>
        <v>-20</v>
      </c>
      <c r="AA878" s="1997">
        <f t="array" ref="AA878">HP_final-PDs!$X$23+MIN(PDs!$X$23+J$896-J878,50)+MAX(T$806:T877*$W$806:$W877,T879:T$895*$W879:$W$895)</f>
        <v>-20</v>
      </c>
    </row>
    <row r="879" spans="1:27" ht="12.75" customHeight="1" x14ac:dyDescent="0.2">
      <c r="A879" s="2029">
        <v>211</v>
      </c>
      <c r="B879" s="4995"/>
      <c r="C879" s="1799"/>
      <c r="D879" s="490" t="s">
        <v>1267</v>
      </c>
      <c r="E879" s="2771">
        <v>0</v>
      </c>
      <c r="F879" s="2771"/>
      <c r="G879" s="2771">
        <v>10</v>
      </c>
      <c r="H879" s="2771"/>
      <c r="I879" s="2771"/>
      <c r="J879" s="2771"/>
      <c r="K879" s="2771"/>
      <c r="L879" s="2624" t="s">
        <v>1268</v>
      </c>
      <c r="M879" s="516"/>
      <c r="N879" s="516"/>
      <c r="O879" s="516"/>
      <c r="P879" s="516"/>
      <c r="Q879" s="2771"/>
      <c r="R879" s="2771"/>
      <c r="S879" s="2771"/>
      <c r="T879" s="2771">
        <v>20</v>
      </c>
      <c r="U879" s="2771">
        <f t="shared" si="77"/>
        <v>0</v>
      </c>
      <c r="V879" s="2771">
        <v>50</v>
      </c>
      <c r="W879" s="2771">
        <f>IF(COUNTIF(PDs!$AD$56:$AD$74,Tablas!D879)&gt;0,1,0)</f>
        <v>0</v>
      </c>
      <c r="X879" s="2771" t="str">
        <f>IF(OR(MAX(Z879,AA879)&lt;300,$W$833=0,$W$878=0,Estilo_final&lt;140,NOT(Erudición)),"NO","-")</f>
        <v>NO</v>
      </c>
      <c r="Y879" s="2920">
        <f t="array" ref="Y879">HA_final-PDs!$X$22+MIN(PDs!$X$22+H$896-H879,50)+MAX(S$806:S878*$W$806:$W878,S880:S$895*$W880:$W$895)</f>
        <v>0</v>
      </c>
      <c r="Z879" s="2836">
        <f t="array" ref="Z879">HE_final-PDs!$X$24+MIN(PDs!$X$24+I$896-I879,50)+MAX(T$806:T878*$W$806:$W878,T880:T$895*$W880:$W$895)</f>
        <v>0</v>
      </c>
      <c r="AA879" s="1997">
        <f t="array" ref="AA879">HP_final-PDs!$X$23+MIN(PDs!$X$23+J$896-J879,50)+MAX(T$806:T878*$W$806:$W878,T880:T$895*$W880:$W$895)</f>
        <v>0</v>
      </c>
    </row>
    <row r="880" spans="1:27" ht="12.75" customHeight="1" x14ac:dyDescent="0.2">
      <c r="A880" s="2029">
        <v>211</v>
      </c>
      <c r="B880" s="4995"/>
      <c r="C880" s="1799"/>
      <c r="D880" s="490" t="s">
        <v>1269</v>
      </c>
      <c r="E880" s="2771">
        <v>0</v>
      </c>
      <c r="F880" s="2771"/>
      <c r="G880" s="2771">
        <v>10</v>
      </c>
      <c r="H880" s="2771">
        <v>10</v>
      </c>
      <c r="I880" s="2771"/>
      <c r="J880" s="2771"/>
      <c r="K880" s="2771"/>
      <c r="L880" s="162" t="s">
        <v>1270</v>
      </c>
      <c r="M880" s="178"/>
      <c r="N880" s="178"/>
      <c r="O880" s="516"/>
      <c r="P880" s="178"/>
      <c r="Q880" s="2771"/>
      <c r="R880" s="2771"/>
      <c r="S880" s="2771"/>
      <c r="T880" s="2771"/>
      <c r="U880" s="2771">
        <f t="shared" si="77"/>
        <v>0</v>
      </c>
      <c r="V880" s="2771">
        <v>50</v>
      </c>
      <c r="W880" s="2771">
        <f>IF(COUNTIF(PDs!$AD$56:$AD$74,Tablas!D880)&gt;0,1,0)</f>
        <v>0</v>
      </c>
      <c r="X880" s="2771" t="str">
        <f>IF(OR(NOT(OR($W$817=1,$W$841=1)),Y880&lt;160,MAX(Z880,AA880)&lt;160,NOT(Inhumanidad)),"NO","-")</f>
        <v>NO</v>
      </c>
      <c r="Y880" s="2920">
        <f t="array" ref="Y880">HA_final-PDs!$X$22+MIN(PDs!$X$22+H$896-H880,50)+MAX(S$806:S879*$W$806:$W879,S881:S$895*$W881:$W$895)</f>
        <v>-10</v>
      </c>
      <c r="Z880" s="2836">
        <f t="array" ref="Z880">HE_final-PDs!$X$24+MIN(PDs!$X$24+I$896-I880,50)+MAX(T$806:T879*$W$806:$W879,T881:T$895*$W881:$W$895)</f>
        <v>0</v>
      </c>
      <c r="AA880" s="1997">
        <f t="array" ref="AA880">HP_final-PDs!$X$23+MIN(PDs!$X$23+J$896-J880,50)+MAX(T$806:T879*$W$806:$W879,T881:T$895*$W881:$W$895)</f>
        <v>0</v>
      </c>
    </row>
    <row r="881" spans="1:27" ht="12.75" customHeight="1" x14ac:dyDescent="0.2">
      <c r="A881" s="2029">
        <v>211</v>
      </c>
      <c r="B881" s="4995"/>
      <c r="C881" s="1799"/>
      <c r="D881" s="490" t="s">
        <v>1271</v>
      </c>
      <c r="E881" s="2771">
        <v>0</v>
      </c>
      <c r="F881" s="2771"/>
      <c r="G881" s="2771">
        <v>10</v>
      </c>
      <c r="H881" s="2771"/>
      <c r="I881" s="2771"/>
      <c r="J881" s="2771"/>
      <c r="K881" s="2771"/>
      <c r="L881" s="2624" t="s">
        <v>1272</v>
      </c>
      <c r="M881" s="516"/>
      <c r="N881" s="516"/>
      <c r="O881" s="516"/>
      <c r="P881" s="516"/>
      <c r="Q881" s="2771"/>
      <c r="R881" s="2771"/>
      <c r="S881" s="2771">
        <v>10</v>
      </c>
      <c r="T881" s="2771">
        <v>10</v>
      </c>
      <c r="U881" s="2771">
        <f t="shared" si="77"/>
        <v>0</v>
      </c>
      <c r="V881" s="2771">
        <v>50</v>
      </c>
      <c r="W881" s="2771">
        <f>IF(COUNTIF(PDs!$AD$56:$AD$74,Tablas!D881)&gt;0,1,0)</f>
        <v>0</v>
      </c>
      <c r="X881" s="2771" t="str">
        <f>IF(OR(NOT(OR($W$818=1,$W$842=1)),HA_SinArmas_final-10&lt;260,HD_SinArmas_final-10&lt;260,$W$880=0),"NO","-")</f>
        <v>NO</v>
      </c>
      <c r="Y881" s="2920">
        <f t="array" ref="Y881">HA_final-PDs!$X$22+MIN(PDs!$X$22+H$896-H881,50)+MAX(S$806:S880*$W$806:$W880,S882:S$895*$W882:$W$895)</f>
        <v>0</v>
      </c>
      <c r="Z881" s="2836">
        <f t="array" ref="Z881">HE_final-PDs!$X$24+MIN(PDs!$X$24+I$896-I881,50)+MAX(T$806:T880*$W$806:$W880,T882:T$895*$W882:$W$895)</f>
        <v>0</v>
      </c>
      <c r="AA881" s="1997">
        <f t="array" ref="AA881">HP_final-PDs!$X$23+MIN(PDs!$X$23+J$896-J881,50)+MAX(T$806:T880*$W$806:$W880,T882:T$895*$W882:$W$895)</f>
        <v>0</v>
      </c>
    </row>
    <row r="882" spans="1:27" ht="12.75" customHeight="1" x14ac:dyDescent="0.2">
      <c r="A882" s="2029">
        <v>211</v>
      </c>
      <c r="B882" s="4995"/>
      <c r="C882" s="1799"/>
      <c r="D882" s="490" t="s">
        <v>1273</v>
      </c>
      <c r="E882" s="2771">
        <v>0</v>
      </c>
      <c r="F882" s="2771"/>
      <c r="G882" s="2771">
        <v>15</v>
      </c>
      <c r="H882" s="2771">
        <v>10</v>
      </c>
      <c r="I882" s="2771"/>
      <c r="J882" s="2771"/>
      <c r="K882" s="2771"/>
      <c r="L882" s="2624" t="s">
        <v>1274</v>
      </c>
      <c r="M882" s="516"/>
      <c r="N882" s="516"/>
      <c r="O882" s="516"/>
      <c r="P882" s="516"/>
      <c r="Q882" s="2771"/>
      <c r="R882" s="2771"/>
      <c r="S882" s="2771"/>
      <c r="T882" s="2771"/>
      <c r="U882" s="2771">
        <f t="shared" si="77"/>
        <v>0</v>
      </c>
      <c r="V882" s="2771">
        <v>50</v>
      </c>
      <c r="W882" s="2771">
        <f>IF(COUNTIF(PDs!$AD$56:$AD$74,Tablas!D882)&gt;0,1,0)</f>
        <v>0</v>
      </c>
      <c r="X882" s="2771" t="str">
        <f>IF(OR(NOT(OR($W$829=1,$W$859=1)),Y882&lt;200,Medicina_final="-"),"NO",IF(OR(Medicina_final&gt;=100,AND(PDs!I149="Anatomía",Medicina_final&gt;=60)),"-","NO"))</f>
        <v>NO</v>
      </c>
      <c r="Y882" s="2920">
        <f t="array" ref="Y882">HA_final-PDs!$X$22+MIN(PDs!$X$22+H$896-H882,50)+MAX(S$806:S881*$W$806:$W881,S883:S$895*$W883:$W$895)</f>
        <v>-10</v>
      </c>
      <c r="Z882" s="2836">
        <f t="array" ref="Z882">HE_final-PDs!$X$24+MIN(PDs!$X$24+I$896-I882,50)+MAX(T$806:T881*$W$806:$W881,T883:T$895*$W883:$W$895)</f>
        <v>0</v>
      </c>
      <c r="AA882" s="1997">
        <f t="array" ref="AA882">HP_final-PDs!$X$23+MIN(PDs!$X$23+J$896-J882,50)+MAX(T$806:T881*$W$806:$W881,T883:T$895*$W883:$W$895)</f>
        <v>0</v>
      </c>
    </row>
    <row r="883" spans="1:27" ht="12.75" customHeight="1" x14ac:dyDescent="0.2">
      <c r="A883" s="2029">
        <v>211</v>
      </c>
      <c r="B883" s="4995"/>
      <c r="C883" s="1799"/>
      <c r="D883" s="490" t="s">
        <v>1275</v>
      </c>
      <c r="E883" s="2771">
        <v>0</v>
      </c>
      <c r="F883" s="2771"/>
      <c r="G883" s="2771">
        <v>15</v>
      </c>
      <c r="H883" s="2771"/>
      <c r="I883" s="2771"/>
      <c r="J883" s="2771"/>
      <c r="K883" s="2771"/>
      <c r="L883" s="2624" t="s">
        <v>1276</v>
      </c>
      <c r="M883" s="516"/>
      <c r="N883" s="516"/>
      <c r="O883" s="516"/>
      <c r="P883" s="516"/>
      <c r="Q883" s="2771"/>
      <c r="R883" s="2771"/>
      <c r="S883" s="2771">
        <v>20</v>
      </c>
      <c r="T883" s="2771"/>
      <c r="U883" s="2771">
        <f t="shared" si="77"/>
        <v>0</v>
      </c>
      <c r="V883" s="2771">
        <v>50</v>
      </c>
      <c r="W883" s="2771">
        <f>IF(COUNTIF(PDs!$AD$56:$AD$74,Tablas!D883)&gt;0,1,0)</f>
        <v>0</v>
      </c>
      <c r="X883" s="2771" t="str">
        <f>IF(OR(NOT(OR(W830=1,W860=1)),Y883&lt;300,Medicina_final="-",$W$882=0,NOT(Inhumanidad)),"NO",IF(OR(Medicina_final&gt;=120,AND(PDs!I149="Anatomía",Medicina_final&gt;=80)),"-","NO"))</f>
        <v>NO</v>
      </c>
      <c r="Y883" s="2920">
        <f t="array" ref="Y883">HA_final-PDs!$X$22+MIN(PDs!$X$22+H$896-H883,50)+MAX(S$806:S882*$W$806:$W882,S884:S$895*$W884:$W$895)</f>
        <v>0</v>
      </c>
      <c r="Z883" s="2836">
        <f t="array" ref="Z883">HE_final-PDs!$X$24+MIN(PDs!$X$24+I$896-I883,50)+MAX(T$806:T882*$W$806:$W882,T884:T$895*$W884:$W$895)</f>
        <v>0</v>
      </c>
      <c r="AA883" s="1997">
        <f t="array" ref="AA883">HP_final-PDs!$X$23+MIN(PDs!$X$23+J$896-J883,50)+MAX(T$806:T882*$W$806:$W882,T884:T$895*$W884:$W$895)</f>
        <v>0</v>
      </c>
    </row>
    <row r="884" spans="1:27" ht="12.75" customHeight="1" x14ac:dyDescent="0.2">
      <c r="A884" s="2029">
        <v>211</v>
      </c>
      <c r="B884" s="4995"/>
      <c r="C884" s="1799"/>
      <c r="D884" s="490" t="s">
        <v>1277</v>
      </c>
      <c r="E884" s="2771">
        <v>0</v>
      </c>
      <c r="F884" s="2771"/>
      <c r="G884" s="2771">
        <v>10</v>
      </c>
      <c r="H884" s="2771"/>
      <c r="I884" s="2771">
        <v>10</v>
      </c>
      <c r="J884" s="2771">
        <v>10</v>
      </c>
      <c r="K884" s="2771"/>
      <c r="L884" s="2624" t="s">
        <v>1278</v>
      </c>
      <c r="M884" s="516"/>
      <c r="N884" s="516"/>
      <c r="O884" s="516"/>
      <c r="P884" s="516"/>
      <c r="Q884" s="2771"/>
      <c r="R884" s="2771"/>
      <c r="S884" s="2771"/>
      <c r="T884" s="2771"/>
      <c r="U884" s="2771">
        <f t="shared" si="77"/>
        <v>0</v>
      </c>
      <c r="V884" s="2771">
        <v>50</v>
      </c>
      <c r="W884" s="2771">
        <f>IF(COUNTIF(PDs!$AD$56:$AD$74,Tablas!D884)&gt;0,1,0)</f>
        <v>0</v>
      </c>
      <c r="X884" s="2771" t="str">
        <f>IF(OR(NOT(OR($W$838=1,$W$835=1)),NOT(Inhumanidad),MAX(Z884,AA884)&lt;200),"NO","-")</f>
        <v>NO</v>
      </c>
      <c r="Y884" s="2920">
        <f t="array" ref="Y884">HA_final-PDs!$X$22+MIN(PDs!$X$22+H$896-H884,50)+MAX(S$806:S883*$W$806:$W883,S885:S$895*$W885:$W$895)</f>
        <v>0</v>
      </c>
      <c r="Z884" s="2836">
        <f t="array" ref="Z884">HE_final-PDs!$X$24+MIN(PDs!$X$24+I$896-I884,50)+MAX(T$806:T883*$W$806:$W883,T885:T$895*$W885:$W$895)</f>
        <v>-10</v>
      </c>
      <c r="AA884" s="1997">
        <f t="array" ref="AA884">HP_final-PDs!$X$23+MIN(PDs!$X$23+J$896-J884,50)+MAX(T$806:T883*$W$806:$W883,T885:T$895*$W885:$W$895)</f>
        <v>-10</v>
      </c>
    </row>
    <row r="885" spans="1:27" ht="12.75" customHeight="1" x14ac:dyDescent="0.2">
      <c r="A885" s="2029">
        <v>211</v>
      </c>
      <c r="B885" s="4995"/>
      <c r="C885" s="1799"/>
      <c r="D885" s="490" t="s">
        <v>1279</v>
      </c>
      <c r="E885" s="2771">
        <v>0</v>
      </c>
      <c r="F885" s="2771"/>
      <c r="G885" s="2771">
        <v>20</v>
      </c>
      <c r="H885" s="2771"/>
      <c r="I885" s="2771"/>
      <c r="J885" s="2771"/>
      <c r="K885" s="2771"/>
      <c r="L885" s="2624" t="s">
        <v>1280</v>
      </c>
      <c r="M885" s="516"/>
      <c r="N885" s="516"/>
      <c r="O885" s="516"/>
      <c r="P885" s="516"/>
      <c r="Q885" s="2771"/>
      <c r="R885" s="2771"/>
      <c r="S885" s="2771"/>
      <c r="T885" s="2771">
        <v>20</v>
      </c>
      <c r="U885" s="2771">
        <f t="shared" si="77"/>
        <v>0</v>
      </c>
      <c r="V885" s="2771">
        <v>50</v>
      </c>
      <c r="W885" s="2771">
        <f>IF(COUNTIF(PDs!$AD$56:$AD$74,Tablas!D885)&gt;0,1,0)</f>
        <v>0</v>
      </c>
      <c r="X885" s="2771" t="str">
        <f>IF(OR(NOT(OR($W$839=1,$W$836=1)),NOT(Zen),MAX(Z885,AA885)&lt;300,$W$884=0),"NO","-")</f>
        <v>NO</v>
      </c>
      <c r="Y885" s="2920">
        <f t="array" ref="Y885">HA_final-PDs!$X$22+MIN(PDs!$X$22+H$896-H885,50)+MAX(S$806:S884*$W$806:$W884,S886:S$895*$W886:$W$895)</f>
        <v>0</v>
      </c>
      <c r="Z885" s="2836">
        <f t="array" ref="Z885">HE_final-PDs!$X$24+MIN(PDs!$X$24+I$896-I885,50)+MAX(T$806:T884*$W$806:$W884,T886:T$895*$W886:$W$895)</f>
        <v>0</v>
      </c>
      <c r="AA885" s="1997">
        <f t="array" ref="AA885">HP_final-PDs!$X$23+MIN(PDs!$X$23+J$896-J885,50)+MAX(T$806:T884*$W$806:$W884,T886:T$895*$W886:$W$895)</f>
        <v>0</v>
      </c>
    </row>
    <row r="886" spans="1:27" ht="12.75" customHeight="1" x14ac:dyDescent="0.2">
      <c r="A886" s="2029">
        <v>211</v>
      </c>
      <c r="B886" s="4995"/>
      <c r="C886" s="1799"/>
      <c r="D886" s="490" t="s">
        <v>1281</v>
      </c>
      <c r="E886" s="2771">
        <v>0</v>
      </c>
      <c r="F886" s="2771"/>
      <c r="G886" s="2771">
        <v>10</v>
      </c>
      <c r="H886" s="2771"/>
      <c r="I886" s="2771">
        <v>20</v>
      </c>
      <c r="J886" s="2771">
        <v>20</v>
      </c>
      <c r="K886" s="2771"/>
      <c r="L886" s="162" t="s">
        <v>1282</v>
      </c>
      <c r="M886" s="178"/>
      <c r="N886" s="178"/>
      <c r="O886" s="516"/>
      <c r="P886" s="178"/>
      <c r="Q886" s="2771"/>
      <c r="R886" s="2771"/>
      <c r="S886" s="2771"/>
      <c r="T886" s="2771"/>
      <c r="U886" s="2771">
        <f t="shared" si="77"/>
        <v>0</v>
      </c>
      <c r="V886" s="2771">
        <v>50</v>
      </c>
      <c r="W886" s="2771">
        <f>IF(COUNTIF(PDs!$AD$56:$AD$74,Tablas!D886)&gt;0,1,0)</f>
        <v>0</v>
      </c>
      <c r="X886" s="2771" t="str">
        <f>IF(OR(MAX(Z886,AA886)&lt;200,$W$808=0),"NO","-")</f>
        <v>NO</v>
      </c>
      <c r="Y886" s="2920">
        <f t="array" ref="Y886">HA_final-PDs!$X$22+MIN(PDs!$X$22+H$896-H886,50)+MAX(S$806:S885*$W$806:$W885,S887:S$895*$W887:$W$895)</f>
        <v>0</v>
      </c>
      <c r="Z886" s="2836">
        <f t="array" ref="Z886">HE_final-PDs!$X$24+MIN(PDs!$X$24+I$896-I886,50)+MAX(T$806:T885*$W$806:$W885,T887:T$895*$W887:$W$895)</f>
        <v>-20</v>
      </c>
      <c r="AA886" s="1997">
        <f t="array" ref="AA886">HP_final-PDs!$X$23+MIN(PDs!$X$23+J$896-J886,50)+MAX(T$806:T885*$W$806:$W885,T887:T$895*$W887:$W$895)</f>
        <v>-20</v>
      </c>
    </row>
    <row r="887" spans="1:27" ht="12.75" customHeight="1" x14ac:dyDescent="0.2">
      <c r="A887" s="2029">
        <v>211</v>
      </c>
      <c r="B887" s="4995"/>
      <c r="C887" s="1799"/>
      <c r="D887" s="490" t="s">
        <v>1283</v>
      </c>
      <c r="E887" s="2771">
        <v>0</v>
      </c>
      <c r="F887" s="2771"/>
      <c r="G887" s="2771">
        <v>10</v>
      </c>
      <c r="H887" s="2771"/>
      <c r="I887" s="2771"/>
      <c r="J887" s="2771"/>
      <c r="K887" s="2771"/>
      <c r="L887" s="2624" t="s">
        <v>1284</v>
      </c>
      <c r="M887" s="516"/>
      <c r="N887" s="516"/>
      <c r="O887" s="516"/>
      <c r="P887" s="516"/>
      <c r="Q887" s="2771"/>
      <c r="R887" s="2771"/>
      <c r="S887" s="2771"/>
      <c r="T887" s="2771">
        <v>20</v>
      </c>
      <c r="U887" s="2771">
        <f t="shared" si="77"/>
        <v>0</v>
      </c>
      <c r="V887" s="2771">
        <v>50</v>
      </c>
      <c r="W887" s="2771">
        <f>IF(COUNTIF(PDs!$AD$56:$AD$74,Tablas!D887)&gt;0,1,0)</f>
        <v>0</v>
      </c>
      <c r="X887" s="2771" t="str">
        <f>IF(OR(MAX(Z887,AA887)&lt;300,$W$809=0,$W$886=0,NOT(Inhumanidad)),"NO","-")</f>
        <v>NO</v>
      </c>
      <c r="Y887" s="2920">
        <f t="array" ref="Y887">HA_final-PDs!$X$22+MIN(PDs!$X$22+H$896-H887,50)+MAX(S$806:S886*$W$806:$W886,S888:S$895*$W888:$W$895)</f>
        <v>0</v>
      </c>
      <c r="Z887" s="2836">
        <f t="array" ref="Z887">HE_final-PDs!$X$24+MIN(PDs!$X$24+I$896-I887,50)+MAX(T$806:T886*$W$806:$W886,T888:T$895*$W888:$W$895)</f>
        <v>0</v>
      </c>
      <c r="AA887" s="1997">
        <f t="array" ref="AA887">HP_final-PDs!$X$23+MIN(PDs!$X$23+J$896-J887,50)+MAX(T$806:T886*$W$806:$W886,T888:T$895*$W888:$W$895)</f>
        <v>0</v>
      </c>
    </row>
    <row r="888" spans="1:27" ht="12.75" customHeight="1" x14ac:dyDescent="0.2">
      <c r="A888" s="2029">
        <v>211</v>
      </c>
      <c r="B888" s="4995"/>
      <c r="C888" s="1799"/>
      <c r="D888" s="490" t="s">
        <v>1285</v>
      </c>
      <c r="E888" s="2771">
        <v>0</v>
      </c>
      <c r="F888" s="2771">
        <v>10</v>
      </c>
      <c r="G888" s="2771">
        <v>10</v>
      </c>
      <c r="H888" s="2771">
        <v>20</v>
      </c>
      <c r="I888" s="2771"/>
      <c r="J888" s="2771"/>
      <c r="K888" s="2771"/>
      <c r="L888" s="162" t="s">
        <v>1286</v>
      </c>
      <c r="M888" s="178"/>
      <c r="N888" s="178"/>
      <c r="O888" s="516"/>
      <c r="P888" s="178"/>
      <c r="Q888" s="2771"/>
      <c r="R888" s="2771"/>
      <c r="S888" s="2771"/>
      <c r="T888" s="2771"/>
      <c r="U888" s="2771">
        <f t="shared" si="77"/>
        <v>0</v>
      </c>
      <c r="V888" s="2771">
        <v>50</v>
      </c>
      <c r="W888" s="2771">
        <f>IF(COUNTIF(PDs!$AD$56:$AD$74,Tablas!D888)&gt;0,1,0)</f>
        <v>0</v>
      </c>
      <c r="X888" s="57" t="str">
        <f>IF(OR(NOT(OR($W$847=1,$W$823=1)),NOT(Extrusióndepresencia),Y888&lt;180),"NO","-")</f>
        <v>NO</v>
      </c>
      <c r="Y888" s="2920">
        <f t="array" ref="Y888">HA_final-PDs!$X$22+MIN(PDs!$X$22+H$896-H888,50)+MAX(S$806:S887*$W$806:$W887,S889:S$895*$W889:$W$895)</f>
        <v>-20</v>
      </c>
      <c r="Z888" s="2836">
        <f t="array" ref="Z888">HE_final-PDs!$X$24+MIN(PDs!$X$24+I$896-I888,50)+MAX(T$806:T887*$W$806:$W887,T889:T$895*$W889:$W$895)</f>
        <v>0</v>
      </c>
      <c r="AA888" s="1997">
        <f t="array" ref="AA888">HP_final-PDs!$X$23+MIN(PDs!$X$23+J$896-J888,50)+MAX(T$806:T887*$W$806:$W887,T889:T$895*$W889:$W$895)</f>
        <v>0</v>
      </c>
    </row>
    <row r="889" spans="1:27" ht="12.75" customHeight="1" x14ac:dyDescent="0.2">
      <c r="A889" s="2029">
        <v>211</v>
      </c>
      <c r="B889" s="4995"/>
      <c r="C889" s="1799"/>
      <c r="D889" s="490" t="s">
        <v>1287</v>
      </c>
      <c r="E889" s="2771">
        <v>0</v>
      </c>
      <c r="F889" s="2771"/>
      <c r="G889" s="2771">
        <v>10</v>
      </c>
      <c r="H889" s="2771"/>
      <c r="I889" s="2771"/>
      <c r="J889" s="2771"/>
      <c r="K889" s="2771"/>
      <c r="L889" s="2624" t="s">
        <v>1288</v>
      </c>
      <c r="M889" s="516"/>
      <c r="N889" s="516"/>
      <c r="O889" s="516"/>
      <c r="P889" s="516"/>
      <c r="Q889" s="2771"/>
      <c r="R889" s="2771"/>
      <c r="S889" s="2771">
        <v>20</v>
      </c>
      <c r="T889" s="2771"/>
      <c r="U889" s="2771">
        <f t="shared" si="77"/>
        <v>0</v>
      </c>
      <c r="V889" s="2771">
        <v>50</v>
      </c>
      <c r="W889" s="2771">
        <f>IF(COUNTIF(PDs!$AD$56:$AD$74,Tablas!D889)&gt;0,1,0)</f>
        <v>0</v>
      </c>
      <c r="X889" s="2771" t="str">
        <f>IF(OR(NOT(OR($W$848=1,$W$824=1)),$W$888=0,Y889&lt;300),"NO","-")</f>
        <v>NO</v>
      </c>
      <c r="Y889" s="2920">
        <f t="array" ref="Y889">HA_final-PDs!$X$22+MIN(PDs!$X$22+H$896-H889,50)+MAX(S$806:S888*$W$806:$W888,S890:S$895*$W890:$W$895)</f>
        <v>0</v>
      </c>
      <c r="Z889" s="2836">
        <f t="array" ref="Z889">HE_final-PDs!$X$24+MIN(PDs!$X$24+I$896-I889,50)+MAX(T$806:T888*$W$806:$W888,T890:T$895*$W890:$W$895)</f>
        <v>0</v>
      </c>
      <c r="AA889" s="1997">
        <f t="array" ref="AA889">HP_final-PDs!$X$23+MIN(PDs!$X$23+J$896-J889,50)+MAX(T$806:T888*$W$806:$W888,T890:T$895*$W890:$W$895)</f>
        <v>0</v>
      </c>
    </row>
    <row r="890" spans="1:27" ht="12.75" customHeight="1" x14ac:dyDescent="0.2">
      <c r="A890" s="2029">
        <v>211</v>
      </c>
      <c r="B890" s="4995"/>
      <c r="C890" s="1799"/>
      <c r="D890" s="490" t="s">
        <v>1289</v>
      </c>
      <c r="E890" s="2771">
        <v>0</v>
      </c>
      <c r="F890" s="2771"/>
      <c r="G890" s="2771">
        <v>10</v>
      </c>
      <c r="H890" s="2771"/>
      <c r="I890" s="2771">
        <v>20</v>
      </c>
      <c r="J890" s="2771">
        <v>20</v>
      </c>
      <c r="K890" s="2771"/>
      <c r="L890" s="162" t="s">
        <v>1290</v>
      </c>
      <c r="M890" s="178"/>
      <c r="N890" s="178"/>
      <c r="O890" s="516"/>
      <c r="P890" s="178"/>
      <c r="Q890" s="2771"/>
      <c r="R890" s="2771"/>
      <c r="S890" s="2771"/>
      <c r="T890" s="2771"/>
      <c r="U890" s="2771">
        <f t="shared" si="77"/>
        <v>0</v>
      </c>
      <c r="V890" s="2771">
        <v>50</v>
      </c>
      <c r="W890" s="2771">
        <f>IF(COUNTIF(PDs!$AD$56:$AD$74,Tablas!D890)&gt;0,1,0)</f>
        <v>0</v>
      </c>
      <c r="X890" s="57" t="str">
        <f>IF(OR(NOT(OR($W$808=1,$W$826=1)),NOT(UsodelKi),MAX(AA890,Z890)&lt;200),"NO","-")</f>
        <v>NO</v>
      </c>
      <c r="Y890" s="2920">
        <f t="array" ref="Y890">HA_final-PDs!$X$22+MIN(PDs!$X$22+H$896-H890,50)+MAX(S$806:S889*$W$806:$W889,S891:S$895*$W891:$W$895)</f>
        <v>0</v>
      </c>
      <c r="Z890" s="2836">
        <f t="array" ref="Z890">HE_final-PDs!$X$24+MIN(PDs!$X$24+I$896-I890,50)+MAX(T$806:T889*$W$806:$W889,T891:T$895*$W891:$W$895)</f>
        <v>-20</v>
      </c>
      <c r="AA890" s="1997">
        <f t="array" ref="AA890">HP_final-PDs!$X$23+MIN(PDs!$X$23+J$896-J890,50)+MAX(T$806:T889*$W$806:$W889,T891:T$895*$W891:$W$895)</f>
        <v>-20</v>
      </c>
    </row>
    <row r="891" spans="1:27" ht="12.75" customHeight="1" x14ac:dyDescent="0.2">
      <c r="A891" s="2029">
        <v>211</v>
      </c>
      <c r="B891" s="4995"/>
      <c r="C891" s="1799"/>
      <c r="D891" s="490" t="s">
        <v>1291</v>
      </c>
      <c r="E891" s="2771">
        <v>0</v>
      </c>
      <c r="F891" s="2771"/>
      <c r="G891" s="2771">
        <v>10</v>
      </c>
      <c r="H891" s="2771"/>
      <c r="I891" s="2771"/>
      <c r="J891" s="2771"/>
      <c r="K891" s="2771"/>
      <c r="L891" s="2624" t="s">
        <v>1292</v>
      </c>
      <c r="M891" s="516"/>
      <c r="N891" s="516"/>
      <c r="O891" s="516"/>
      <c r="P891" s="516"/>
      <c r="Q891" s="2771"/>
      <c r="R891" s="2771"/>
      <c r="S891" s="2771"/>
      <c r="T891" s="2771">
        <v>20</v>
      </c>
      <c r="U891" s="2771">
        <f t="shared" si="77"/>
        <v>0</v>
      </c>
      <c r="V891" s="2771">
        <v>50</v>
      </c>
      <c r="W891" s="2771">
        <f>IF(COUNTIF(PDs!$AD$56:$AD$74,Tablas!D891)&gt;0,1,0)</f>
        <v>0</v>
      </c>
      <c r="X891" s="57" t="str">
        <f>IF(OR(NOT(OR($W$809=1,$W$827=1)),MAX(Z891,AA891)&lt;300,$W$890=0),"NO","-")</f>
        <v>NO</v>
      </c>
      <c r="Y891" s="2920">
        <f t="array" ref="Y891">HA_final-PDs!$X$22+MIN(PDs!$X$22+H$896-H891,50)+MAX(S$806:S890*$W$806:$W890,S892:S$895*$W892:$W$895)</f>
        <v>0</v>
      </c>
      <c r="Z891" s="2836">
        <f t="array" ref="Z891">HE_final-PDs!$X$24+MIN(PDs!$X$24+I$896-I891,50)+MAX(T$806:T890*$W$806:$W890,T892:T$895*$W892:$W$895)</f>
        <v>0</v>
      </c>
      <c r="AA891" s="1997">
        <f t="array" ref="AA891">HP_final-PDs!$X$23+MIN(PDs!$X$23+J$896-J891,50)+MAX(T$806:T890*$W$806:$W890,T892:T$895*$W892:$W$895)</f>
        <v>0</v>
      </c>
    </row>
    <row r="892" spans="1:27" ht="12.75" customHeight="1" x14ac:dyDescent="0.2">
      <c r="A892" s="2029">
        <v>211</v>
      </c>
      <c r="B892" s="4995"/>
      <c r="C892" s="1799"/>
      <c r="D892" s="490" t="s">
        <v>1293</v>
      </c>
      <c r="E892" s="2771">
        <v>0</v>
      </c>
      <c r="F892" s="2771"/>
      <c r="G892" s="2771">
        <v>15</v>
      </c>
      <c r="H892" s="2771">
        <v>10</v>
      </c>
      <c r="I892" s="2771"/>
      <c r="J892" s="2771"/>
      <c r="K892" s="2771"/>
      <c r="L892" s="2624" t="s">
        <v>1294</v>
      </c>
      <c r="M892" s="516"/>
      <c r="N892" s="516"/>
      <c r="O892" s="516"/>
      <c r="P892" s="516"/>
      <c r="Q892" s="2771"/>
      <c r="R892" s="2771"/>
      <c r="S892" s="2771"/>
      <c r="T892" s="2771"/>
      <c r="U892" s="2771">
        <f t="shared" si="77"/>
        <v>0</v>
      </c>
      <c r="V892" s="2771">
        <v>50</v>
      </c>
      <c r="W892" s="2771">
        <f>IF(COUNTIF(PDs!$AD$56:$AD$74,Tablas!D892)&gt;0,1,0)</f>
        <v>0</v>
      </c>
      <c r="X892" s="57" t="str">
        <f>IF(OR(Y892&lt;200,$W$856=0,NOT(Extrusióndepresencia)),"NO","-")</f>
        <v>NO</v>
      </c>
      <c r="Y892" s="2920">
        <f t="array" ref="Y892">HA_final-PDs!$X$22+MIN(PDs!$X$22+H$896-H892,50)+MAX(S$806:S891*$W$806:$W891,S893:S$895*$W893:$W$895)</f>
        <v>-10</v>
      </c>
      <c r="Z892" s="2836">
        <f t="array" ref="Z892">HE_final-PDs!$X$24+MIN(PDs!$X$24+I$896-I892,50)+MAX(T$806:T891*$W$806:$W891,T893:T$895*$W893:$W$895)</f>
        <v>0</v>
      </c>
      <c r="AA892" s="1997">
        <f t="array" ref="AA892">HP_final-PDs!$X$23+MIN(PDs!$X$23+J$896-J892,50)+MAX(T$806:T891*$W$806:$W891,T893:T$895*$W893:$W$895)</f>
        <v>0</v>
      </c>
    </row>
    <row r="893" spans="1:27" ht="12.75" customHeight="1" x14ac:dyDescent="0.2">
      <c r="A893" s="2029">
        <v>211</v>
      </c>
      <c r="B893" s="4995"/>
      <c r="C893" s="1799"/>
      <c r="D893" s="490" t="s">
        <v>1295</v>
      </c>
      <c r="E893" s="2771">
        <v>0</v>
      </c>
      <c r="F893" s="2771">
        <f>Bono_Pod</f>
        <v>0</v>
      </c>
      <c r="G893" s="2771">
        <v>20</v>
      </c>
      <c r="H893" s="2771"/>
      <c r="I893" s="2771"/>
      <c r="J893" s="2771"/>
      <c r="K893" s="2771"/>
      <c r="L893" s="2624" t="s">
        <v>1296</v>
      </c>
      <c r="M893" s="516"/>
      <c r="N893" s="516"/>
      <c r="O893" s="516"/>
      <c r="P893" s="516"/>
      <c r="Q893" s="2771"/>
      <c r="R893" s="2771"/>
      <c r="S893" s="2771">
        <v>15</v>
      </c>
      <c r="T893" s="2771"/>
      <c r="U893" s="2771">
        <f t="shared" si="77"/>
        <v>0</v>
      </c>
      <c r="V893" s="2771">
        <v>50</v>
      </c>
      <c r="W893" s="2771">
        <f>IF(COUNTIF(PDs!$AD$56:$AD$74,Tablas!D893)&gt;0,1,0)</f>
        <v>0</v>
      </c>
      <c r="X893" s="57" t="str">
        <f>IF(OR(Y893&lt;300,$W$857=0,$W$892=0,NOT(Inhumanidad)),"NO","-")</f>
        <v>NO</v>
      </c>
      <c r="Y893" s="2920">
        <f t="array" ref="Y893">HA_final-PDs!$X$22+MIN(PDs!$X$22+H$896-H893,50)+MAX(S$806:S892*$W$806:$W892,S894:S$895*$W894:$W$895)</f>
        <v>0</v>
      </c>
      <c r="Z893" s="2836">
        <f t="array" ref="Z893">HE_final-PDs!$X$24+MIN(PDs!$X$24+I$896-I893,50)+MAX(T$806:T892*$W$806:$W892,T894:T$895*$W894:$W$895)</f>
        <v>0</v>
      </c>
      <c r="AA893" s="1997">
        <f t="array" ref="AA893">HP_final-PDs!$X$23+MIN(PDs!$X$23+J$896-J893,50)+MAX(T$806:T892*$W$806:$W892,T894:T$895*$W894:$W$895)</f>
        <v>0</v>
      </c>
    </row>
    <row r="894" spans="1:27" ht="12.75" customHeight="1" x14ac:dyDescent="0.2">
      <c r="A894" s="2029">
        <v>211</v>
      </c>
      <c r="B894" s="4995"/>
      <c r="C894" s="1799"/>
      <c r="D894" s="490" t="s">
        <v>1297</v>
      </c>
      <c r="E894" s="2771">
        <v>0</v>
      </c>
      <c r="F894" s="2771"/>
      <c r="G894" s="2771">
        <v>20</v>
      </c>
      <c r="H894" s="2771"/>
      <c r="I894" s="2771">
        <v>20</v>
      </c>
      <c r="J894" s="2771">
        <v>20</v>
      </c>
      <c r="K894" s="2771"/>
      <c r="L894" s="2624" t="s">
        <v>1769</v>
      </c>
      <c r="M894" s="516"/>
      <c r="N894" s="516"/>
      <c r="O894" s="516"/>
      <c r="P894" s="516"/>
      <c r="Q894" s="2771" t="s">
        <v>1873</v>
      </c>
      <c r="R894" s="2771"/>
      <c r="S894" s="2771"/>
      <c r="T894" s="2771"/>
      <c r="U894" s="2771">
        <f t="shared" si="77"/>
        <v>0</v>
      </c>
      <c r="V894" s="2771">
        <v>50</v>
      </c>
      <c r="W894" s="2771">
        <f>IF(COUNTIF(PDs!$AD$56:$AD$74,Tablas!D894)&gt;0,1,0)</f>
        <v>0</v>
      </c>
      <c r="X894" s="2771" t="str">
        <f>IF(OR(NOT(OR($W$829=1,$W$856=1)),NOT(Extrusióndepresencia)),"NO","-")</f>
        <v>NO</v>
      </c>
      <c r="Y894" s="2920">
        <f t="array" ref="Y894">HA_final-PDs!$X$22+MIN(PDs!$X$22+H$896-H894,50)+MAX(S$806:S893*$W$806:$W893,S895:S$895*$W895:$W$895)</f>
        <v>0</v>
      </c>
      <c r="Z894" s="2836">
        <f t="array" ref="Z894">HE_final-PDs!$X$24+MIN(PDs!$X$24+I$896-I894,50)+MAX(T$806:T893*$W$806:$W893,T895:T$895*$W895:$W$895)</f>
        <v>-20</v>
      </c>
      <c r="AA894" s="1997">
        <f t="array" ref="AA894">HP_final-PDs!$X$23+MIN(PDs!$X$23+J$896-J894,50)+MAX(T$806:T893*$W$806:$W893,T895:T$895*$W895:$W$895)</f>
        <v>-20</v>
      </c>
    </row>
    <row r="895" spans="1:27" ht="12.75" customHeight="1" thickBot="1" x14ac:dyDescent="0.25">
      <c r="A895" s="2029">
        <v>211</v>
      </c>
      <c r="B895" s="4995"/>
      <c r="C895" s="1800"/>
      <c r="D895" s="2791" t="s">
        <v>1298</v>
      </c>
      <c r="E895" s="2793">
        <v>0</v>
      </c>
      <c r="F895" s="2793"/>
      <c r="G895" s="2793">
        <v>20</v>
      </c>
      <c r="H895" s="2793"/>
      <c r="I895" s="2923"/>
      <c r="J895" s="2793"/>
      <c r="K895" s="2793"/>
      <c r="L895" s="2924" t="s">
        <v>1299</v>
      </c>
      <c r="M895" s="2925"/>
      <c r="N895" s="2925"/>
      <c r="O895" s="2926"/>
      <c r="P895" s="2925"/>
      <c r="Q895" s="2793" t="s">
        <v>1873</v>
      </c>
      <c r="R895" s="2793"/>
      <c r="S895" s="2793"/>
      <c r="T895" s="2793">
        <v>15</v>
      </c>
      <c r="U895" s="2793">
        <f t="shared" si="77"/>
        <v>0</v>
      </c>
      <c r="V895" s="2793">
        <v>50</v>
      </c>
      <c r="W895" s="2793">
        <f>IF(COUNTIF(PDs!$AD$56:$AD$74,Tablas!D895)&gt;0,1,0)</f>
        <v>0</v>
      </c>
      <c r="X895" s="2793" t="str">
        <f>IF(OR(NOT(OR($W$830=1,$W$857=1)),Y895&lt;280,$W$894=0),"NO","-")</f>
        <v>NO</v>
      </c>
      <c r="Y895" s="2927">
        <f t="array" ref="Y895">HA_final-PDs!$X$22+MIN(PDs!$X$22+H$896-H895,50)+MAX(S$806:S894*$W$806:$W894)</f>
        <v>0</v>
      </c>
      <c r="Z895" s="2928">
        <f t="array" ref="Z895">HE_final-PDs!$X$24+MIN(PDs!$X$24+I$896-I895,50)+MAX(T$806:T894*$W$806:$W894)</f>
        <v>0</v>
      </c>
      <c r="AA895" s="2425">
        <f t="array" ref="AA895">HP_final-PDs!$X$23+MIN(PDs!$X$23+J$896-J895,50)+MAX(T$806:T894*$W$806:$W894)</f>
        <v>0</v>
      </c>
    </row>
    <row r="896" spans="1:27" ht="12.75" customHeight="1" thickBot="1" x14ac:dyDescent="0.25">
      <c r="A896" s="2029">
        <v>211</v>
      </c>
      <c r="B896" s="4995"/>
      <c r="F896" s="5049">
        <f>SUMPRODUCT($F$807:$F$895,$W$807:$W$895)</f>
        <v>0</v>
      </c>
      <c r="G896" s="5149" t="s">
        <v>1300</v>
      </c>
      <c r="H896" s="5151">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53">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51">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41">
        <f>Tablas!$K$862*Tablas!$W$862+Tablas!K811*Tablas!$W$811+Tablas!K810*Tablas!$W$810+Tablas!K812*Tablas!$W$812+Tablas!K867*Tablas!$W$867+Tablas!K866*Tablas!$W$866+Tablas!K875*Tablas!$W$875+Tablas!K874*Tablas!$W$874</f>
        <v>0</v>
      </c>
      <c r="N896" s="413"/>
      <c r="O896" s="2112"/>
      <c r="T896" s="5143" t="s">
        <v>1301</v>
      </c>
      <c r="U896" s="5145">
        <f>+MAX(Tablas!S863*Tablas!W863,Tablas!S865*Tablas!W865,Tablas!S867*Tablas!W867,Tablas!S869*Tablas!W869,Tablas!S871*Tablas!W871,Tablas!S873*Tablas!W873,Tablas!S875*Tablas!W875,Tablas!S877*Tablas!W877,Tablas!S881*Tablas!W881,Tablas!S883*Tablas!W883,Tablas!S889*Tablas!W889,Tablas!S893*Tablas!W893)</f>
        <v>0</v>
      </c>
      <c r="V896" s="5147">
        <f>+MAX(Tablas!T863*Tablas!W863,Tablas!T869*Tablas!W869,Tablas!T879*Tablas!W879,Tablas!T881*Tablas!W881,Tablas!T885*Tablas!W885,Tablas!T887*Tablas!W887,Tablas!T891*Tablas!W891,Tablas!T895*Tablas!W895)</f>
        <v>0</v>
      </c>
      <c r="W896" s="2921" t="s">
        <v>1137</v>
      </c>
    </row>
    <row r="897" spans="1:23" ht="12.75" customHeight="1" thickBot="1" x14ac:dyDescent="0.25">
      <c r="A897" s="2029">
        <v>211</v>
      </c>
      <c r="B897" s="4995"/>
      <c r="F897" s="5050"/>
      <c r="G897" s="5150"/>
      <c r="H897" s="5152"/>
      <c r="I897" s="5154"/>
      <c r="J897" s="5152"/>
      <c r="K897" s="5142"/>
      <c r="N897" s="413"/>
      <c r="O897" s="2112"/>
      <c r="T897" s="5144"/>
      <c r="U897" s="5146"/>
      <c r="V897" s="5148"/>
      <c r="W897" s="2555">
        <f>MAX(Tablas!$U$806:$U$895)</f>
        <v>0</v>
      </c>
    </row>
    <row r="898" spans="1:23" ht="12.75" customHeight="1" x14ac:dyDescent="0.2">
      <c r="A898" s="2029">
        <v>211</v>
      </c>
      <c r="B898" s="4995"/>
      <c r="H898" s="413"/>
      <c r="I898" s="1761"/>
      <c r="N898" s="413"/>
      <c r="O898" s="2112"/>
    </row>
    <row r="899" spans="1:23" ht="12.75" customHeight="1" thickBot="1" x14ac:dyDescent="0.25">
      <c r="A899" s="2029">
        <v>211</v>
      </c>
      <c r="B899" s="4995"/>
      <c r="H899" s="413"/>
      <c r="I899" s="1761"/>
      <c r="N899" s="413"/>
      <c r="O899" s="2112"/>
    </row>
    <row r="900" spans="1:23" ht="12.75" customHeight="1" thickBot="1" x14ac:dyDescent="0.25">
      <c r="A900" s="2029">
        <v>211</v>
      </c>
      <c r="B900" s="4995"/>
      <c r="C900" s="5024" t="s">
        <v>9352</v>
      </c>
      <c r="D900" s="5025"/>
      <c r="E900" s="5025"/>
      <c r="F900" s="5025"/>
      <c r="G900" s="5025"/>
      <c r="H900" s="5025"/>
      <c r="I900" s="5025"/>
      <c r="J900" s="5025"/>
      <c r="K900" s="5025"/>
      <c r="L900" s="5025"/>
      <c r="M900" s="5025"/>
      <c r="N900" s="5026"/>
      <c r="P900" s="5051" t="s">
        <v>3116</v>
      </c>
      <c r="Q900" s="5051"/>
      <c r="R900" s="5051"/>
      <c r="S900" s="5051"/>
      <c r="T900" s="5051"/>
      <c r="U900" s="5051"/>
      <c r="V900" s="5051"/>
      <c r="W900" s="5051"/>
    </row>
    <row r="901" spans="1:23" ht="12.75" customHeight="1" x14ac:dyDescent="0.2">
      <c r="A901" s="2029">
        <v>211</v>
      </c>
      <c r="B901" s="4995"/>
      <c r="C901" s="2692"/>
      <c r="D901" s="2596"/>
      <c r="E901" s="2596">
        <v>1</v>
      </c>
      <c r="F901" s="2596">
        <v>2</v>
      </c>
      <c r="G901" s="2596">
        <v>3</v>
      </c>
      <c r="H901" s="2596">
        <v>4</v>
      </c>
      <c r="I901" s="2596">
        <v>5</v>
      </c>
      <c r="J901" s="2596">
        <v>6</v>
      </c>
      <c r="K901" s="2596">
        <v>7</v>
      </c>
      <c r="L901" s="2596">
        <v>8</v>
      </c>
      <c r="M901" s="2596">
        <v>9</v>
      </c>
      <c r="N901" s="2693">
        <v>10</v>
      </c>
      <c r="P901" s="5051"/>
      <c r="Q901" s="5051"/>
      <c r="R901" s="5051"/>
      <c r="S901" s="5051"/>
      <c r="T901" s="5051"/>
      <c r="U901" s="5051"/>
      <c r="V901" s="5051"/>
      <c r="W901" s="5051"/>
    </row>
    <row r="902" spans="1:23" ht="12.75" customHeight="1" thickBot="1" x14ac:dyDescent="0.25">
      <c r="A902" s="2029">
        <v>211</v>
      </c>
      <c r="B902" s="4995"/>
      <c r="C902" s="2692"/>
      <c r="D902" s="2596"/>
      <c r="E902" s="2619" t="s">
        <v>3080</v>
      </c>
      <c r="F902" s="2694" t="s">
        <v>1804</v>
      </c>
      <c r="G902" s="2694" t="s">
        <v>2740</v>
      </c>
      <c r="H902" s="2694" t="s">
        <v>1133</v>
      </c>
      <c r="I902" s="527" t="s">
        <v>1866</v>
      </c>
      <c r="J902" s="527"/>
      <c r="K902" s="2596" t="s">
        <v>9353</v>
      </c>
      <c r="L902" s="2596" t="s">
        <v>9354</v>
      </c>
      <c r="M902" s="2596" t="s">
        <v>9355</v>
      </c>
      <c r="N902" s="2628" t="s">
        <v>9356</v>
      </c>
      <c r="P902" s="418"/>
      <c r="Q902" s="419"/>
      <c r="R902" s="419" t="s">
        <v>1754</v>
      </c>
      <c r="S902" s="419" t="s">
        <v>1804</v>
      </c>
      <c r="T902" s="520" t="s">
        <v>1866</v>
      </c>
      <c r="U902" s="419"/>
      <c r="V902" s="1846"/>
      <c r="W902" s="420"/>
    </row>
    <row r="903" spans="1:23" ht="12.75" customHeight="1" x14ac:dyDescent="0.2">
      <c r="A903" s="2029">
        <v>211</v>
      </c>
      <c r="B903" s="4995"/>
      <c r="C903" s="1799"/>
      <c r="D903" s="68"/>
      <c r="E903" s="490" t="s">
        <v>1138</v>
      </c>
      <c r="F903" s="263">
        <v>0</v>
      </c>
      <c r="G903" s="218"/>
      <c r="H903" s="218" t="s">
        <v>1769</v>
      </c>
      <c r="I903" s="218" t="s">
        <v>1769</v>
      </c>
      <c r="J903" s="68"/>
      <c r="K903" s="305"/>
      <c r="L903" s="68"/>
      <c r="M903" s="68"/>
      <c r="N903" s="1807"/>
      <c r="P903" s="65"/>
      <c r="Q903" s="68"/>
      <c r="R903" s="507" t="s">
        <v>3117</v>
      </c>
      <c r="S903" s="355">
        <v>30</v>
      </c>
      <c r="T903" s="19" t="s">
        <v>3118</v>
      </c>
      <c r="U903" s="68"/>
      <c r="V903" s="305"/>
      <c r="W903" s="69"/>
    </row>
    <row r="904" spans="1:23" ht="12.75" customHeight="1" x14ac:dyDescent="0.2">
      <c r="A904" s="2029">
        <v>211</v>
      </c>
      <c r="B904" s="4995"/>
      <c r="C904" s="2788"/>
      <c r="D904" s="68"/>
      <c r="E904" s="490" t="s">
        <v>1302</v>
      </c>
      <c r="F904" s="218">
        <v>40</v>
      </c>
      <c r="G904" s="218">
        <f>IF(COUNTIF(PDs!$E$75:$E$77,Tablas!E904)&gt;0,1,0)</f>
        <v>0</v>
      </c>
      <c r="H904" s="218" t="str">
        <f>IF(Tablas!W807=0,"NO","-")</f>
        <v>NO</v>
      </c>
      <c r="I904" s="68" t="s">
        <v>9358</v>
      </c>
      <c r="J904" s="68"/>
      <c r="K904" s="2689">
        <f t="shared" ref="K904:K921" si="78">$G904*SUMPRODUCT(H$806:H$895,--ISNUMBER(SEARCH($N904,$D$806:$D$895)),$W$806:$W$895)</f>
        <v>0</v>
      </c>
      <c r="L904" s="2689">
        <f t="shared" ref="L904:L921" si="79">$G904*SUMPRODUCT(I$806:I$895,--ISNUMBER(SEARCH($N904,$D$806:$D$895)),$W$806:$W$895)</f>
        <v>0</v>
      </c>
      <c r="M904" s="2689">
        <f t="shared" ref="M904:M921" si="80">$G904*SUMPRODUCT(J$806:J$895,--ISNUMBER(SEARCH($N904,$D$806:$D$895)),$W$806:$W$895)</f>
        <v>0</v>
      </c>
      <c r="N904" s="2789" t="s">
        <v>9226</v>
      </c>
      <c r="P904" s="65"/>
      <c r="Q904" s="68"/>
      <c r="R904" s="507" t="s">
        <v>3119</v>
      </c>
      <c r="S904" s="355">
        <v>50</v>
      </c>
      <c r="T904" s="19" t="s">
        <v>3120</v>
      </c>
      <c r="U904" s="68"/>
      <c r="V904" s="305"/>
      <c r="W904" s="69"/>
    </row>
    <row r="905" spans="1:23" ht="12.75" customHeight="1" x14ac:dyDescent="0.2">
      <c r="A905" s="2029">
        <v>211</v>
      </c>
      <c r="B905" s="4995"/>
      <c r="C905" s="2788"/>
      <c r="D905" s="68"/>
      <c r="E905" s="490" t="s">
        <v>1303</v>
      </c>
      <c r="F905" s="218">
        <v>10</v>
      </c>
      <c r="G905" s="218">
        <f>IF(COUNTIF(PDs!$E$75:$E$77,Tablas!E905)&gt;0,1,0)</f>
        <v>0</v>
      </c>
      <c r="H905" s="218" t="str">
        <f>IF(Tablas!W810=0,"NO","-")</f>
        <v>NO</v>
      </c>
      <c r="I905" s="68" t="s">
        <v>9359</v>
      </c>
      <c r="J905" s="68"/>
      <c r="K905" s="2689">
        <f t="shared" si="78"/>
        <v>0</v>
      </c>
      <c r="L905" s="2689">
        <f t="shared" si="79"/>
        <v>0</v>
      </c>
      <c r="M905" s="2689">
        <f t="shared" si="80"/>
        <v>0</v>
      </c>
      <c r="N905" s="2789" t="s">
        <v>9227</v>
      </c>
      <c r="P905" s="65"/>
      <c r="Q905" s="68"/>
      <c r="R905" s="507" t="s">
        <v>3121</v>
      </c>
      <c r="S905" s="355">
        <v>50</v>
      </c>
      <c r="T905" s="19" t="s">
        <v>3122</v>
      </c>
      <c r="U905" s="68"/>
      <c r="V905" s="305"/>
      <c r="W905" s="69"/>
    </row>
    <row r="906" spans="1:23" ht="12.75" customHeight="1" x14ac:dyDescent="0.2">
      <c r="A906" s="2029">
        <v>211</v>
      </c>
      <c r="B906" s="4995"/>
      <c r="C906" s="2788"/>
      <c r="D906" s="68"/>
      <c r="E906" s="490" t="s">
        <v>1304</v>
      </c>
      <c r="F906" s="218">
        <v>30</v>
      </c>
      <c r="G906" s="218">
        <f>IF(COUNTIF(PDs!$E$75:$E$77,Tablas!E906)&gt;0,1,0)</f>
        <v>0</v>
      </c>
      <c r="H906" s="218" t="str">
        <f>IF(Tablas!W813=0,"NO","-")</f>
        <v>NO</v>
      </c>
      <c r="I906" s="68" t="s">
        <v>9360</v>
      </c>
      <c r="J906" s="68"/>
      <c r="K906" s="2689">
        <f t="shared" si="78"/>
        <v>0</v>
      </c>
      <c r="L906" s="2689">
        <f t="shared" si="79"/>
        <v>0</v>
      </c>
      <c r="M906" s="2689">
        <f t="shared" si="80"/>
        <v>0</v>
      </c>
      <c r="N906" s="2789" t="s">
        <v>9228</v>
      </c>
      <c r="P906" s="65"/>
      <c r="Q906" s="68"/>
      <c r="R906" s="507" t="s">
        <v>3123</v>
      </c>
      <c r="S906" s="355">
        <v>40</v>
      </c>
      <c r="T906" s="19" t="s">
        <v>3124</v>
      </c>
      <c r="U906" s="68"/>
      <c r="V906" s="305"/>
      <c r="W906" s="69"/>
    </row>
    <row r="907" spans="1:23" ht="12.75" customHeight="1" x14ac:dyDescent="0.2">
      <c r="A907" s="2029">
        <v>211</v>
      </c>
      <c r="B907" s="4995"/>
      <c r="C907" s="2788"/>
      <c r="D907" s="68"/>
      <c r="E907" s="490" t="s">
        <v>1305</v>
      </c>
      <c r="F907" s="218">
        <v>10</v>
      </c>
      <c r="G907" s="218">
        <f>IF(COUNTIF(PDs!$E$75:$E$77,Tablas!E907)&gt;0,1,0)</f>
        <v>0</v>
      </c>
      <c r="H907" s="218" t="str">
        <f>IF(Tablas!W816=0,"NO","-")</f>
        <v>NO</v>
      </c>
      <c r="I907" s="68" t="s">
        <v>9361</v>
      </c>
      <c r="J907" s="68"/>
      <c r="K907" s="2689">
        <f t="shared" si="78"/>
        <v>0</v>
      </c>
      <c r="L907" s="2689">
        <f t="shared" si="79"/>
        <v>0</v>
      </c>
      <c r="M907" s="2689">
        <f t="shared" si="80"/>
        <v>0</v>
      </c>
      <c r="N907" s="2789" t="s">
        <v>9229</v>
      </c>
      <c r="P907" s="65"/>
      <c r="Q907" s="68"/>
      <c r="R907" s="507" t="s">
        <v>3125</v>
      </c>
      <c r="S907" s="355">
        <v>50</v>
      </c>
      <c r="T907" s="19" t="s">
        <v>1092</v>
      </c>
      <c r="U907" s="68"/>
      <c r="V907" s="305"/>
      <c r="W907" s="69"/>
    </row>
    <row r="908" spans="1:23" ht="12.75" customHeight="1" x14ac:dyDescent="0.2">
      <c r="A908" s="2029">
        <v>211</v>
      </c>
      <c r="B908" s="4995"/>
      <c r="C908" s="2788"/>
      <c r="D908" s="68"/>
      <c r="E908" s="490" t="s">
        <v>1306</v>
      </c>
      <c r="F908" s="218">
        <v>40</v>
      </c>
      <c r="G908" s="218">
        <f>IF(COUNTIF(PDs!$E$75:$E$77,Tablas!E908)&gt;0,1,0)</f>
        <v>0</v>
      </c>
      <c r="H908" s="218" t="str">
        <f>IF(Tablas!W819=0,"NO","-")</f>
        <v>NO</v>
      </c>
      <c r="I908" s="68" t="s">
        <v>9362</v>
      </c>
      <c r="J908" s="68"/>
      <c r="K908" s="2689">
        <f t="shared" si="78"/>
        <v>0</v>
      </c>
      <c r="L908" s="2689">
        <f t="shared" si="79"/>
        <v>0</v>
      </c>
      <c r="M908" s="2689">
        <f t="shared" si="80"/>
        <v>0</v>
      </c>
      <c r="N908" s="2789" t="s">
        <v>9230</v>
      </c>
      <c r="P908" s="65"/>
      <c r="Q908" s="68"/>
      <c r="R908" s="507" t="s">
        <v>1093</v>
      </c>
      <c r="S908" s="355">
        <v>30</v>
      </c>
      <c r="T908" s="19" t="s">
        <v>1094</v>
      </c>
      <c r="U908" s="68"/>
      <c r="V908" s="305"/>
      <c r="W908" s="69"/>
    </row>
    <row r="909" spans="1:23" ht="12.75" customHeight="1" x14ac:dyDescent="0.2">
      <c r="A909" s="2029">
        <v>211</v>
      </c>
      <c r="B909" s="4995"/>
      <c r="C909" s="2788"/>
      <c r="D909" s="68"/>
      <c r="E909" s="490" t="s">
        <v>1307</v>
      </c>
      <c r="F909" s="218">
        <v>10</v>
      </c>
      <c r="G909" s="218">
        <f>IF(COUNTIF(PDs!$E$75:$E$77,Tablas!E909)&gt;0,1,0)</f>
        <v>0</v>
      </c>
      <c r="H909" s="218" t="str">
        <f>IF(Tablas!W822=0,"NO","-")</f>
        <v>NO</v>
      </c>
      <c r="I909" s="68" t="s">
        <v>9363</v>
      </c>
      <c r="J909" s="68"/>
      <c r="K909" s="2689">
        <f t="shared" si="78"/>
        <v>0</v>
      </c>
      <c r="L909" s="2689">
        <f t="shared" si="79"/>
        <v>0</v>
      </c>
      <c r="M909" s="2689">
        <f t="shared" si="80"/>
        <v>0</v>
      </c>
      <c r="N909" s="2789" t="s">
        <v>9231</v>
      </c>
      <c r="P909" s="65"/>
      <c r="Q909" s="68"/>
      <c r="R909" s="507" t="s">
        <v>1095</v>
      </c>
      <c r="S909" s="355">
        <v>40</v>
      </c>
      <c r="T909" s="19" t="s">
        <v>1096</v>
      </c>
      <c r="U909" s="68"/>
      <c r="V909" s="305"/>
      <c r="W909" s="69"/>
    </row>
    <row r="910" spans="1:23" ht="12.75" customHeight="1" x14ac:dyDescent="0.2">
      <c r="A910" s="2029">
        <v>211</v>
      </c>
      <c r="B910" s="4995"/>
      <c r="C910" s="2788"/>
      <c r="D910" s="68"/>
      <c r="E910" s="490" t="s">
        <v>1308</v>
      </c>
      <c r="F910" s="218">
        <v>30</v>
      </c>
      <c r="G910" s="218">
        <f>IF(COUNTIF(PDs!$E$75:$E$77,Tablas!E910)&gt;0,1,0)</f>
        <v>0</v>
      </c>
      <c r="H910" s="218" t="str">
        <f>IF(Tablas!W825=0,"NO","-")</f>
        <v>NO</v>
      </c>
      <c r="I910" s="68" t="s">
        <v>9364</v>
      </c>
      <c r="J910" s="68"/>
      <c r="K910" s="2689">
        <f t="shared" si="78"/>
        <v>0</v>
      </c>
      <c r="L910" s="2689">
        <f t="shared" si="79"/>
        <v>0</v>
      </c>
      <c r="M910" s="2689">
        <f t="shared" si="80"/>
        <v>0</v>
      </c>
      <c r="N910" s="2789" t="s">
        <v>9232</v>
      </c>
      <c r="P910" s="65"/>
      <c r="Q910" s="68"/>
      <c r="R910" s="507" t="s">
        <v>1097</v>
      </c>
      <c r="S910" s="355">
        <v>40</v>
      </c>
      <c r="T910" s="19" t="s">
        <v>1098</v>
      </c>
      <c r="U910" s="68"/>
      <c r="V910" s="305"/>
      <c r="W910" s="69"/>
    </row>
    <row r="911" spans="1:23" ht="12.75" customHeight="1" x14ac:dyDescent="0.2">
      <c r="A911" s="2029">
        <v>211</v>
      </c>
      <c r="B911" s="4995"/>
      <c r="C911" s="2788"/>
      <c r="D911" s="68"/>
      <c r="E911" s="490" t="s">
        <v>1309</v>
      </c>
      <c r="F911" s="218">
        <v>60</v>
      </c>
      <c r="G911" s="218">
        <f>IF(COUNTIF(PDs!$E$75:$E$77,Tablas!E911)&gt;0,1,0)</f>
        <v>0</v>
      </c>
      <c r="H911" s="218" t="str">
        <f>IF(Tablas!W828=0,"NO","-")</f>
        <v>NO</v>
      </c>
      <c r="I911" s="68" t="s">
        <v>9365</v>
      </c>
      <c r="J911" s="68"/>
      <c r="K911" s="2689">
        <f t="shared" si="78"/>
        <v>0</v>
      </c>
      <c r="L911" s="2689">
        <f t="shared" si="79"/>
        <v>0</v>
      </c>
      <c r="M911" s="2689">
        <f t="shared" si="80"/>
        <v>0</v>
      </c>
      <c r="N911" s="2789" t="s">
        <v>9233</v>
      </c>
      <c r="P911" s="65"/>
      <c r="Q911" s="68"/>
      <c r="R911" s="507" t="s">
        <v>1099</v>
      </c>
      <c r="S911" s="355">
        <v>40</v>
      </c>
      <c r="T911" s="19" t="s">
        <v>1100</v>
      </c>
      <c r="U911" s="68"/>
      <c r="V911" s="305"/>
      <c r="W911" s="69"/>
    </row>
    <row r="912" spans="1:23" ht="12.75" customHeight="1" x14ac:dyDescent="0.2">
      <c r="A912" s="2029">
        <v>211</v>
      </c>
      <c r="B912" s="4995"/>
      <c r="C912" s="2788"/>
      <c r="D912" s="68"/>
      <c r="E912" s="490" t="s">
        <v>1310</v>
      </c>
      <c r="F912" s="218">
        <v>10</v>
      </c>
      <c r="G912" s="218">
        <f>IF(COUNTIF(PDs!$E$75:$E$77,Tablas!E912)&gt;0,1,0)</f>
        <v>0</v>
      </c>
      <c r="H912" s="218" t="str">
        <f>IF(Tablas!W831=0,"NO","-")</f>
        <v>NO</v>
      </c>
      <c r="I912" s="68" t="s">
        <v>9366</v>
      </c>
      <c r="J912" s="68"/>
      <c r="K912" s="2689">
        <f t="shared" si="78"/>
        <v>0</v>
      </c>
      <c r="L912" s="2689">
        <f t="shared" si="79"/>
        <v>0</v>
      </c>
      <c r="M912" s="2689">
        <f t="shared" si="80"/>
        <v>0</v>
      </c>
      <c r="N912" s="2789" t="s">
        <v>9234</v>
      </c>
      <c r="P912" s="65"/>
      <c r="Q912" s="68"/>
      <c r="R912" s="507" t="s">
        <v>1101</v>
      </c>
      <c r="S912" s="355">
        <v>50</v>
      </c>
      <c r="T912" s="19" t="s">
        <v>1102</v>
      </c>
      <c r="U912" s="68"/>
      <c r="V912" s="305"/>
      <c r="W912" s="69"/>
    </row>
    <row r="913" spans="1:23" ht="12.75" customHeight="1" x14ac:dyDescent="0.2">
      <c r="A913" s="2029">
        <v>211</v>
      </c>
      <c r="B913" s="4995"/>
      <c r="C913" s="2788"/>
      <c r="D913" s="68"/>
      <c r="E913" s="490" t="s">
        <v>1311</v>
      </c>
      <c r="F913" s="218">
        <v>20</v>
      </c>
      <c r="G913" s="218">
        <f>IF(COUNTIF(PDs!$E$75:$E$77,Tablas!E913)&gt;0,1,0)</f>
        <v>0</v>
      </c>
      <c r="H913" s="218" t="str">
        <f>IF(Tablas!W834=0,"NO","-")</f>
        <v>NO</v>
      </c>
      <c r="I913" s="68" t="s">
        <v>9367</v>
      </c>
      <c r="J913" s="68"/>
      <c r="K913" s="2689">
        <f t="shared" si="78"/>
        <v>0</v>
      </c>
      <c r="L913" s="2689">
        <f t="shared" si="79"/>
        <v>0</v>
      </c>
      <c r="M913" s="2689">
        <f t="shared" si="80"/>
        <v>0</v>
      </c>
      <c r="N913" s="2789" t="s">
        <v>9235</v>
      </c>
      <c r="P913" s="65"/>
      <c r="Q913" s="68"/>
      <c r="R913" s="507" t="s">
        <v>1103</v>
      </c>
      <c r="S913" s="355">
        <v>40</v>
      </c>
      <c r="T913" s="19" t="s">
        <v>1104</v>
      </c>
      <c r="U913" s="68"/>
      <c r="V913" s="305"/>
      <c r="W913" s="69"/>
    </row>
    <row r="914" spans="1:23" ht="12.75" customHeight="1" x14ac:dyDescent="0.2">
      <c r="A914" s="2029">
        <v>211</v>
      </c>
      <c r="B914" s="4995"/>
      <c r="C914" s="2788"/>
      <c r="D914" s="68"/>
      <c r="E914" s="490" t="s">
        <v>1312</v>
      </c>
      <c r="F914" s="218">
        <v>20</v>
      </c>
      <c r="G914" s="218">
        <f>IF(COUNTIF(PDs!$E$75:$E$77,Tablas!E914)&gt;0,1,0)</f>
        <v>0</v>
      </c>
      <c r="H914" s="218" t="str">
        <f>IF(Tablas!W837=0,"NO","-")</f>
        <v>NO</v>
      </c>
      <c r="I914" s="68" t="s">
        <v>9368</v>
      </c>
      <c r="J914" s="68"/>
      <c r="K914" s="2689">
        <f t="shared" si="78"/>
        <v>0</v>
      </c>
      <c r="L914" s="2689">
        <f t="shared" si="79"/>
        <v>0</v>
      </c>
      <c r="M914" s="2689">
        <f t="shared" si="80"/>
        <v>0</v>
      </c>
      <c r="N914" s="2789" t="s">
        <v>9236</v>
      </c>
      <c r="P914" s="65"/>
      <c r="Q914" s="68"/>
      <c r="R914" s="507" t="s">
        <v>1105</v>
      </c>
      <c r="S914" s="355">
        <v>40</v>
      </c>
      <c r="T914" s="19" t="s">
        <v>1106</v>
      </c>
      <c r="U914" s="68"/>
      <c r="V914" s="305"/>
      <c r="W914" s="69"/>
    </row>
    <row r="915" spans="1:23" ht="12.75" customHeight="1" x14ac:dyDescent="0.2">
      <c r="A915" s="2029">
        <v>211</v>
      </c>
      <c r="B915" s="4995"/>
      <c r="C915" s="2788"/>
      <c r="D915" s="68"/>
      <c r="E915" s="490" t="s">
        <v>1313</v>
      </c>
      <c r="F915" s="218">
        <v>20</v>
      </c>
      <c r="G915" s="218">
        <f>IF(COUNTIF(PDs!$E$75:$E$77,Tablas!E915)&gt;0,1,0)</f>
        <v>0</v>
      </c>
      <c r="H915" s="218" t="str">
        <f>IF(Tablas!W840=0,"NO","-")</f>
        <v>NO</v>
      </c>
      <c r="I915" s="68" t="s">
        <v>9369</v>
      </c>
      <c r="J915" s="68"/>
      <c r="K915" s="2689">
        <f t="shared" si="78"/>
        <v>0</v>
      </c>
      <c r="L915" s="2689">
        <f t="shared" si="79"/>
        <v>0</v>
      </c>
      <c r="M915" s="2689">
        <f t="shared" si="80"/>
        <v>0</v>
      </c>
      <c r="N915" s="2789" t="s">
        <v>9237</v>
      </c>
      <c r="P915" s="65"/>
      <c r="Q915" s="68"/>
      <c r="R915" s="507" t="s">
        <v>1107</v>
      </c>
      <c r="S915" s="355">
        <v>40</v>
      </c>
      <c r="T915" s="19" t="s">
        <v>1108</v>
      </c>
      <c r="U915" s="68"/>
      <c r="V915" s="305"/>
      <c r="W915" s="69"/>
    </row>
    <row r="916" spans="1:23" ht="12.75" customHeight="1" x14ac:dyDescent="0.2">
      <c r="A916" s="2029">
        <v>211</v>
      </c>
      <c r="B916" s="4995"/>
      <c r="C916" s="2788"/>
      <c r="D916" s="68"/>
      <c r="E916" s="490" t="s">
        <v>1314</v>
      </c>
      <c r="F916" s="218">
        <v>30</v>
      </c>
      <c r="G916" s="218">
        <f>IF(COUNTIF(PDs!$E$75:$E$77,Tablas!E916)&gt;0,1,0)</f>
        <v>0</v>
      </c>
      <c r="H916" s="218" t="str">
        <f>IF(Tablas!W843=0,"NO","-")</f>
        <v>NO</v>
      </c>
      <c r="I916" s="68" t="s">
        <v>9370</v>
      </c>
      <c r="J916" s="68"/>
      <c r="K916" s="2689">
        <f t="shared" si="78"/>
        <v>0</v>
      </c>
      <c r="L916" s="2689">
        <f t="shared" si="79"/>
        <v>0</v>
      </c>
      <c r="M916" s="2689">
        <f t="shared" si="80"/>
        <v>0</v>
      </c>
      <c r="N916" s="2789" t="s">
        <v>9238</v>
      </c>
      <c r="P916" s="65"/>
      <c r="Q916" s="68"/>
      <c r="R916" s="507" t="s">
        <v>1109</v>
      </c>
      <c r="S916" s="355">
        <v>20</v>
      </c>
      <c r="T916" s="19" t="s">
        <v>1110</v>
      </c>
      <c r="U916" s="68"/>
      <c r="V916" s="305"/>
      <c r="W916" s="69"/>
    </row>
    <row r="917" spans="1:23" ht="12.75" customHeight="1" x14ac:dyDescent="0.2">
      <c r="A917" s="2029">
        <v>211</v>
      </c>
      <c r="B917" s="4995"/>
      <c r="C917" s="2788"/>
      <c r="D917" s="68"/>
      <c r="E917" s="490" t="s">
        <v>1315</v>
      </c>
      <c r="F917" s="218">
        <v>20</v>
      </c>
      <c r="G917" s="218">
        <f>IF(COUNTIF(PDs!$E$75:$E$77,Tablas!E917)&gt;0,1,0)</f>
        <v>0</v>
      </c>
      <c r="H917" s="218" t="str">
        <f>IF(Tablas!W846=0,"NO","-")</f>
        <v>NO</v>
      </c>
      <c r="I917" s="68" t="s">
        <v>9371</v>
      </c>
      <c r="J917" s="68"/>
      <c r="K917" s="2689">
        <f t="shared" si="78"/>
        <v>0</v>
      </c>
      <c r="L917" s="2689">
        <f t="shared" si="79"/>
        <v>0</v>
      </c>
      <c r="M917" s="2689">
        <f t="shared" si="80"/>
        <v>0</v>
      </c>
      <c r="N917" s="2789" t="s">
        <v>9239</v>
      </c>
      <c r="P917" s="65"/>
      <c r="Q917" s="68"/>
      <c r="R917" s="507" t="s">
        <v>1111</v>
      </c>
      <c r="S917" s="355">
        <v>30</v>
      </c>
      <c r="T917" s="19" t="s">
        <v>1112</v>
      </c>
      <c r="U917" s="68"/>
      <c r="V917" s="305"/>
      <c r="W917" s="69"/>
    </row>
    <row r="918" spans="1:23" ht="12.75" customHeight="1" x14ac:dyDescent="0.2">
      <c r="A918" s="2029">
        <v>211</v>
      </c>
      <c r="B918" s="4995"/>
      <c r="C918" s="2788"/>
      <c r="D918" s="68"/>
      <c r="E918" s="490" t="s">
        <v>1316</v>
      </c>
      <c r="F918" s="218">
        <v>10</v>
      </c>
      <c r="G918" s="218">
        <f>IF(COUNTIF(PDs!$E$75:$E$77,Tablas!E918)&gt;0,1,0)</f>
        <v>0</v>
      </c>
      <c r="H918" s="218" t="str">
        <f>IF(Tablas!W849=0,"NO","-")</f>
        <v>NO</v>
      </c>
      <c r="I918" s="68" t="s">
        <v>9372</v>
      </c>
      <c r="J918" s="68"/>
      <c r="K918" s="2689">
        <f t="shared" si="78"/>
        <v>0</v>
      </c>
      <c r="L918" s="2689">
        <f t="shared" si="79"/>
        <v>0</v>
      </c>
      <c r="M918" s="2689">
        <f t="shared" si="80"/>
        <v>0</v>
      </c>
      <c r="N918" s="2789" t="s">
        <v>9240</v>
      </c>
      <c r="P918" s="65"/>
      <c r="Q918" s="68"/>
      <c r="R918" s="507" t="s">
        <v>1113</v>
      </c>
      <c r="S918" s="355">
        <v>20</v>
      </c>
      <c r="T918" s="19" t="s">
        <v>1114</v>
      </c>
      <c r="U918" s="68"/>
      <c r="V918" s="305"/>
      <c r="W918" s="69"/>
    </row>
    <row r="919" spans="1:23" ht="12.75" customHeight="1" x14ac:dyDescent="0.2">
      <c r="A919" s="2029">
        <v>211</v>
      </c>
      <c r="B919" s="4995"/>
      <c r="C919" s="2788"/>
      <c r="D919" s="68"/>
      <c r="E919" s="490" t="s">
        <v>1317</v>
      </c>
      <c r="F919" s="218">
        <v>40</v>
      </c>
      <c r="G919" s="218">
        <f>IF(COUNTIF(PDs!$E$75:$E$77,Tablas!E919)&gt;0,1,0)</f>
        <v>0</v>
      </c>
      <c r="H919" s="218" t="str">
        <f>IF(Tablas!W852=0,"NO","-")</f>
        <v>NO</v>
      </c>
      <c r="I919" s="68" t="s">
        <v>9373</v>
      </c>
      <c r="J919" s="68"/>
      <c r="K919" s="2689">
        <f t="shared" si="78"/>
        <v>0</v>
      </c>
      <c r="L919" s="2689">
        <f t="shared" si="79"/>
        <v>0</v>
      </c>
      <c r="M919" s="2689">
        <f t="shared" si="80"/>
        <v>0</v>
      </c>
      <c r="N919" s="2789" t="s">
        <v>9241</v>
      </c>
      <c r="P919" s="65"/>
      <c r="Q919" s="68"/>
      <c r="R919" s="507" t="s">
        <v>1115</v>
      </c>
      <c r="S919" s="355">
        <v>20</v>
      </c>
      <c r="T919" s="19" t="s">
        <v>1116</v>
      </c>
      <c r="U919" s="68"/>
      <c r="V919" s="305"/>
      <c r="W919" s="69"/>
    </row>
    <row r="920" spans="1:23" ht="12.75" customHeight="1" x14ac:dyDescent="0.2">
      <c r="A920" s="2029">
        <v>211</v>
      </c>
      <c r="B920" s="4995"/>
      <c r="C920" s="2788"/>
      <c r="D920" s="68"/>
      <c r="E920" s="490" t="s">
        <v>1318</v>
      </c>
      <c r="F920" s="218">
        <v>30</v>
      </c>
      <c r="G920" s="218">
        <f>IF(COUNTIF(PDs!$E$75:$E$77,Tablas!E920)&gt;0,1,0)</f>
        <v>0</v>
      </c>
      <c r="H920" s="218" t="str">
        <f>IF(Tablas!W855=0,"NO","-")</f>
        <v>NO</v>
      </c>
      <c r="I920" s="68" t="s">
        <v>9374</v>
      </c>
      <c r="J920" s="68"/>
      <c r="K920" s="2689">
        <f t="shared" si="78"/>
        <v>0</v>
      </c>
      <c r="L920" s="2689">
        <f t="shared" si="79"/>
        <v>0</v>
      </c>
      <c r="M920" s="2689">
        <f t="shared" si="80"/>
        <v>0</v>
      </c>
      <c r="N920" s="2789" t="s">
        <v>9242</v>
      </c>
      <c r="P920" s="65"/>
      <c r="Q920" s="68"/>
      <c r="R920" s="507" t="s">
        <v>1117</v>
      </c>
      <c r="S920" s="355">
        <v>40</v>
      </c>
      <c r="T920" s="19" t="s">
        <v>1118</v>
      </c>
      <c r="U920" s="68"/>
      <c r="V920" s="305"/>
      <c r="W920" s="69"/>
    </row>
    <row r="921" spans="1:23" ht="12.75" customHeight="1" x14ac:dyDescent="0.2">
      <c r="A921" s="2029">
        <v>211</v>
      </c>
      <c r="B921" s="4995"/>
      <c r="C921" s="2788"/>
      <c r="D921" s="68"/>
      <c r="E921" s="490" t="s">
        <v>1319</v>
      </c>
      <c r="F921" s="218">
        <v>40</v>
      </c>
      <c r="G921" s="218">
        <f>IF(COUNTIF(PDs!$E$75:$E$77,Tablas!E921)&gt;0,1,0)</f>
        <v>0</v>
      </c>
      <c r="H921" s="218" t="str">
        <f>IF(Tablas!W858=0,"NO","-")</f>
        <v>NO</v>
      </c>
      <c r="I921" s="68" t="s">
        <v>9375</v>
      </c>
      <c r="J921" s="68"/>
      <c r="K921" s="2689">
        <f t="shared" si="78"/>
        <v>0</v>
      </c>
      <c r="L921" s="2689">
        <f t="shared" si="79"/>
        <v>0</v>
      </c>
      <c r="M921" s="2689">
        <f t="shared" si="80"/>
        <v>0</v>
      </c>
      <c r="N921" s="2789" t="s">
        <v>9243</v>
      </c>
      <c r="P921" s="65"/>
      <c r="Q921" s="68"/>
      <c r="R921" s="507" t="s">
        <v>1119</v>
      </c>
      <c r="S921" s="355">
        <v>30</v>
      </c>
      <c r="T921" s="19" t="s">
        <v>1120</v>
      </c>
      <c r="U921" s="68"/>
      <c r="V921" s="305"/>
      <c r="W921" s="69"/>
    </row>
    <row r="922" spans="1:23" ht="12.75" customHeight="1" x14ac:dyDescent="0.2">
      <c r="A922" s="2029">
        <v>211</v>
      </c>
      <c r="B922" s="4995"/>
      <c r="C922" s="2788"/>
      <c r="D922" s="68"/>
      <c r="E922" s="490" t="s">
        <v>1235</v>
      </c>
      <c r="F922" s="263">
        <v>0</v>
      </c>
      <c r="G922" s="218"/>
      <c r="H922" s="218" t="s">
        <v>1769</v>
      </c>
      <c r="I922" s="218" t="s">
        <v>8977</v>
      </c>
      <c r="J922" s="68"/>
      <c r="K922" s="2689"/>
      <c r="L922" s="2689"/>
      <c r="M922" s="2689"/>
      <c r="N922" s="2789"/>
      <c r="P922" s="65"/>
      <c r="Q922" s="68"/>
      <c r="R922" s="507" t="s">
        <v>1121</v>
      </c>
      <c r="S922" s="355">
        <v>30</v>
      </c>
      <c r="T922" s="19" t="s">
        <v>1122</v>
      </c>
      <c r="U922" s="68"/>
      <c r="V922" s="305"/>
      <c r="W922" s="69"/>
    </row>
    <row r="923" spans="1:23" ht="12.75" customHeight="1" x14ac:dyDescent="0.2">
      <c r="A923" s="2029">
        <v>211</v>
      </c>
      <c r="B923" s="4995"/>
      <c r="C923" s="2788"/>
      <c r="D923" s="68"/>
      <c r="E923" s="490" t="s">
        <v>1320</v>
      </c>
      <c r="F923" s="218">
        <v>40</v>
      </c>
      <c r="G923" s="218">
        <f>IF(COUNTIF(PDs!$E$75:$E$77,Tablas!E923)&gt;0,1,0)</f>
        <v>0</v>
      </c>
      <c r="H923" s="218" t="str">
        <f>IF(Tablas!W866=0,"NO","-")</f>
        <v>NO</v>
      </c>
      <c r="I923" s="68" t="s">
        <v>9376</v>
      </c>
      <c r="J923" s="68"/>
      <c r="K923" s="2689">
        <f t="shared" ref="K923:K933" si="81">$G923*SUMPRODUCT(H$806:H$895,--ISNUMBER(SEARCH($N923,$D$806:$D$895)),$W$806:$W$895)</f>
        <v>0</v>
      </c>
      <c r="L923" s="2689">
        <f t="shared" ref="L923:L933" si="82">$G923*SUMPRODUCT(I$806:I$895,--ISNUMBER(SEARCH($N923,$D$806:$D$895)),$W$806:$W$895)</f>
        <v>0</v>
      </c>
      <c r="M923" s="2689">
        <f t="shared" ref="M923:M933" si="83">$G923*SUMPRODUCT(J$806:J$895,--ISNUMBER(SEARCH($N923,$D$806:$D$895)),$W$806:$W$895)</f>
        <v>0</v>
      </c>
      <c r="N923" s="2789" t="s">
        <v>9246</v>
      </c>
      <c r="P923" s="65"/>
      <c r="Q923" s="68"/>
      <c r="R923" s="507" t="s">
        <v>1123</v>
      </c>
      <c r="S923" s="355">
        <v>30</v>
      </c>
      <c r="T923" s="19" t="s">
        <v>1124</v>
      </c>
      <c r="U923" s="68"/>
      <c r="V923" s="305"/>
      <c r="W923" s="69"/>
    </row>
    <row r="924" spans="1:23" ht="12.75" customHeight="1" thickBot="1" x14ac:dyDescent="0.25">
      <c r="A924" s="2029">
        <v>211</v>
      </c>
      <c r="B924" s="4995"/>
      <c r="C924" s="2788"/>
      <c r="D924" s="68"/>
      <c r="E924" s="490" t="s">
        <v>1321</v>
      </c>
      <c r="F924" s="218">
        <v>10</v>
      </c>
      <c r="G924" s="218">
        <f>IF(COUNTIF(PDs!$E$75:$E$77,Tablas!E924)&gt;0,1,0)</f>
        <v>0</v>
      </c>
      <c r="H924" s="218" t="str">
        <f>IF(Tablas!W868=0,"NO","-")</f>
        <v>NO</v>
      </c>
      <c r="I924" s="68" t="s">
        <v>9377</v>
      </c>
      <c r="J924" s="68"/>
      <c r="K924" s="2689">
        <f t="shared" si="81"/>
        <v>0</v>
      </c>
      <c r="L924" s="2689">
        <f t="shared" si="82"/>
        <v>0</v>
      </c>
      <c r="M924" s="2689">
        <f t="shared" si="83"/>
        <v>0</v>
      </c>
      <c r="N924" s="2789" t="s">
        <v>9247</v>
      </c>
      <c r="P924" s="198"/>
      <c r="Q924" s="199"/>
      <c r="R924" s="510" t="s">
        <v>1125</v>
      </c>
      <c r="S924" s="439">
        <v>10</v>
      </c>
      <c r="T924" s="41" t="s">
        <v>1126</v>
      </c>
      <c r="U924" s="199"/>
      <c r="V924" s="1863"/>
      <c r="W924" s="200"/>
    </row>
    <row r="925" spans="1:23" ht="12.75" customHeight="1" x14ac:dyDescent="0.2">
      <c r="A925" s="2029">
        <v>211</v>
      </c>
      <c r="B925" s="4995"/>
      <c r="C925" s="2788"/>
      <c r="D925" s="68"/>
      <c r="E925" s="490" t="s">
        <v>1322</v>
      </c>
      <c r="F925" s="218">
        <v>20</v>
      </c>
      <c r="G925" s="218">
        <f>IF(COUNTIF(PDs!$E$75:$E$77,Tablas!E925)&gt;0,1,0)</f>
        <v>0</v>
      </c>
      <c r="H925" s="218" t="str">
        <f>IF(Tablas!W874=0,"NO","-")</f>
        <v>NO</v>
      </c>
      <c r="I925" s="68" t="s">
        <v>9378</v>
      </c>
      <c r="J925" s="68"/>
      <c r="K925" s="2689">
        <f t="shared" si="81"/>
        <v>0</v>
      </c>
      <c r="L925" s="2689">
        <f t="shared" si="82"/>
        <v>0</v>
      </c>
      <c r="M925" s="2689">
        <f t="shared" si="83"/>
        <v>0</v>
      </c>
      <c r="N925" s="2789" t="s">
        <v>9250</v>
      </c>
    </row>
    <row r="926" spans="1:23" ht="12.75" customHeight="1" x14ac:dyDescent="0.2">
      <c r="A926" s="2029">
        <v>211</v>
      </c>
      <c r="B926" s="4995"/>
      <c r="C926" s="2788"/>
      <c r="D926" s="68"/>
      <c r="E926" s="490" t="s">
        <v>1323</v>
      </c>
      <c r="F926" s="218">
        <v>20</v>
      </c>
      <c r="G926" s="218">
        <f>IF(COUNTIF(PDs!$E$75:$E$77,Tablas!E926)&gt;0,1,0)</f>
        <v>0</v>
      </c>
      <c r="H926" s="218" t="str">
        <f>IF(Tablas!W876=0,"NO","-")</f>
        <v>NO</v>
      </c>
      <c r="I926" s="68" t="s">
        <v>9379</v>
      </c>
      <c r="J926" s="68"/>
      <c r="K926" s="2689">
        <f t="shared" si="81"/>
        <v>0</v>
      </c>
      <c r="L926" s="2689">
        <f t="shared" si="82"/>
        <v>0</v>
      </c>
      <c r="M926" s="2689">
        <f t="shared" si="83"/>
        <v>0</v>
      </c>
      <c r="N926" s="2789" t="s">
        <v>9251</v>
      </c>
    </row>
    <row r="927" spans="1:23" ht="12.75" customHeight="1" x14ac:dyDescent="0.2">
      <c r="A927" s="2029">
        <v>211</v>
      </c>
      <c r="B927" s="4995"/>
      <c r="C927" s="2788"/>
      <c r="D927" s="68"/>
      <c r="E927" s="490" t="s">
        <v>1324</v>
      </c>
      <c r="F927" s="218">
        <v>20</v>
      </c>
      <c r="G927" s="218">
        <f>IF(COUNTIF(PDs!$E$75:$E$77,Tablas!E927)&gt;0,1,0)</f>
        <v>0</v>
      </c>
      <c r="H927" s="218" t="str">
        <f>IF(Tablas!W880=0,"NO","-")</f>
        <v>NO</v>
      </c>
      <c r="I927" s="68" t="s">
        <v>9380</v>
      </c>
      <c r="J927" s="68"/>
      <c r="K927" s="2689">
        <f t="shared" si="81"/>
        <v>0</v>
      </c>
      <c r="L927" s="2689">
        <f t="shared" si="82"/>
        <v>0</v>
      </c>
      <c r="M927" s="2689">
        <f t="shared" si="83"/>
        <v>0</v>
      </c>
      <c r="N927" s="2789" t="s">
        <v>9253</v>
      </c>
    </row>
    <row r="928" spans="1:23" ht="12.75" customHeight="1" x14ac:dyDescent="0.2">
      <c r="A928" s="2029">
        <v>211</v>
      </c>
      <c r="B928" s="4995"/>
      <c r="C928" s="2788"/>
      <c r="D928" s="68"/>
      <c r="E928" s="490" t="s">
        <v>1325</v>
      </c>
      <c r="F928" s="218">
        <v>10</v>
      </c>
      <c r="G928" s="218">
        <f>IF(COUNTIF(PDs!$E$75:$E$77,Tablas!E928)&gt;0,1,0)</f>
        <v>0</v>
      </c>
      <c r="H928" s="218" t="str">
        <f>IF(Tablas!W882=0,"NO","-")</f>
        <v>NO</v>
      </c>
      <c r="I928" s="68" t="s">
        <v>9381</v>
      </c>
      <c r="J928" s="68"/>
      <c r="K928" s="2689">
        <f t="shared" si="81"/>
        <v>0</v>
      </c>
      <c r="L928" s="2689">
        <f t="shared" si="82"/>
        <v>0</v>
      </c>
      <c r="M928" s="2689">
        <f t="shared" si="83"/>
        <v>0</v>
      </c>
      <c r="N928" s="2789" t="s">
        <v>9254</v>
      </c>
    </row>
    <row r="929" spans="1:18" ht="12.75" customHeight="1" x14ac:dyDescent="0.2">
      <c r="A929" s="2029">
        <v>211</v>
      </c>
      <c r="B929" s="4995"/>
      <c r="C929" s="2788"/>
      <c r="D929" s="68"/>
      <c r="E929" s="490" t="s">
        <v>1326</v>
      </c>
      <c r="F929" s="218">
        <v>40</v>
      </c>
      <c r="G929" s="218">
        <f>IF(COUNTIF(PDs!$E$75:$E$77,Tablas!E929)&gt;0,1,0)</f>
        <v>0</v>
      </c>
      <c r="H929" s="218" t="str">
        <f>IF(Tablas!W884=0,"NO","-")</f>
        <v>NO</v>
      </c>
      <c r="I929" s="68" t="s">
        <v>9382</v>
      </c>
      <c r="J929" s="68"/>
      <c r="K929" s="2689">
        <f t="shared" si="81"/>
        <v>0</v>
      </c>
      <c r="L929" s="2689">
        <f t="shared" si="82"/>
        <v>0</v>
      </c>
      <c r="M929" s="2689">
        <f t="shared" si="83"/>
        <v>0</v>
      </c>
      <c r="N929" s="2789" t="s">
        <v>9255</v>
      </c>
    </row>
    <row r="930" spans="1:18" ht="12.75" customHeight="1" x14ac:dyDescent="0.2">
      <c r="A930" s="2029">
        <v>211</v>
      </c>
      <c r="B930" s="4995"/>
      <c r="C930" s="2788"/>
      <c r="D930" s="68"/>
      <c r="E930" s="490" t="s">
        <v>1327</v>
      </c>
      <c r="F930" s="218">
        <v>40</v>
      </c>
      <c r="G930" s="218">
        <f>IF(COUNTIF(PDs!$E$75:$E$77,Tablas!E930)&gt;0,1,0)</f>
        <v>0</v>
      </c>
      <c r="H930" s="218" t="str">
        <f>IF(Tablas!W886=0,"NO","-")</f>
        <v>NO</v>
      </c>
      <c r="I930" s="68" t="s">
        <v>9383</v>
      </c>
      <c r="J930" s="68"/>
      <c r="K930" s="2689">
        <f t="shared" si="81"/>
        <v>0</v>
      </c>
      <c r="L930" s="2689">
        <f t="shared" si="82"/>
        <v>0</v>
      </c>
      <c r="M930" s="2689">
        <f t="shared" si="83"/>
        <v>0</v>
      </c>
      <c r="N930" s="2789" t="s">
        <v>9256</v>
      </c>
    </row>
    <row r="931" spans="1:18" ht="12.75" customHeight="1" x14ac:dyDescent="0.2">
      <c r="A931" s="2029">
        <v>211</v>
      </c>
      <c r="B931" s="4995"/>
      <c r="C931" s="2788"/>
      <c r="D931" s="68"/>
      <c r="E931" s="490" t="s">
        <v>1328</v>
      </c>
      <c r="F931" s="218">
        <v>30</v>
      </c>
      <c r="G931" s="218">
        <f>IF(COUNTIF(PDs!$E$75:$E$77,Tablas!E931)&gt;0,1,0)</f>
        <v>0</v>
      </c>
      <c r="H931" s="218" t="str">
        <f>IF(Tablas!W888=0,"NO","-")</f>
        <v>NO</v>
      </c>
      <c r="I931" s="68" t="s">
        <v>9384</v>
      </c>
      <c r="J931" s="68"/>
      <c r="K931" s="2689">
        <f t="shared" si="81"/>
        <v>0</v>
      </c>
      <c r="L931" s="2689">
        <f t="shared" si="82"/>
        <v>0</v>
      </c>
      <c r="M931" s="2689">
        <f t="shared" si="83"/>
        <v>0</v>
      </c>
      <c r="N931" s="2789" t="s">
        <v>9257</v>
      </c>
    </row>
    <row r="932" spans="1:18" ht="12.75" customHeight="1" x14ac:dyDescent="0.2">
      <c r="A932" s="2029">
        <v>211</v>
      </c>
      <c r="B932" s="4995"/>
      <c r="C932" s="2788"/>
      <c r="D932" s="68"/>
      <c r="E932" s="490" t="s">
        <v>1329</v>
      </c>
      <c r="F932" s="218">
        <v>20</v>
      </c>
      <c r="G932" s="218">
        <f>IF(COUNTIF(PDs!$E$75:$E$77,Tablas!E932)&gt;0,1,0)</f>
        <v>0</v>
      </c>
      <c r="H932" s="218" t="str">
        <f>IF(Tablas!W890=0,"NO","-")</f>
        <v>NO</v>
      </c>
      <c r="I932" s="68" t="s">
        <v>9385</v>
      </c>
      <c r="J932" s="68"/>
      <c r="K932" s="2689">
        <f t="shared" si="81"/>
        <v>0</v>
      </c>
      <c r="L932" s="2689">
        <f t="shared" si="82"/>
        <v>0</v>
      </c>
      <c r="M932" s="2689">
        <f t="shared" si="83"/>
        <v>0</v>
      </c>
      <c r="N932" s="2789" t="s">
        <v>9258</v>
      </c>
    </row>
    <row r="933" spans="1:18" ht="12.75" customHeight="1" thickBot="1" x14ac:dyDescent="0.25">
      <c r="A933" s="2029">
        <v>211</v>
      </c>
      <c r="B933" s="4995"/>
      <c r="C933" s="2790"/>
      <c r="D933" s="1801"/>
      <c r="E933" s="2791" t="s">
        <v>1330</v>
      </c>
      <c r="F933" s="2792">
        <v>20</v>
      </c>
      <c r="G933" s="2792">
        <f>IF(COUNTIF(PDs!$E$75:$E$77,Tablas!E933)&gt;0,1,0)</f>
        <v>0</v>
      </c>
      <c r="H933" s="2792" t="str">
        <f>IF(Tablas!W892=0,"NO","-")</f>
        <v>NO</v>
      </c>
      <c r="I933" s="1801" t="s">
        <v>9386</v>
      </c>
      <c r="J933" s="1801"/>
      <c r="K933" s="2793">
        <f t="shared" si="81"/>
        <v>0</v>
      </c>
      <c r="L933" s="2793">
        <f t="shared" si="82"/>
        <v>0</v>
      </c>
      <c r="M933" s="2793">
        <f t="shared" si="83"/>
        <v>0</v>
      </c>
      <c r="N933" s="2794" t="s">
        <v>9259</v>
      </c>
    </row>
    <row r="934" spans="1:18" ht="12.75" customHeight="1" x14ac:dyDescent="0.2">
      <c r="A934" s="2029">
        <v>211</v>
      </c>
      <c r="B934" s="4995"/>
      <c r="H934" s="413"/>
      <c r="N934" s="413"/>
    </row>
    <row r="935" spans="1:18" ht="12.75" customHeight="1" x14ac:dyDescent="0.2">
      <c r="A935" s="2029">
        <v>211</v>
      </c>
      <c r="B935" s="4995"/>
      <c r="H935" s="413"/>
      <c r="N935" s="413"/>
    </row>
    <row r="936" spans="1:18" ht="12.75" customHeight="1" x14ac:dyDescent="0.2">
      <c r="A936" s="2029">
        <v>211</v>
      </c>
      <c r="B936" s="4995"/>
      <c r="H936" s="413"/>
      <c r="N936" s="413"/>
    </row>
    <row r="937" spans="1:18" ht="12.75" customHeight="1" thickBot="1" x14ac:dyDescent="0.25">
      <c r="A937" s="2029">
        <v>211</v>
      </c>
      <c r="B937" s="4995"/>
      <c r="H937" s="413"/>
      <c r="N937" s="413"/>
    </row>
    <row r="938" spans="1:18" ht="12.75" customHeight="1" thickBot="1" x14ac:dyDescent="0.25">
      <c r="A938" s="2029">
        <v>211</v>
      </c>
      <c r="B938" s="4995"/>
      <c r="C938" s="5140" t="s">
        <v>1331</v>
      </c>
      <c r="D938" s="5140"/>
      <c r="E938" s="5140"/>
      <c r="F938" s="5140"/>
      <c r="G938" s="5140"/>
      <c r="H938" s="5140"/>
      <c r="I938" s="5140"/>
      <c r="J938" s="5140"/>
      <c r="K938" s="5140"/>
      <c r="L938" s="5140"/>
      <c r="M938" s="5140"/>
      <c r="N938" s="5140"/>
      <c r="O938" s="5140"/>
      <c r="P938" s="5140"/>
      <c r="Q938" s="5140"/>
      <c r="R938" s="5140"/>
    </row>
    <row r="939" spans="1:18" ht="12.75" customHeight="1" x14ac:dyDescent="0.2">
      <c r="A939" s="2029">
        <v>211</v>
      </c>
      <c r="B939" s="4995"/>
      <c r="C939" s="5140"/>
      <c r="D939" s="5140"/>
      <c r="E939" s="5140"/>
      <c r="F939" s="5140"/>
      <c r="G939" s="5140"/>
      <c r="H939" s="5140"/>
      <c r="I939" s="5140"/>
      <c r="J939" s="5140"/>
      <c r="K939" s="5140"/>
      <c r="L939" s="5140"/>
      <c r="M939" s="5140"/>
      <c r="N939" s="5140"/>
      <c r="O939" s="5140"/>
      <c r="P939" s="5140"/>
      <c r="Q939" s="5140"/>
      <c r="R939" s="5140"/>
    </row>
    <row r="940" spans="1:18" ht="12.75" customHeight="1" thickBot="1" x14ac:dyDescent="0.25">
      <c r="A940" s="2029">
        <v>211</v>
      </c>
      <c r="B940" s="4995"/>
      <c r="C940" s="526"/>
      <c r="D940" s="527"/>
      <c r="E940" s="480" t="s">
        <v>1754</v>
      </c>
      <c r="F940" s="415" t="s">
        <v>1332</v>
      </c>
      <c r="G940" s="415" t="s">
        <v>1815</v>
      </c>
      <c r="H940" s="419" t="s">
        <v>2740</v>
      </c>
      <c r="I940" s="1864" t="s">
        <v>1133</v>
      </c>
      <c r="J940" s="527" t="s">
        <v>1866</v>
      </c>
      <c r="K940" s="527"/>
      <c r="L940" s="527"/>
      <c r="M940" s="527"/>
      <c r="N940" s="527"/>
      <c r="O940" s="1864"/>
      <c r="P940" s="527"/>
      <c r="Q940" s="527"/>
      <c r="R940" s="528"/>
    </row>
    <row r="941" spans="1:18" ht="12.75" customHeight="1" x14ac:dyDescent="0.2">
      <c r="A941" s="2029">
        <v>211</v>
      </c>
      <c r="B941" s="4995"/>
      <c r="C941" s="1766" t="str">
        <f t="shared" ref="C941:C947" si="84">VLOOKUP(A1,$D$941:$E$947,2,0)</f>
        <v>&gt; ARS MAGNUS MENORES</v>
      </c>
      <c r="D941" s="2475">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4995"/>
      <c r="C942" s="1766" t="str">
        <f t="shared" si="84"/>
        <v>Ataque Final</v>
      </c>
      <c r="D942" s="2475">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4995"/>
      <c r="C943" s="1766" t="str">
        <f t="shared" si="84"/>
        <v>Berserker</v>
      </c>
      <c r="D943" s="2475">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4995"/>
      <c r="C944" s="1766" t="str">
        <f t="shared" si="84"/>
        <v>Guardián</v>
      </c>
      <c r="D944" s="2475">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4995"/>
      <c r="C945" s="1766" t="str">
        <f t="shared" si="84"/>
        <v>Kiai</v>
      </c>
      <c r="D945" s="2475">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4995"/>
      <c r="C946" s="1766" t="str">
        <f t="shared" si="84"/>
        <v>Maniobra Especial</v>
      </c>
      <c r="D946" s="2475">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4995"/>
      <c r="C947" s="1766" t="str">
        <f t="shared" si="84"/>
        <v>Yuuse Batojutsu</v>
      </c>
      <c r="D947" s="2475">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4995"/>
      <c r="C948" s="1766" t="str">
        <f t="shared" ref="C948:C968" si="86">VLOOKUP(A1,$D$948:$E$968,2,0)</f>
        <v>&gt; ARS MAGNUS MAYORES</v>
      </c>
      <c r="D948" s="2475">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4995"/>
      <c r="C949" s="1766" t="str">
        <f t="shared" si="86"/>
        <v>Agnitum: Ojo Absoluto</v>
      </c>
      <c r="D949" s="2475">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4995"/>
      <c r="C950" s="1766" t="str">
        <f t="shared" si="86"/>
        <v>Ashuriam: Asalto Dimensional</v>
      </c>
      <c r="D950" s="2475">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4995"/>
      <c r="C951" s="1766" t="str">
        <f t="shared" si="86"/>
        <v>Caos Meister: Control del Caos</v>
      </c>
      <c r="D951" s="2475">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4995"/>
      <c r="C952" s="1766" t="str">
        <f t="shared" si="86"/>
        <v>Etherial: Ataques Infinitos</v>
      </c>
      <c r="D952" s="2475">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4995"/>
      <c r="C953" s="1766" t="str">
        <f t="shared" si="86"/>
        <v>Haima: Sombra de Sangre</v>
      </c>
      <c r="D953" s="2475">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4995"/>
      <c r="C954" s="1766" t="str">
        <f t="shared" si="86"/>
        <v>Infinium: Fluctuación del Espacio</v>
      </c>
      <c r="D954" s="2475">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4995"/>
      <c r="C955" s="1766" t="str">
        <f t="shared" si="86"/>
        <v>Magnum: Liberación de Poder</v>
      </c>
      <c r="D955" s="2475">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4995"/>
      <c r="C956" s="1766" t="str">
        <f t="shared" si="86"/>
        <v>Matrix: División Existencial</v>
      </c>
      <c r="D956" s="2475">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4995"/>
      <c r="C957" s="1766" t="str">
        <f t="shared" si="86"/>
        <v>Mundus: Control del Entorno</v>
      </c>
      <c r="D957" s="2475">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4995"/>
      <c r="C958" s="1766" t="str">
        <f t="shared" si="86"/>
        <v>Raikou: Hoja Relámpago</v>
      </c>
      <c r="D958" s="2475">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4995"/>
      <c r="C959" s="1766" t="str">
        <f t="shared" si="86"/>
        <v>Rem: Los Ojos del Destino</v>
      </c>
      <c r="D959" s="2475">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4995"/>
      <c r="C960" s="1766" t="str">
        <f t="shared" si="86"/>
        <v>Samiel: Retribución Final</v>
      </c>
      <c r="D960" s="2475">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4995"/>
      <c r="C961" s="1766" t="str">
        <f t="shared" si="86"/>
        <v>Shinkyou: La Posición Espejo</v>
      </c>
      <c r="D961" s="2475">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4995"/>
      <c r="C962" s="1766" t="str">
        <f t="shared" si="86"/>
        <v>Summun: Acumulación de Energía</v>
      </c>
      <c r="D962" s="2475">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4995"/>
      <c r="C963" s="1766" t="str">
        <f t="shared" si="86"/>
        <v>Transformación: El Despertar</v>
      </c>
      <c r="D963" s="2475">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4995"/>
      <c r="C964" s="1766" t="str">
        <f t="shared" si="86"/>
        <v>Transformación: Eliodón</v>
      </c>
      <c r="D964" s="2475">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4995"/>
      <c r="C965" s="1766" t="str">
        <f t="shared" si="86"/>
        <v>Transformación: Los Sellos del Dragón</v>
      </c>
      <c r="D965" s="2475">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4995"/>
      <c r="C966" s="1766" t="str">
        <f t="shared" si="86"/>
        <v>Transformación: Poder Físico</v>
      </c>
      <c r="D966" s="2475">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4995"/>
      <c r="C967" s="1766" t="str">
        <f t="shared" si="86"/>
        <v>Transformación: Ruptura del Destino</v>
      </c>
      <c r="D967" s="2475">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4995"/>
      <c r="C968" s="1766" t="str">
        <f t="shared" si="86"/>
        <v>Umbra: Ataque de Sombras</v>
      </c>
      <c r="D968" s="2475">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4995"/>
      <c r="C969" s="1766" t="str">
        <f t="shared" ref="C969:C984" si="88">VLOOKUP(A1,$D$969:$E$984,2,0)</f>
        <v>&gt; ARMAS IMPOSIBLES</v>
      </c>
      <c r="D969" s="2475">
        <f t="shared" ref="D969:D984" si="89">COUNTIF($E$969:$E$984,"&lt;="&amp;E969)</f>
        <v>1</v>
      </c>
      <c r="E969" s="468" t="s">
        <v>2714</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4995"/>
      <c r="C970" s="1766" t="str">
        <f t="shared" si="88"/>
        <v>Aquarius: Capas y prendas de vestir</v>
      </c>
      <c r="D970" s="2475">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4995"/>
      <c r="C971" s="1766" t="str">
        <f t="shared" si="88"/>
        <v>Aries: Masificación armas y cadenas</v>
      </c>
      <c r="D971" s="2475">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4995"/>
      <c r="C972" s="1766" t="str">
        <f t="shared" si="88"/>
        <v>Cáncer Magister: Monofilos</v>
      </c>
      <c r="D972" s="2475">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4995"/>
      <c r="C973" s="1766" t="str">
        <f t="shared" si="88"/>
        <v>Cáncer: Monofilos</v>
      </c>
      <c r="D973" s="2475">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4995"/>
      <c r="C974" s="1766" t="str">
        <f t="shared" si="88"/>
        <v>Capricornius: Agujas</v>
      </c>
      <c r="D974" s="2475">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4995"/>
      <c r="C975" s="1766" t="str">
        <f t="shared" si="88"/>
        <v>Gémini: Marionetas</v>
      </c>
      <c r="D975" s="2475">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4995"/>
      <c r="C976" s="1766" t="str">
        <f t="shared" si="88"/>
        <v>Leo: Armas-pistola</v>
      </c>
      <c r="D976" s="2475">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4995"/>
      <c r="C977" s="1766" t="str">
        <f t="shared" si="88"/>
        <v>Libra: Arma variable</v>
      </c>
      <c r="D977" s="2475">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4995"/>
      <c r="C978" s="1766" t="str">
        <f t="shared" si="88"/>
        <v>Ophiucos: Señor de Espadas Infinitas</v>
      </c>
      <c r="D978" s="2475">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4995"/>
      <c r="C979" s="1766" t="str">
        <f t="shared" si="88"/>
        <v>Piscis: Yoyó</v>
      </c>
      <c r="D979" s="2475">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4995"/>
      <c r="C980" s="1766" t="str">
        <f t="shared" si="88"/>
        <v>Sagittarius Magister: Obj. arrojadizos</v>
      </c>
      <c r="D980" s="2475">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4995"/>
      <c r="C981" s="1766" t="str">
        <f t="shared" si="88"/>
        <v>Sagittarius: Objetos arrojadizos</v>
      </c>
      <c r="D981" s="2475">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4995"/>
      <c r="C982" s="1766" t="str">
        <f t="shared" si="88"/>
        <v>Scorpio: Espada-látigo</v>
      </c>
      <c r="D982" s="2475">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4995"/>
      <c r="C983" s="1766" t="str">
        <f t="shared" si="88"/>
        <v>Taurus: Enormes armas dobles</v>
      </c>
      <c r="D983" s="2475">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4995"/>
      <c r="C984" s="1766" t="str">
        <f t="shared" si="88"/>
        <v>Virgo: Instruentos musicales</v>
      </c>
      <c r="D984" s="2475">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4995"/>
      <c r="C985" s="1766" t="str">
        <f t="shared" ref="C985:C994" si="90">VLOOKUP(A1,$D$985:$E$994,2,0)</f>
        <v>&gt; TABLAS DE COMBATE SOBRENATURAL</v>
      </c>
      <c r="D985" s="2475">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4995"/>
      <c r="C986" s="1766" t="str">
        <f t="shared" si="90"/>
        <v>Ataque a distancia</v>
      </c>
      <c r="D986" s="2475">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4995"/>
      <c r="C987" s="1766" t="str">
        <f t="shared" si="90"/>
        <v>Atrapar</v>
      </c>
      <c r="D987" s="2475">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4995"/>
      <c r="C988" s="1766" t="str">
        <f t="shared" si="90"/>
        <v>Controlar a distancia</v>
      </c>
      <c r="D988" s="2475">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4995"/>
      <c r="C989" s="1766" t="str">
        <f t="shared" si="90"/>
        <v>Escudo protector</v>
      </c>
      <c r="D989" s="2475">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4995"/>
      <c r="C990" s="1766" t="str">
        <f t="shared" si="90"/>
        <v>Incremento de daño</v>
      </c>
      <c r="D990" s="2475">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4995"/>
      <c r="C991" s="1766" t="str">
        <f t="shared" si="90"/>
        <v>Movimiento acelerado</v>
      </c>
      <c r="D991" s="2475">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4995"/>
      <c r="C992" s="1766" t="str">
        <f t="shared" si="90"/>
        <v>Refuerzo físico</v>
      </c>
      <c r="D992" s="2475">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4995"/>
      <c r="C993" s="1766" t="str">
        <f t="shared" si="90"/>
        <v>Técnica característica</v>
      </c>
      <c r="D993" s="2475">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4995"/>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4995"/>
      <c r="H995" s="413"/>
      <c r="N995" s="413"/>
    </row>
    <row r="996" spans="1:29" ht="12.75" customHeight="1" thickBot="1" x14ac:dyDescent="0.25">
      <c r="A996" s="2029">
        <v>211</v>
      </c>
      <c r="B996" s="4995"/>
      <c r="C996" s="5051" t="s">
        <v>1436</v>
      </c>
      <c r="D996" s="5051"/>
      <c r="E996" s="5051"/>
      <c r="F996" s="5051"/>
      <c r="G996" s="5051"/>
      <c r="H996" s="5051"/>
      <c r="I996" s="5051"/>
      <c r="J996" s="5051"/>
      <c r="K996" s="5051"/>
      <c r="L996" s="5051"/>
      <c r="N996" s="413"/>
    </row>
    <row r="997" spans="1:29" ht="12.75" customHeight="1" x14ac:dyDescent="0.2">
      <c r="A997" s="2029">
        <v>211</v>
      </c>
      <c r="B997" s="4995"/>
      <c r="C997" s="5051"/>
      <c r="D997" s="5051"/>
      <c r="E997" s="5051"/>
      <c r="F997" s="5051"/>
      <c r="G997" s="5051"/>
      <c r="H997" s="5051"/>
      <c r="I997" s="5051"/>
      <c r="J997" s="5051"/>
      <c r="K997" s="5051"/>
      <c r="L997" s="5051"/>
      <c r="N997" s="413"/>
    </row>
    <row r="998" spans="1:29" ht="12.75" customHeight="1" thickBot="1" x14ac:dyDescent="0.25">
      <c r="A998" s="2029">
        <v>211</v>
      </c>
      <c r="B998" s="4995"/>
      <c r="C998" s="5108" t="s">
        <v>3080</v>
      </c>
      <c r="D998" s="5108"/>
      <c r="E998" s="5108"/>
      <c r="F998" s="419" t="s">
        <v>1804</v>
      </c>
      <c r="G998" s="5109" t="s">
        <v>1866</v>
      </c>
      <c r="H998" s="5109"/>
      <c r="I998" s="5109"/>
      <c r="J998" s="5109"/>
      <c r="K998" s="5109"/>
      <c r="L998" s="5109"/>
      <c r="N998" s="413"/>
    </row>
    <row r="999" spans="1:29" ht="12.75" customHeight="1" x14ac:dyDescent="0.2">
      <c r="A999" s="2029">
        <v>211</v>
      </c>
      <c r="B999" s="4995"/>
      <c r="C999" s="258"/>
      <c r="D999" s="128"/>
      <c r="E999" s="531" t="s">
        <v>1437</v>
      </c>
      <c r="F999" s="441">
        <v>75</v>
      </c>
      <c r="G999" s="532" t="s">
        <v>1438</v>
      </c>
      <c r="H999" s="128"/>
      <c r="I999" s="1859"/>
      <c r="J999" s="128"/>
      <c r="K999" s="128"/>
      <c r="L999" s="259"/>
      <c r="N999" s="413"/>
    </row>
    <row r="1000" spans="1:29" ht="12.75" customHeight="1" x14ac:dyDescent="0.2">
      <c r="A1000" s="2029">
        <v>211</v>
      </c>
      <c r="B1000" s="4995"/>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4995"/>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4995"/>
      <c r="H1002" s="413"/>
      <c r="I1002" s="1761"/>
      <c r="N1002" s="413"/>
      <c r="O1002" s="2112"/>
      <c r="AB1002" s="413"/>
      <c r="AC1002" s="2795"/>
    </row>
    <row r="1003" spans="1:29" ht="12.75" customHeight="1" x14ac:dyDescent="0.2">
      <c r="A1003" s="2029">
        <v>211</v>
      </c>
      <c r="B1003" s="4995"/>
      <c r="H1003" s="413"/>
      <c r="I1003" s="1761"/>
      <c r="N1003" s="413"/>
      <c r="O1003" s="2112"/>
      <c r="AB1003" s="413"/>
      <c r="AC1003" s="2795"/>
    </row>
    <row r="1004" spans="1:29" ht="12.75" customHeight="1" x14ac:dyDescent="0.2">
      <c r="A1004" s="2029">
        <v>211</v>
      </c>
      <c r="B1004" s="4995"/>
      <c r="H1004" s="413"/>
      <c r="I1004" s="1761"/>
      <c r="N1004" s="413"/>
      <c r="O1004" s="2112"/>
      <c r="AB1004" s="413"/>
      <c r="AC1004" s="2028"/>
    </row>
    <row r="1005" spans="1:29" ht="12.75" customHeight="1" x14ac:dyDescent="0.2">
      <c r="A1005" s="2029">
        <v>211</v>
      </c>
      <c r="B1005" s="4995"/>
      <c r="H1005" s="413"/>
      <c r="I1005" s="1761"/>
      <c r="N1005" s="413"/>
      <c r="O1005" s="2112"/>
      <c r="AB1005" s="413"/>
      <c r="AC1005" s="2028"/>
    </row>
    <row r="1006" spans="1:29" ht="12.75" customHeight="1" x14ac:dyDescent="0.2">
      <c r="A1006" s="2029">
        <v>211</v>
      </c>
      <c r="B1006" s="4995"/>
      <c r="C1006" s="4996" t="s">
        <v>9443</v>
      </c>
      <c r="D1006" s="4996"/>
      <c r="E1006" s="4996"/>
      <c r="F1006" s="4996"/>
      <c r="G1006" s="4996"/>
      <c r="H1006" s="4996"/>
      <c r="I1006" s="4996"/>
      <c r="J1006" s="4996"/>
      <c r="K1006" s="4996"/>
      <c r="L1006" s="4996"/>
      <c r="M1006" s="4996"/>
      <c r="N1006" s="4996"/>
      <c r="O1006" s="4996"/>
      <c r="P1006" s="4996"/>
      <c r="Q1006" s="4996"/>
      <c r="R1006" s="4996"/>
      <c r="S1006" s="4996"/>
      <c r="T1006" s="4996"/>
      <c r="U1006" s="4996"/>
      <c r="V1006" s="4996"/>
      <c r="W1006" s="4996"/>
      <c r="AB1006" s="413"/>
      <c r="AC1006" s="2028"/>
    </row>
    <row r="1007" spans="1:29" ht="12.75" customHeight="1" x14ac:dyDescent="0.2">
      <c r="A1007" s="2029">
        <v>211</v>
      </c>
      <c r="B1007" s="4995"/>
      <c r="C1007" s="4996"/>
      <c r="D1007" s="4996"/>
      <c r="E1007" s="4996"/>
      <c r="F1007" s="4996"/>
      <c r="G1007" s="4996"/>
      <c r="H1007" s="4996"/>
      <c r="I1007" s="4996"/>
      <c r="J1007" s="4996"/>
      <c r="K1007" s="4996"/>
      <c r="L1007" s="4996"/>
      <c r="M1007" s="4996"/>
      <c r="N1007" s="4996"/>
      <c r="O1007" s="4996"/>
      <c r="P1007" s="4996"/>
      <c r="Q1007" s="4996"/>
      <c r="R1007" s="4996"/>
      <c r="S1007" s="4996"/>
      <c r="T1007" s="4996"/>
      <c r="U1007" s="4996"/>
      <c r="V1007" s="4996"/>
      <c r="W1007" s="4996"/>
      <c r="AB1007" s="413"/>
      <c r="AC1007" s="2028"/>
    </row>
    <row r="1008" spans="1:29" ht="12.75" customHeight="1" x14ac:dyDescent="0.2">
      <c r="A1008" s="2029">
        <v>211</v>
      </c>
      <c r="B1008" s="4995"/>
      <c r="C1008" s="4996"/>
      <c r="D1008" s="4996"/>
      <c r="E1008" s="4996"/>
      <c r="F1008" s="4996"/>
      <c r="G1008" s="4996"/>
      <c r="H1008" s="4996"/>
      <c r="I1008" s="4996"/>
      <c r="J1008" s="4996"/>
      <c r="K1008" s="4996"/>
      <c r="L1008" s="4996"/>
      <c r="M1008" s="4996"/>
      <c r="N1008" s="4996"/>
      <c r="O1008" s="4996"/>
      <c r="P1008" s="4996"/>
      <c r="Q1008" s="4996"/>
      <c r="R1008" s="4996"/>
      <c r="S1008" s="4996"/>
      <c r="T1008" s="4996"/>
      <c r="U1008" s="4996"/>
      <c r="V1008" s="4996"/>
      <c r="W1008" s="4996"/>
      <c r="AB1008" s="413"/>
      <c r="AC1008" s="2028"/>
    </row>
    <row r="1009" spans="1:29" ht="12.75" customHeight="1" thickBot="1" x14ac:dyDescent="0.25">
      <c r="A1009" s="2029">
        <v>211</v>
      </c>
      <c r="B1009" s="4995"/>
      <c r="H1009" s="413"/>
      <c r="I1009" s="1761"/>
      <c r="N1009" s="413"/>
      <c r="O1009" s="2112"/>
      <c r="S1009" s="2795"/>
      <c r="AB1009" s="413"/>
      <c r="AC1009" s="2028"/>
    </row>
    <row r="1010" spans="1:29" ht="12.75" customHeight="1" thickBot="1" x14ac:dyDescent="0.25">
      <c r="A1010" s="2029">
        <v>211</v>
      </c>
      <c r="B1010" s="4995"/>
      <c r="C1010" s="5035" t="s">
        <v>1517</v>
      </c>
      <c r="D1010" s="5035"/>
      <c r="E1010" s="5035"/>
      <c r="F1010" s="5035"/>
      <c r="G1010" s="5035"/>
      <c r="H1010" s="5035"/>
      <c r="I1010" s="5035"/>
      <c r="J1010" s="5035"/>
      <c r="K1010" s="5035"/>
      <c r="L1010" s="5035"/>
      <c r="M1010" s="5035"/>
      <c r="N1010" s="413"/>
      <c r="O1010" s="2112"/>
      <c r="S1010" s="2795"/>
      <c r="AB1010" s="413"/>
      <c r="AC1010" s="2028"/>
    </row>
    <row r="1011" spans="1:29" ht="12.75" customHeight="1" x14ac:dyDescent="0.2">
      <c r="A1011" s="2029">
        <v>211</v>
      </c>
      <c r="B1011" s="4995"/>
      <c r="C1011" s="5035"/>
      <c r="D1011" s="5035"/>
      <c r="E1011" s="5035"/>
      <c r="F1011" s="5035"/>
      <c r="G1011" s="5035"/>
      <c r="H1011" s="5035"/>
      <c r="I1011" s="5035"/>
      <c r="J1011" s="5035"/>
      <c r="K1011" s="5035"/>
      <c r="L1011" s="5035"/>
      <c r="M1011" s="5035"/>
      <c r="N1011" s="413"/>
      <c r="O1011" s="2112"/>
      <c r="S1011" s="2795"/>
      <c r="AB1011" s="413"/>
      <c r="AC1011" s="2028"/>
    </row>
    <row r="1012" spans="1:29" ht="12.75" customHeight="1" thickBot="1" x14ac:dyDescent="0.25">
      <c r="A1012" s="2029">
        <v>211</v>
      </c>
      <c r="B1012" s="4995"/>
      <c r="C1012" s="5038" t="s">
        <v>1967</v>
      </c>
      <c r="D1012" s="5038"/>
      <c r="E1012" s="456" t="s">
        <v>1804</v>
      </c>
      <c r="F1012" s="5083" t="s">
        <v>1866</v>
      </c>
      <c r="G1012" s="5083"/>
      <c r="H1012" s="5083"/>
      <c r="I1012" s="5083"/>
      <c r="J1012" s="5083"/>
      <c r="K1012" s="5083"/>
      <c r="L1012" s="5083"/>
      <c r="M1012" s="5083"/>
      <c r="N1012" s="413"/>
      <c r="O1012" s="2112"/>
      <c r="S1012" s="2795"/>
      <c r="AB1012" s="413"/>
      <c r="AC1012" s="2028"/>
    </row>
    <row r="1013" spans="1:29" ht="12.75" customHeight="1" x14ac:dyDescent="0.2">
      <c r="A1013" s="2029">
        <v>211</v>
      </c>
      <c r="B1013" s="4995"/>
      <c r="C1013" s="558"/>
      <c r="D1013" s="559" t="s">
        <v>1518</v>
      </c>
      <c r="E1013" s="560">
        <v>20</v>
      </c>
      <c r="F1013" s="561" t="s">
        <v>1519</v>
      </c>
      <c r="G1013" s="68"/>
      <c r="H1013" s="68"/>
      <c r="I1013" s="305"/>
      <c r="J1013" s="68"/>
      <c r="K1013" s="68"/>
      <c r="L1013" s="68"/>
      <c r="M1013" s="69"/>
      <c r="N1013" s="413"/>
      <c r="O1013" s="2112"/>
      <c r="S1013" s="2795"/>
      <c r="AB1013" s="413"/>
      <c r="AC1013" s="2028"/>
    </row>
    <row r="1014" spans="1:29" ht="12.75" customHeight="1" x14ac:dyDescent="0.2">
      <c r="A1014" s="2029">
        <v>211</v>
      </c>
      <c r="B1014" s="4995"/>
      <c r="C1014" s="266"/>
      <c r="D1014" s="559" t="s">
        <v>1520</v>
      </c>
      <c r="E1014" s="560">
        <v>15</v>
      </c>
      <c r="F1014" s="561" t="s">
        <v>1521</v>
      </c>
      <c r="G1014" s="68"/>
      <c r="H1014" s="68"/>
      <c r="I1014" s="305"/>
      <c r="J1014" s="68"/>
      <c r="K1014" s="68"/>
      <c r="L1014" s="68"/>
      <c r="M1014" s="69"/>
      <c r="N1014" s="413"/>
      <c r="O1014" s="2112"/>
      <c r="S1014" s="2795"/>
      <c r="AB1014" s="413"/>
      <c r="AC1014" s="2028"/>
    </row>
    <row r="1015" spans="1:29" ht="12.75" customHeight="1" x14ac:dyDescent="0.2">
      <c r="A1015" s="2029">
        <v>211</v>
      </c>
      <c r="B1015" s="4995"/>
      <c r="C1015" s="266"/>
      <c r="D1015" s="559" t="s">
        <v>1522</v>
      </c>
      <c r="E1015" s="560">
        <v>20</v>
      </c>
      <c r="F1015" s="561" t="s">
        <v>1523</v>
      </c>
      <c r="G1015" s="68"/>
      <c r="H1015" s="68"/>
      <c r="I1015" s="305"/>
      <c r="J1015" s="68"/>
      <c r="K1015" s="68"/>
      <c r="L1015" s="68"/>
      <c r="M1015" s="69"/>
      <c r="N1015" s="413"/>
      <c r="O1015" s="2112"/>
      <c r="S1015" s="2795"/>
      <c r="AB1015" s="413"/>
      <c r="AC1015" s="2028"/>
    </row>
    <row r="1016" spans="1:29" ht="12.75" customHeight="1" x14ac:dyDescent="0.2">
      <c r="A1016" s="2029">
        <v>211</v>
      </c>
      <c r="B1016" s="4995"/>
      <c r="C1016" s="266"/>
      <c r="D1016" s="559" t="s">
        <v>1524</v>
      </c>
      <c r="E1016" s="560">
        <v>10</v>
      </c>
      <c r="F1016" s="561" t="s">
        <v>1525</v>
      </c>
      <c r="G1016" s="68"/>
      <c r="H1016" s="68"/>
      <c r="I1016" s="305"/>
      <c r="J1016" s="68"/>
      <c r="K1016" s="68"/>
      <c r="L1016" s="68"/>
      <c r="M1016" s="69"/>
      <c r="N1016" s="413"/>
      <c r="O1016" s="2112"/>
      <c r="S1016" s="2795"/>
      <c r="AB1016" s="413"/>
      <c r="AC1016" s="2028"/>
    </row>
    <row r="1017" spans="1:29" ht="12.75" customHeight="1" x14ac:dyDescent="0.2">
      <c r="A1017" s="2029">
        <v>211</v>
      </c>
      <c r="B1017" s="4995"/>
      <c r="C1017" s="266"/>
      <c r="D1017" s="559" t="s">
        <v>1526</v>
      </c>
      <c r="E1017" s="560">
        <v>10</v>
      </c>
      <c r="F1017" s="561" t="s">
        <v>1527</v>
      </c>
      <c r="G1017" s="68"/>
      <c r="H1017" s="68"/>
      <c r="I1017" s="305"/>
      <c r="J1017" s="68"/>
      <c r="K1017" s="68"/>
      <c r="L1017" s="68"/>
      <c r="M1017" s="69"/>
      <c r="N1017" s="413"/>
      <c r="O1017" s="2112"/>
      <c r="S1017" s="2795"/>
      <c r="AB1017" s="413"/>
      <c r="AC1017" s="2028"/>
    </row>
    <row r="1018" spans="1:29" ht="12.75" customHeight="1" x14ac:dyDescent="0.2">
      <c r="A1018" s="2029">
        <v>211</v>
      </c>
      <c r="B1018" s="4995"/>
      <c r="C1018" s="266"/>
      <c r="D1018" s="559" t="s">
        <v>1528</v>
      </c>
      <c r="E1018" s="560">
        <v>20</v>
      </c>
      <c r="F1018" s="561" t="s">
        <v>1529</v>
      </c>
      <c r="G1018" s="68"/>
      <c r="H1018" s="68"/>
      <c r="I1018" s="305"/>
      <c r="J1018" s="68"/>
      <c r="K1018" s="68"/>
      <c r="L1018" s="68"/>
      <c r="M1018" s="69"/>
      <c r="N1018" s="413"/>
      <c r="O1018" s="2112"/>
      <c r="S1018" s="2795"/>
      <c r="AB1018" s="413"/>
      <c r="AC1018" s="2028"/>
    </row>
    <row r="1019" spans="1:29" ht="12.75" customHeight="1" thickBot="1" x14ac:dyDescent="0.25">
      <c r="A1019" s="2029">
        <v>211</v>
      </c>
      <c r="B1019" s="4995"/>
      <c r="C1019" s="438"/>
      <c r="D1019" s="562" t="s">
        <v>1530</v>
      </c>
      <c r="E1019" s="563">
        <v>10</v>
      </c>
      <c r="F1019" s="564" t="s">
        <v>1531</v>
      </c>
      <c r="G1019" s="199"/>
      <c r="H1019" s="199"/>
      <c r="I1019" s="1863"/>
      <c r="J1019" s="199"/>
      <c r="K1019" s="199"/>
      <c r="L1019" s="199"/>
      <c r="M1019" s="200"/>
      <c r="N1019" s="413"/>
      <c r="O1019" s="2112"/>
      <c r="S1019" s="2795"/>
      <c r="AB1019" s="413"/>
      <c r="AC1019" s="2028"/>
    </row>
    <row r="1020" spans="1:29" ht="12.75" customHeight="1" thickBot="1" x14ac:dyDescent="0.25">
      <c r="A1020" s="2029">
        <v>211</v>
      </c>
      <c r="B1020" s="4995"/>
      <c r="H1020" s="413"/>
      <c r="I1020" s="1761"/>
      <c r="L1020" s="555"/>
      <c r="N1020" s="413"/>
      <c r="O1020" s="2112"/>
      <c r="S1020" s="2795"/>
      <c r="AB1020" s="413"/>
      <c r="AC1020" s="2028"/>
    </row>
    <row r="1021" spans="1:29" ht="12.75" customHeight="1" thickBot="1" x14ac:dyDescent="0.25">
      <c r="A1021" s="2029">
        <v>211</v>
      </c>
      <c r="B1021" s="4995"/>
      <c r="C1021" s="5100" t="s">
        <v>1532</v>
      </c>
      <c r="E1021" s="5113" t="s">
        <v>8900</v>
      </c>
      <c r="G1021" s="3997" t="s">
        <v>8904</v>
      </c>
      <c r="H1021" s="3998"/>
      <c r="I1021" s="5115" t="s">
        <v>8234</v>
      </c>
      <c r="K1021" s="3169" t="s">
        <v>1536</v>
      </c>
      <c r="L1021" s="555"/>
      <c r="M1021" s="5067" t="s">
        <v>1450</v>
      </c>
      <c r="N1021" s="5067"/>
      <c r="O1021" s="2112"/>
      <c r="P1021" s="3192" t="s">
        <v>1443</v>
      </c>
      <c r="Q1021" s="3192"/>
      <c r="S1021" s="3192" t="s">
        <v>94</v>
      </c>
      <c r="T1021" s="3192"/>
      <c r="U1021" s="3192"/>
      <c r="AB1021" s="413"/>
      <c r="AC1021" s="2028"/>
    </row>
    <row r="1022" spans="1:29" ht="12.75" customHeight="1" thickBot="1" x14ac:dyDescent="0.25">
      <c r="A1022" s="2029">
        <v>211</v>
      </c>
      <c r="B1022" s="4995"/>
      <c r="C1022" s="5100"/>
      <c r="E1022" s="5114"/>
      <c r="G1022" s="5081"/>
      <c r="H1022" s="5082"/>
      <c r="I1022" s="5116" t="s">
        <v>8234</v>
      </c>
      <c r="K1022" s="3169"/>
      <c r="M1022" s="5067"/>
      <c r="N1022" s="5067"/>
      <c r="O1022" s="2112"/>
      <c r="P1022" s="3192"/>
      <c r="Q1022" s="3192"/>
      <c r="S1022" s="3192"/>
      <c r="T1022" s="3192"/>
      <c r="U1022" s="3192"/>
      <c r="AB1022" s="413"/>
      <c r="AC1022" s="2028"/>
    </row>
    <row r="1023" spans="1:29" ht="12.75" customHeight="1" thickBot="1" x14ac:dyDescent="0.25">
      <c r="A1023" s="2029">
        <v>211</v>
      </c>
      <c r="B1023" s="4995"/>
      <c r="C1023" s="565" t="s">
        <v>2029</v>
      </c>
      <c r="E1023" s="2045" t="s">
        <v>8906</v>
      </c>
      <c r="G1023" s="3997" t="s">
        <v>8938</v>
      </c>
      <c r="H1023" s="3998"/>
      <c r="I1023" s="2803" t="s">
        <v>8939</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4995"/>
      <c r="C1024" s="565" t="s">
        <v>2030</v>
      </c>
      <c r="E1024" s="2045" t="s">
        <v>8901</v>
      </c>
      <c r="G1024" s="5007"/>
      <c r="H1024" s="5008"/>
      <c r="I1024" s="2803" t="s">
        <v>8389</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4995"/>
      <c r="C1025" s="565" t="s">
        <v>1931</v>
      </c>
      <c r="E1025" s="2045" t="s">
        <v>8902</v>
      </c>
      <c r="G1025" s="2058" t="s">
        <v>8908</v>
      </c>
      <c r="H1025" s="2214" t="s">
        <v>8909</v>
      </c>
      <c r="I1025" s="2803" t="s">
        <v>8940</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4995"/>
      <c r="C1026" s="565" t="s">
        <v>1934</v>
      </c>
      <c r="E1026" s="2045" t="s">
        <v>8903</v>
      </c>
      <c r="G1026" s="2056">
        <v>1</v>
      </c>
      <c r="H1026" s="2695">
        <v>14</v>
      </c>
      <c r="I1026" s="2803" t="s">
        <v>8941</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4995"/>
      <c r="C1027" s="565" t="s">
        <v>1938</v>
      </c>
      <c r="E1027" s="2046" t="s">
        <v>8904</v>
      </c>
      <c r="G1027" s="2056">
        <v>2</v>
      </c>
      <c r="H1027" s="2695">
        <v>18</v>
      </c>
      <c r="I1027" s="2803" t="s">
        <v>8942</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4995"/>
      <c r="C1028" s="565" t="s">
        <v>2034</v>
      </c>
      <c r="G1028" s="2056">
        <v>3</v>
      </c>
      <c r="H1028" s="2695">
        <v>24</v>
      </c>
      <c r="I1028" s="2803" t="s">
        <v>8943</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4995"/>
      <c r="C1029" s="566" t="s">
        <v>1533</v>
      </c>
      <c r="G1029" s="2056">
        <v>4</v>
      </c>
      <c r="H1029" s="2695">
        <v>30</v>
      </c>
      <c r="I1029" s="2803" t="s">
        <v>2527</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4995"/>
      <c r="G1030" s="2057">
        <v>5</v>
      </c>
      <c r="H1030" s="1590">
        <v>36</v>
      </c>
      <c r="I1030" s="2803" t="s">
        <v>8944</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4995"/>
      <c r="C1031" s="5113" t="s">
        <v>9190</v>
      </c>
      <c r="H1031" s="413"/>
      <c r="I1031" s="2803" t="s">
        <v>8947</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4995"/>
      <c r="C1032" s="5114"/>
      <c r="H1032" s="413"/>
      <c r="I1032" s="2803" t="s">
        <v>8948</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4995"/>
      <c r="C1033" s="2357" t="s">
        <v>2029</v>
      </c>
      <c r="H1033" s="413"/>
      <c r="I1033" s="2803" t="s">
        <v>8949</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4995"/>
      <c r="C1034" s="2357" t="s">
        <v>2030</v>
      </c>
      <c r="H1034" s="413"/>
      <c r="I1034" s="2804" t="s">
        <v>8950</v>
      </c>
      <c r="N1034" s="413"/>
      <c r="O1034" s="2112"/>
      <c r="P1034" s="444">
        <v>11</v>
      </c>
      <c r="Q1034" s="284">
        <v>75</v>
      </c>
      <c r="S1034" s="266">
        <v>54</v>
      </c>
      <c r="T1034" s="263">
        <v>6</v>
      </c>
      <c r="U1034" s="284">
        <v>11</v>
      </c>
      <c r="AB1034" s="413"/>
      <c r="AC1034" s="2028"/>
    </row>
    <row r="1035" spans="1:36" ht="12.75" customHeight="1" x14ac:dyDescent="0.2">
      <c r="A1035" s="2029">
        <v>211</v>
      </c>
      <c r="B1035" s="4995"/>
      <c r="C1035" s="2357" t="s">
        <v>1938</v>
      </c>
      <c r="E1035" s="5101" t="s">
        <v>1534</v>
      </c>
      <c r="F1035" s="2392"/>
      <c r="G1035" s="2698"/>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4995"/>
      <c r="C1036" s="2357" t="s">
        <v>1934</v>
      </c>
      <c r="E1036" s="5102"/>
      <c r="F1036" s="2893" t="s">
        <v>9412</v>
      </c>
      <c r="G1036" s="2797"/>
      <c r="H1036" s="5196" t="s">
        <v>9415</v>
      </c>
      <c r="I1036" s="5196"/>
      <c r="J1036" s="2798" t="s">
        <v>9414</v>
      </c>
      <c r="K1036" s="2796"/>
      <c r="N1036" s="413"/>
      <c r="O1036" s="2112"/>
      <c r="P1036" s="444">
        <v>13</v>
      </c>
      <c r="Q1036" s="284">
        <v>150</v>
      </c>
      <c r="S1036" s="266">
        <v>64</v>
      </c>
      <c r="T1036" s="263">
        <v>7</v>
      </c>
      <c r="U1036" s="284">
        <v>13</v>
      </c>
      <c r="AB1036" s="413"/>
      <c r="AC1036" s="2028"/>
    </row>
    <row r="1037" spans="1:36" ht="12.75" customHeight="1" x14ac:dyDescent="0.2">
      <c r="A1037" s="2029">
        <v>211</v>
      </c>
      <c r="B1037" s="4995"/>
      <c r="C1037" s="2357" t="s">
        <v>1931</v>
      </c>
      <c r="E1037" s="2801" t="s">
        <v>2029</v>
      </c>
      <c r="F1037" s="1762" t="str">
        <f>E1038&amp;", "&amp;$E$1047</f>
        <v>Oscuridad, Nigromancia</v>
      </c>
      <c r="G1037" s="2695"/>
      <c r="H1037" s="5197">
        <f t="shared" ref="H1037:H1047" si="92">VLOOKUP(E1037,Tabla_VíasDesarolladas,5,FALSE)+IF(SUMPRODUCT(--ISNUMBER(SEARCH($E1037,$E$403:$E$413)),$G$403:$G$413)&gt;0,40,0)</f>
        <v>0</v>
      </c>
      <c r="I1037" s="5197"/>
      <c r="J1037" s="2799">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4995"/>
      <c r="C1038" s="2357" t="s">
        <v>2034</v>
      </c>
      <c r="E1038" s="2801" t="s">
        <v>2030</v>
      </c>
      <c r="F1038" s="1762" t="str">
        <f>E1037&amp;", "&amp;$E$1047</f>
        <v>Luz, Nigromancia</v>
      </c>
      <c r="G1038" s="2695"/>
      <c r="H1038" s="5197">
        <f t="shared" si="92"/>
        <v>0</v>
      </c>
      <c r="I1038" s="5197"/>
      <c r="J1038" s="2799">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4995"/>
      <c r="C1039" s="2357" t="s">
        <v>2036</v>
      </c>
      <c r="E1039" s="2801" t="s">
        <v>1938</v>
      </c>
      <c r="F1039" s="1762" t="str">
        <f>E1040&amp;", "&amp;$E$1047</f>
        <v>Agua, Nigromancia</v>
      </c>
      <c r="G1039" s="2695"/>
      <c r="H1039" s="5197">
        <f t="shared" si="92"/>
        <v>0</v>
      </c>
      <c r="I1039" s="5197"/>
      <c r="J1039" s="2799">
        <f>IF(OR($H1039&lt;$H1040,$H1039&lt;$H$1047),2,1)</f>
        <v>1</v>
      </c>
      <c r="K1039" s="2798" t="s">
        <v>9419</v>
      </c>
      <c r="N1039" s="413"/>
      <c r="O1039" s="2112"/>
      <c r="P1039" s="443">
        <v>16</v>
      </c>
      <c r="Q1039" s="284">
        <v>400</v>
      </c>
      <c r="S1039" s="266">
        <v>78</v>
      </c>
      <c r="T1039" s="263">
        <v>8</v>
      </c>
      <c r="U1039" s="284">
        <v>16</v>
      </c>
      <c r="W1039" s="2392"/>
      <c r="AB1039" s="413"/>
      <c r="AC1039" s="2028"/>
    </row>
    <row r="1040" spans="1:36" ht="12.75" customHeight="1" x14ac:dyDescent="0.2">
      <c r="A1040" s="2029">
        <v>211</v>
      </c>
      <c r="B1040" s="4995"/>
      <c r="C1040" s="2357" t="s">
        <v>2037</v>
      </c>
      <c r="E1040" s="2801" t="s">
        <v>1934</v>
      </c>
      <c r="F1040" s="1762" t="str">
        <f>E1039&amp;", "&amp;$E$1047</f>
        <v>Fuego, Nigromancia</v>
      </c>
      <c r="G1040" s="2695"/>
      <c r="H1040" s="5197">
        <f t="shared" si="92"/>
        <v>0</v>
      </c>
      <c r="I1040" s="5197"/>
      <c r="J1040" s="2799">
        <f>IF(OR($H1040&lt;$H1039,$H1040&lt;$H$1047),2,1)</f>
        <v>1</v>
      </c>
      <c r="K1040" s="2688" t="s">
        <v>9418</v>
      </c>
      <c r="N1040" s="413"/>
      <c r="O1040" s="2112"/>
      <c r="P1040" s="444">
        <v>17</v>
      </c>
      <c r="Q1040" s="284">
        <v>500</v>
      </c>
      <c r="S1040" s="266">
        <v>84</v>
      </c>
      <c r="T1040" s="263">
        <v>9</v>
      </c>
      <c r="U1040" s="284">
        <v>17</v>
      </c>
      <c r="W1040" s="2392"/>
      <c r="AB1040" s="413"/>
      <c r="AC1040" s="2028"/>
    </row>
    <row r="1041" spans="1:29" ht="12.75" customHeight="1" x14ac:dyDescent="0.2">
      <c r="A1041" s="2029">
        <v>211</v>
      </c>
      <c r="B1041" s="4995"/>
      <c r="C1041" s="2357" t="s">
        <v>2039</v>
      </c>
      <c r="E1041" s="2801" t="s">
        <v>1931</v>
      </c>
      <c r="F1041" s="1762" t="str">
        <f>E1042&amp;", "&amp;$E$1047</f>
        <v>Tierra, Nigromancia</v>
      </c>
      <c r="G1041" s="2695"/>
      <c r="H1041" s="5197">
        <f t="shared" si="92"/>
        <v>0</v>
      </c>
      <c r="I1041" s="5197"/>
      <c r="J1041" s="2799">
        <f>IF(OR($H1041&lt;$H1042,$H1041&lt;$H$1047),2,1)</f>
        <v>1</v>
      </c>
      <c r="K1041" s="2891"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4995"/>
      <c r="C1042" s="2357" t="s">
        <v>2041</v>
      </c>
      <c r="E1042" s="2801" t="s">
        <v>2034</v>
      </c>
      <c r="F1042" s="1762" t="str">
        <f>E1041&amp;", "&amp;$E$1047</f>
        <v>Aire, Nigromancia</v>
      </c>
      <c r="G1042" s="2695"/>
      <c r="H1042" s="5197">
        <f t="shared" si="92"/>
        <v>0</v>
      </c>
      <c r="I1042" s="5197"/>
      <c r="J1042" s="2799">
        <f>IF(OR($H1042&lt;$H1041,$H1042&lt;$H$1047),2,1)</f>
        <v>1</v>
      </c>
      <c r="K1042" s="2688" t="s">
        <v>9417</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4995"/>
      <c r="C1043" s="2357" t="s">
        <v>2043</v>
      </c>
      <c r="E1043" s="2801" t="s">
        <v>2036</v>
      </c>
      <c r="F1043" s="1762" t="str">
        <f>E1044&amp;", "&amp;$E$1047</f>
        <v>Destrucción, Nigromancia</v>
      </c>
      <c r="G1043" s="2695"/>
      <c r="H1043" s="5197">
        <f t="shared" si="92"/>
        <v>0</v>
      </c>
      <c r="I1043" s="5197"/>
      <c r="J1043" s="2799">
        <f>IF(OR($H1043&lt;$H1044,$H1043&lt;$H$1047),2,1)</f>
        <v>1</v>
      </c>
      <c r="K1043" s="2891"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4995"/>
      <c r="C1044" s="2358" t="s">
        <v>1535</v>
      </c>
      <c r="E1044" s="2801" t="s">
        <v>2037</v>
      </c>
      <c r="F1044" s="1762" t="str">
        <f>E1043&amp;", "&amp;$E$1047</f>
        <v>Creación, Nigromancia</v>
      </c>
      <c r="G1044" s="2695"/>
      <c r="H1044" s="5197">
        <f t="shared" si="92"/>
        <v>0</v>
      </c>
      <c r="I1044" s="5197"/>
      <c r="J1044" s="2799">
        <f>IF(OR($H1044&lt;$H1043,$H1044&lt;$H$1047),2,1)</f>
        <v>1</v>
      </c>
      <c r="K1044" s="2688" t="s">
        <v>9416</v>
      </c>
      <c r="N1044" s="413"/>
      <c r="O1044" s="2112"/>
      <c r="S1044" s="2795"/>
      <c r="W1044" s="2392"/>
      <c r="AB1044" s="413"/>
      <c r="AC1044" s="2028"/>
    </row>
    <row r="1045" spans="1:29" ht="12.75" customHeight="1" x14ac:dyDescent="0.2">
      <c r="A1045" s="2029">
        <v>211</v>
      </c>
      <c r="B1045" s="4995"/>
      <c r="C1045" s="2359" t="s">
        <v>81</v>
      </c>
      <c r="E1045" s="2801" t="s">
        <v>2039</v>
      </c>
      <c r="F1045" s="1762" t="str">
        <f>E1046&amp;", "&amp;$E$1047</f>
        <v>Ilusión, Nigromancia</v>
      </c>
      <c r="G1045" s="2695"/>
      <c r="H1045" s="5197">
        <f t="shared" si="92"/>
        <v>0</v>
      </c>
      <c r="I1045" s="5197"/>
      <c r="J1045" s="2799">
        <f>IF(OR($H1045&lt;$H1046,$H1045&lt;$H$1047),2,1)</f>
        <v>1</v>
      </c>
      <c r="K1045" s="2892" t="str">
        <f>MID(K1043,3,LEN(K1043))</f>
        <v/>
      </c>
      <c r="N1045" s="413"/>
      <c r="O1045" s="2112"/>
      <c r="P1045" s="5036" t="s">
        <v>1547</v>
      </c>
      <c r="Q1045" s="5036"/>
      <c r="S1045" s="2795"/>
      <c r="W1045" s="2392"/>
      <c r="AB1045" s="413"/>
      <c r="AC1045" s="2028"/>
    </row>
    <row r="1046" spans="1:29" ht="12.75" customHeight="1" thickBot="1" x14ac:dyDescent="0.25">
      <c r="A1046" s="2029">
        <v>211</v>
      </c>
      <c r="B1046" s="4995"/>
      <c r="C1046" s="2360" t="s">
        <v>82</v>
      </c>
      <c r="E1046" s="2801" t="s">
        <v>2041</v>
      </c>
      <c r="F1046" s="1762" t="str">
        <f>E1045&amp;", "&amp;$E$1047</f>
        <v>Esencia, Nigromancia</v>
      </c>
      <c r="G1046" s="2695"/>
      <c r="H1046" s="5197">
        <f t="shared" si="92"/>
        <v>0</v>
      </c>
      <c r="I1046" s="5197"/>
      <c r="J1046" s="2799">
        <f>IF(OR($H1046&lt;$H1045,$H1046&lt;$H$1047),2,1)</f>
        <v>1</v>
      </c>
      <c r="K1046" s="2392"/>
      <c r="N1046" s="413"/>
      <c r="O1046" s="2112"/>
      <c r="P1046" s="418" t="s">
        <v>1704</v>
      </c>
      <c r="Q1046" s="420" t="s">
        <v>1548</v>
      </c>
      <c r="S1046" s="2795"/>
      <c r="W1046" s="2392"/>
      <c r="AB1046" s="413"/>
      <c r="AC1046" s="2028"/>
    </row>
    <row r="1047" spans="1:29" ht="12.75" customHeight="1" x14ac:dyDescent="0.2">
      <c r="A1047" s="2029">
        <v>211</v>
      </c>
      <c r="B1047" s="4995"/>
      <c r="C1047" s="2360" t="s">
        <v>83</v>
      </c>
      <c r="E1047" s="2801" t="s">
        <v>2043</v>
      </c>
      <c r="F1047" s="2894" t="s">
        <v>9413</v>
      </c>
      <c r="G1047" s="2528"/>
      <c r="H1047" s="5222">
        <f t="shared" si="92"/>
        <v>0</v>
      </c>
      <c r="I1047" s="5222"/>
      <c r="J1047" s="2800">
        <f>IF(OR(MAX($H$1037:$H$1047)=H1047,MAX($H$1037:$H$1047)=0),1,2)</f>
        <v>1</v>
      </c>
      <c r="K1047" s="2392"/>
      <c r="N1047" s="413"/>
      <c r="O1047" s="2112"/>
      <c r="P1047" s="443">
        <v>1</v>
      </c>
      <c r="Q1047" s="284">
        <v>0</v>
      </c>
      <c r="S1047" s="2795"/>
      <c r="W1047" s="2392"/>
      <c r="AB1047" s="413"/>
      <c r="AC1047" s="2028"/>
    </row>
    <row r="1048" spans="1:29" ht="12.75" customHeight="1" thickBot="1" x14ac:dyDescent="0.25">
      <c r="A1048" s="2029">
        <v>211</v>
      </c>
      <c r="B1048" s="4995"/>
      <c r="C1048" s="2360" t="s">
        <v>84</v>
      </c>
      <c r="E1048" s="2802" t="s">
        <v>1535</v>
      </c>
      <c r="F1048" s="2392"/>
      <c r="G1048" s="2392"/>
      <c r="H1048" s="2392"/>
      <c r="I1048" s="2796"/>
      <c r="J1048" s="2392"/>
      <c r="K1048" s="2392"/>
      <c r="L1048" s="2392"/>
      <c r="N1048" s="413"/>
      <c r="O1048" s="2112"/>
      <c r="P1048" s="443">
        <v>2</v>
      </c>
      <c r="Q1048" s="284">
        <v>0</v>
      </c>
      <c r="S1048" s="2795"/>
      <c r="W1048" s="2392"/>
      <c r="AB1048" s="413"/>
      <c r="AC1048" s="2028"/>
    </row>
    <row r="1049" spans="1:29" ht="12.75" customHeight="1" thickBot="1" x14ac:dyDescent="0.25">
      <c r="A1049" s="2029">
        <v>211</v>
      </c>
      <c r="B1049" s="4995"/>
      <c r="C1049" s="2360" t="s">
        <v>85</v>
      </c>
      <c r="H1049" s="413"/>
      <c r="I1049" s="1761"/>
      <c r="N1049" s="413"/>
      <c r="O1049" s="2112"/>
      <c r="P1049" s="443">
        <v>3</v>
      </c>
      <c r="Q1049" s="284">
        <v>0</v>
      </c>
      <c r="S1049" s="2795"/>
      <c r="W1049" s="2392"/>
      <c r="AB1049" s="413"/>
      <c r="AC1049" s="2028"/>
    </row>
    <row r="1050" spans="1:29" ht="12.75" customHeight="1" x14ac:dyDescent="0.2">
      <c r="A1050" s="2029">
        <v>211</v>
      </c>
      <c r="B1050" s="4995"/>
      <c r="C1050" s="2360" t="s">
        <v>86</v>
      </c>
      <c r="E1050" s="5036" t="s">
        <v>1542</v>
      </c>
      <c r="F1050" s="5036"/>
      <c r="H1050" s="5036" t="s">
        <v>1544</v>
      </c>
      <c r="I1050" s="5036"/>
      <c r="K1050" s="5037" t="s">
        <v>1549</v>
      </c>
      <c r="L1050" s="5037"/>
      <c r="N1050" s="413"/>
      <c r="O1050" s="2112"/>
      <c r="P1050" s="443">
        <v>4</v>
      </c>
      <c r="Q1050" s="284">
        <v>0</v>
      </c>
      <c r="S1050" s="2795"/>
      <c r="W1050" s="2392"/>
      <c r="AB1050" s="413"/>
      <c r="AC1050" s="2028"/>
    </row>
    <row r="1051" spans="1:29" ht="12.75" customHeight="1" thickBot="1" x14ac:dyDescent="0.25">
      <c r="A1051" s="2029">
        <v>211</v>
      </c>
      <c r="B1051" s="4995"/>
      <c r="C1051" s="2360" t="s">
        <v>87</v>
      </c>
      <c r="E1051" s="418" t="s">
        <v>1825</v>
      </c>
      <c r="F1051" s="420" t="s">
        <v>1543</v>
      </c>
      <c r="H1051" s="418" t="s">
        <v>2024</v>
      </c>
      <c r="I1051" s="420" t="s">
        <v>1545</v>
      </c>
      <c r="K1051" s="574" t="s">
        <v>2131</v>
      </c>
      <c r="L1051" s="494" t="s">
        <v>1550</v>
      </c>
      <c r="N1051" s="413"/>
      <c r="O1051" s="2112"/>
      <c r="P1051" s="443">
        <v>5</v>
      </c>
      <c r="Q1051" s="284">
        <v>10</v>
      </c>
      <c r="S1051" s="2795"/>
      <c r="W1051" s="2392"/>
      <c r="AB1051" s="413"/>
      <c r="AC1051" s="2028"/>
    </row>
    <row r="1052" spans="1:29" ht="12.75" customHeight="1" x14ac:dyDescent="0.2">
      <c r="A1052" s="2029">
        <v>211</v>
      </c>
      <c r="B1052" s="4995"/>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5"/>
      <c r="AB1052" s="413"/>
      <c r="AC1052" s="2028"/>
    </row>
    <row r="1053" spans="1:29" ht="12.75" customHeight="1" x14ac:dyDescent="0.2">
      <c r="A1053" s="2029">
        <v>211</v>
      </c>
      <c r="B1053" s="4995"/>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5"/>
      <c r="AB1053" s="413"/>
      <c r="AC1053" s="2028"/>
    </row>
    <row r="1054" spans="1:29" ht="12.75" customHeight="1" x14ac:dyDescent="0.2">
      <c r="A1054" s="2029">
        <v>211</v>
      </c>
      <c r="B1054" s="4995"/>
      <c r="C1054" s="2360" t="s">
        <v>90</v>
      </c>
      <c r="E1054" s="569">
        <v>55</v>
      </c>
      <c r="F1054" s="135">
        <f>20+10*Tablas!G414+20*Tablas!G415+30*Tablas!G416+10*H1954</f>
        <v>20</v>
      </c>
      <c r="H1054" s="572" t="s">
        <v>2036</v>
      </c>
      <c r="I1054" s="135">
        <f>Tablas!G426</f>
        <v>0</v>
      </c>
      <c r="K1054" s="443">
        <v>6</v>
      </c>
      <c r="L1054" s="284">
        <v>30</v>
      </c>
      <c r="N1054" s="413"/>
      <c r="O1054" s="2112"/>
      <c r="P1054" s="444">
        <v>8</v>
      </c>
      <c r="Q1054" s="284">
        <v>40</v>
      </c>
      <c r="S1054" s="2795"/>
      <c r="AB1054" s="413"/>
      <c r="AC1054" s="2028"/>
    </row>
    <row r="1055" spans="1:29" ht="12.75" customHeight="1" x14ac:dyDescent="0.2">
      <c r="A1055" s="2029">
        <v>211</v>
      </c>
      <c r="B1055" s="4995"/>
      <c r="C1055" s="2360" t="s">
        <v>91</v>
      </c>
      <c r="E1055" s="569">
        <v>75</v>
      </c>
      <c r="F1055" s="135">
        <f>30+10*Tablas!G414+20*Tablas!G415+30*Tablas!G416+10*H1954</f>
        <v>30</v>
      </c>
      <c r="H1055" s="572" t="s">
        <v>2037</v>
      </c>
      <c r="I1055" s="135">
        <f>Tablas!G427</f>
        <v>0</v>
      </c>
      <c r="K1055" s="443">
        <v>10</v>
      </c>
      <c r="L1055" s="284">
        <v>40</v>
      </c>
      <c r="N1055" s="413"/>
      <c r="O1055" s="2112"/>
      <c r="P1055" s="444">
        <v>9</v>
      </c>
      <c r="Q1055" s="284">
        <v>50</v>
      </c>
      <c r="S1055" s="2795"/>
      <c r="AB1055" s="413"/>
      <c r="AC1055" s="2028"/>
    </row>
    <row r="1056" spans="1:29" ht="12.75" customHeight="1" x14ac:dyDescent="0.2">
      <c r="A1056" s="2029">
        <v>211</v>
      </c>
      <c r="B1056" s="4995"/>
      <c r="C1056" s="2360" t="s">
        <v>92</v>
      </c>
      <c r="E1056" s="569">
        <v>95</v>
      </c>
      <c r="F1056" s="135">
        <f>40+10*Tablas!G414+20*Tablas!G415+30*Tablas!G416+10*H1954</f>
        <v>40</v>
      </c>
      <c r="H1056" s="572" t="s">
        <v>2039</v>
      </c>
      <c r="I1056" s="135">
        <f>Tablas!G428</f>
        <v>0</v>
      </c>
      <c r="K1056" s="443">
        <v>15</v>
      </c>
      <c r="L1056" s="284">
        <v>50</v>
      </c>
      <c r="N1056" s="413"/>
      <c r="O1056" s="2112"/>
      <c r="P1056" s="443">
        <v>10</v>
      </c>
      <c r="Q1056" s="284">
        <v>60</v>
      </c>
      <c r="S1056" s="2795"/>
      <c r="AB1056" s="413"/>
      <c r="AC1056" s="2028"/>
    </row>
    <row r="1057" spans="1:29" ht="12.75" customHeight="1" x14ac:dyDescent="0.2">
      <c r="A1057" s="2029">
        <v>211</v>
      </c>
      <c r="B1057" s="4995"/>
      <c r="C1057" s="2360" t="s">
        <v>2536</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5"/>
      <c r="AB1057" s="413"/>
      <c r="AC1057" s="2028"/>
    </row>
    <row r="1058" spans="1:29" ht="12.75" customHeight="1" thickBot="1" x14ac:dyDescent="0.25">
      <c r="A1058" s="2029">
        <v>211</v>
      </c>
      <c r="B1058" s="4995"/>
      <c r="C1058" s="2361" t="s">
        <v>93</v>
      </c>
      <c r="E1058" s="569">
        <v>135</v>
      </c>
      <c r="F1058" s="135">
        <f>60+10*Tablas!G414+20*Tablas!G415+30*Tablas!G416+10*H1954</f>
        <v>60</v>
      </c>
      <c r="H1058" s="572" t="s">
        <v>2041</v>
      </c>
      <c r="I1058" s="135">
        <f>Tablas!G429</f>
        <v>0</v>
      </c>
      <c r="K1058" s="444">
        <v>28</v>
      </c>
      <c r="L1058" s="284">
        <v>70</v>
      </c>
      <c r="N1058" s="413"/>
      <c r="O1058" s="2112"/>
      <c r="P1058" s="444">
        <v>12</v>
      </c>
      <c r="Q1058" s="284">
        <v>80</v>
      </c>
      <c r="S1058" s="2795"/>
      <c r="AB1058" s="413"/>
      <c r="AC1058" s="2028"/>
    </row>
    <row r="1059" spans="1:29" ht="12.75" customHeight="1" x14ac:dyDescent="0.2">
      <c r="A1059" s="2029">
        <v>211</v>
      </c>
      <c r="B1059" s="4995"/>
      <c r="E1059" s="569">
        <v>155</v>
      </c>
      <c r="F1059" s="135">
        <f>70+10*Tablas!G414+20*Tablas!G415+30*Tablas!G416+10*H1954</f>
        <v>70</v>
      </c>
      <c r="H1059" s="572" t="s">
        <v>2029</v>
      </c>
      <c r="I1059" s="135">
        <f>Tablas!G420</f>
        <v>0</v>
      </c>
      <c r="K1059" s="444">
        <v>36</v>
      </c>
      <c r="L1059" s="284">
        <v>80</v>
      </c>
      <c r="N1059" s="413"/>
      <c r="O1059" s="2112"/>
      <c r="P1059" s="444">
        <v>13</v>
      </c>
      <c r="Q1059" s="284">
        <v>90</v>
      </c>
      <c r="S1059" s="2795"/>
      <c r="AB1059" s="413"/>
      <c r="AC1059" s="2028"/>
    </row>
    <row r="1060" spans="1:29" ht="12.75" customHeight="1" x14ac:dyDescent="0.2">
      <c r="A1060" s="2029">
        <v>211</v>
      </c>
      <c r="B1060" s="4995"/>
      <c r="E1060" s="569">
        <v>185</v>
      </c>
      <c r="F1060" s="135">
        <f>80+10*Tablas!G414+20*Tablas!G415+30*Tablas!G416+10*H1954</f>
        <v>80</v>
      </c>
      <c r="H1060" s="572" t="s">
        <v>2043</v>
      </c>
      <c r="I1060" s="135">
        <f>Tablas!G430</f>
        <v>0</v>
      </c>
      <c r="K1060" s="444">
        <v>45</v>
      </c>
      <c r="L1060" s="284">
        <v>90</v>
      </c>
      <c r="N1060" s="413"/>
      <c r="O1060" s="2112"/>
      <c r="P1060" s="444">
        <v>14</v>
      </c>
      <c r="Q1060" s="284">
        <v>100</v>
      </c>
      <c r="S1060" s="2795"/>
      <c r="AB1060" s="413"/>
      <c r="AC1060" s="2028"/>
    </row>
    <row r="1061" spans="1:29" ht="12.75" customHeight="1" thickBot="1" x14ac:dyDescent="0.25">
      <c r="A1061" s="2029">
        <v>211</v>
      </c>
      <c r="B1061" s="4995"/>
      <c r="E1061" s="570">
        <v>200</v>
      </c>
      <c r="F1061" s="481">
        <f>90+10*Tablas!G414+20*Tablas!G415+30*Tablas!G416+10*H1954</f>
        <v>90</v>
      </c>
      <c r="H1061" s="572" t="s">
        <v>2030</v>
      </c>
      <c r="I1061" s="135">
        <f>Tablas!G421</f>
        <v>0</v>
      </c>
      <c r="K1061" s="446">
        <v>55</v>
      </c>
      <c r="L1061" s="431">
        <v>100</v>
      </c>
      <c r="N1061" s="413"/>
      <c r="O1061" s="2112"/>
      <c r="P1061" s="443">
        <v>15</v>
      </c>
      <c r="Q1061" s="284">
        <v>120</v>
      </c>
      <c r="S1061" s="2795"/>
      <c r="AB1061" s="413"/>
      <c r="AC1061" s="2028"/>
    </row>
    <row r="1062" spans="1:29" ht="12.75" customHeight="1" x14ac:dyDescent="0.2">
      <c r="A1062" s="2029">
        <v>211</v>
      </c>
      <c r="B1062" s="4995"/>
      <c r="E1062" s="2039"/>
      <c r="H1062" s="572" t="s">
        <v>2034</v>
      </c>
      <c r="I1062" s="135">
        <f>Tablas!G425</f>
        <v>0</v>
      </c>
      <c r="N1062" s="413"/>
      <c r="O1062" s="2112"/>
      <c r="P1062" s="443">
        <v>16</v>
      </c>
      <c r="Q1062" s="284">
        <v>140</v>
      </c>
      <c r="S1062" s="2795"/>
      <c r="AB1062" s="413"/>
      <c r="AC1062" s="2028"/>
    </row>
    <row r="1063" spans="1:29" ht="12.75" customHeight="1" thickBot="1" x14ac:dyDescent="0.25">
      <c r="A1063" s="2029">
        <v>211</v>
      </c>
      <c r="B1063" s="4995"/>
      <c r="H1063" s="573" t="s">
        <v>1546</v>
      </c>
      <c r="I1063" s="481">
        <f>Tablas!G431</f>
        <v>0</v>
      </c>
      <c r="N1063" s="413"/>
      <c r="O1063" s="2112"/>
      <c r="P1063" s="444">
        <v>17</v>
      </c>
      <c r="Q1063" s="284">
        <v>160</v>
      </c>
      <c r="S1063" s="2795"/>
      <c r="AB1063" s="413"/>
      <c r="AC1063" s="2028"/>
    </row>
    <row r="1064" spans="1:29" ht="12.75" customHeight="1" x14ac:dyDescent="0.2">
      <c r="A1064" s="2029">
        <v>211</v>
      </c>
      <c r="B1064" s="4995"/>
      <c r="H1064" s="413"/>
      <c r="I1064" s="1761"/>
      <c r="N1064" s="413"/>
      <c r="O1064" s="2112"/>
      <c r="P1064" s="444">
        <v>18</v>
      </c>
      <c r="Q1064" s="284">
        <v>180</v>
      </c>
      <c r="S1064" s="2795"/>
      <c r="AB1064" s="413"/>
      <c r="AC1064" s="2028"/>
    </row>
    <row r="1065" spans="1:29" ht="12.75" customHeight="1" x14ac:dyDescent="0.2">
      <c r="A1065" s="2029">
        <v>211</v>
      </c>
      <c r="B1065" s="4995"/>
      <c r="H1065" s="413"/>
      <c r="N1065" s="413"/>
      <c r="O1065" s="2112"/>
      <c r="P1065" s="445">
        <v>19</v>
      </c>
      <c r="Q1065" s="284">
        <v>200</v>
      </c>
      <c r="S1065" s="2795"/>
      <c r="AB1065" s="413"/>
      <c r="AC1065" s="2028"/>
    </row>
    <row r="1066" spans="1:29" ht="12.75" customHeight="1" thickBot="1" x14ac:dyDescent="0.25">
      <c r="A1066" s="2029">
        <v>211</v>
      </c>
      <c r="B1066" s="4995"/>
      <c r="H1066" s="413"/>
      <c r="I1066" s="1761"/>
      <c r="N1066" s="413"/>
      <c r="O1066" s="2112"/>
      <c r="P1066" s="446">
        <v>20</v>
      </c>
      <c r="Q1066" s="431">
        <v>220</v>
      </c>
      <c r="S1066" s="2795"/>
      <c r="AB1066" s="413"/>
      <c r="AC1066" s="2028"/>
    </row>
    <row r="1067" spans="1:29" ht="12.75" customHeight="1" x14ac:dyDescent="0.2">
      <c r="A1067" s="2029">
        <v>211</v>
      </c>
      <c r="B1067" s="4995"/>
      <c r="H1067" s="413"/>
      <c r="I1067" s="1761"/>
      <c r="N1067" s="413"/>
      <c r="O1067" s="2112"/>
      <c r="AB1067" s="413"/>
      <c r="AC1067" s="2028"/>
    </row>
    <row r="1068" spans="1:29" ht="12.75" customHeight="1" thickBot="1" x14ac:dyDescent="0.25">
      <c r="A1068" s="2029">
        <v>211</v>
      </c>
      <c r="B1068" s="4995"/>
      <c r="H1068" s="413"/>
      <c r="I1068" s="1761"/>
      <c r="N1068" s="413"/>
      <c r="O1068" s="2112"/>
      <c r="AB1068" s="413"/>
      <c r="AC1068" s="2028"/>
    </row>
    <row r="1069" spans="1:29" ht="12.75" customHeight="1" thickBot="1" x14ac:dyDescent="0.25">
      <c r="A1069" s="2029">
        <v>211</v>
      </c>
      <c r="B1069" s="4995"/>
      <c r="C1069" s="5035" t="s">
        <v>30</v>
      </c>
      <c r="D1069" s="5035"/>
      <c r="E1069" s="5035"/>
      <c r="F1069" s="5035"/>
      <c r="G1069" s="5035"/>
      <c r="H1069" s="5035"/>
      <c r="I1069" s="5035"/>
      <c r="J1069" s="5035"/>
      <c r="K1069" s="5035"/>
      <c r="L1069" s="5035"/>
      <c r="M1069" s="5035"/>
      <c r="N1069" s="5035"/>
      <c r="O1069" s="5035"/>
      <c r="P1069" s="5035"/>
      <c r="Q1069" s="5035"/>
      <c r="R1069" s="5035"/>
      <c r="S1069" s="5035"/>
      <c r="T1069" s="5035"/>
      <c r="U1069" s="5035"/>
      <c r="V1069" s="5035"/>
      <c r="W1069" s="5035"/>
      <c r="AB1069" s="413"/>
      <c r="AC1069" s="2028"/>
    </row>
    <row r="1070" spans="1:29" ht="12.75" customHeight="1" x14ac:dyDescent="0.2">
      <c r="A1070" s="2029">
        <v>211</v>
      </c>
      <c r="B1070" s="4995"/>
      <c r="C1070" s="5035"/>
      <c r="D1070" s="5035"/>
      <c r="E1070" s="5035"/>
      <c r="F1070" s="5035"/>
      <c r="G1070" s="5035"/>
      <c r="H1070" s="5035"/>
      <c r="I1070" s="5035"/>
      <c r="J1070" s="5035"/>
      <c r="K1070" s="5035"/>
      <c r="L1070" s="5035"/>
      <c r="M1070" s="5035"/>
      <c r="N1070" s="5035"/>
      <c r="O1070" s="5035"/>
      <c r="P1070" s="5035"/>
      <c r="Q1070" s="5035"/>
      <c r="R1070" s="5035"/>
      <c r="S1070" s="5035"/>
      <c r="T1070" s="5035"/>
      <c r="U1070" s="5035"/>
      <c r="V1070" s="5035"/>
      <c r="W1070" s="5035"/>
      <c r="AB1070" s="413"/>
      <c r="AC1070" s="2028"/>
    </row>
    <row r="1071" spans="1:29" ht="12.75" customHeight="1" thickBot="1" x14ac:dyDescent="0.25">
      <c r="A1071" s="2029">
        <v>211</v>
      </c>
      <c r="B1071" s="4995"/>
      <c r="C1071" s="5038" t="s">
        <v>31</v>
      </c>
      <c r="D1071" s="5038"/>
      <c r="E1071" s="456" t="s">
        <v>1804</v>
      </c>
      <c r="F1071" s="456" t="s">
        <v>2181</v>
      </c>
      <c r="G1071" s="577" t="s">
        <v>1866</v>
      </c>
      <c r="H1071" s="578"/>
      <c r="I1071" s="1831"/>
      <c r="J1071" s="5105" t="s">
        <v>1512</v>
      </c>
      <c r="K1071" s="5105"/>
      <c r="L1071" s="5105"/>
      <c r="M1071" s="5105"/>
      <c r="N1071" s="5105"/>
      <c r="O1071" s="5105"/>
      <c r="P1071" s="5105"/>
      <c r="Q1071" s="5105"/>
      <c r="R1071" s="5083" t="s">
        <v>1300</v>
      </c>
      <c r="S1071" s="5083"/>
      <c r="T1071" s="5083"/>
      <c r="U1071" s="5083"/>
      <c r="V1071" s="5083"/>
      <c r="W1071" s="5083"/>
      <c r="AB1071" s="413"/>
      <c r="AC1071" s="2028"/>
    </row>
    <row r="1072" spans="1:29" ht="12.75" customHeight="1" x14ac:dyDescent="0.2">
      <c r="A1072" s="2029">
        <v>211</v>
      </c>
      <c r="B1072" s="4995"/>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4995"/>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4995"/>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4995"/>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4995"/>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4995"/>
      <c r="C1077" s="65"/>
      <c r="D1077" s="559" t="s">
        <v>2956</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4995"/>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4995"/>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4995"/>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4995"/>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4995"/>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4995"/>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4995"/>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4995"/>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4995"/>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4995"/>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4995"/>
      <c r="H1088" s="413"/>
      <c r="I1088" s="1761"/>
      <c r="N1088" s="413"/>
      <c r="O1088" s="2112"/>
      <c r="AB1088" s="413"/>
      <c r="AC1088" s="2028"/>
    </row>
    <row r="1089" spans="1:36" ht="12.75" customHeight="1" x14ac:dyDescent="0.2">
      <c r="A1089" s="2029">
        <v>211</v>
      </c>
      <c r="B1089" s="4995"/>
      <c r="C1089" s="5058" t="s">
        <v>80</v>
      </c>
      <c r="D1089" s="5059"/>
      <c r="E1089" s="5059"/>
      <c r="F1089" s="5059"/>
      <c r="G1089" s="5059"/>
      <c r="H1089" s="5059"/>
      <c r="I1089" s="5059"/>
      <c r="J1089" s="5060"/>
      <c r="K1089" s="5117" t="s">
        <v>9015</v>
      </c>
      <c r="M1089" s="3125" t="s">
        <v>9016</v>
      </c>
      <c r="N1089" s="3126"/>
      <c r="O1089" s="3126"/>
      <c r="P1089" s="3126"/>
      <c r="Q1089" s="3126"/>
      <c r="R1089" s="3126"/>
      <c r="S1089" s="3126"/>
      <c r="T1089" s="3126"/>
      <c r="U1089" s="3126"/>
      <c r="V1089" s="3126"/>
      <c r="W1089" s="3127"/>
      <c r="AB1089" s="413"/>
      <c r="AC1089" s="2028"/>
    </row>
    <row r="1090" spans="1:36" ht="12.75" customHeight="1" thickBot="1" x14ac:dyDescent="0.25">
      <c r="A1090" s="2029">
        <v>211</v>
      </c>
      <c r="B1090" s="4995"/>
      <c r="C1090" s="5087" t="s">
        <v>9017</v>
      </c>
      <c r="D1090" s="5088"/>
      <c r="E1090" s="5088"/>
      <c r="F1090" s="5088"/>
      <c r="G1090" s="5088"/>
      <c r="H1090" s="5088"/>
      <c r="I1090" s="5088"/>
      <c r="J1090" s="5089"/>
      <c r="K1090" s="5117"/>
      <c r="M1090" s="1955" t="s">
        <v>2029</v>
      </c>
      <c r="N1090" s="1953" t="s">
        <v>2030</v>
      </c>
      <c r="O1090" s="2129" t="s">
        <v>2036</v>
      </c>
      <c r="P1090" s="1953" t="s">
        <v>2037</v>
      </c>
      <c r="Q1090" s="1953" t="s">
        <v>1938</v>
      </c>
      <c r="R1090" s="1953" t="s">
        <v>1934</v>
      </c>
      <c r="S1090" s="1953" t="s">
        <v>2034</v>
      </c>
      <c r="T1090" s="1953" t="s">
        <v>1931</v>
      </c>
      <c r="U1090" s="1953" t="s">
        <v>2039</v>
      </c>
      <c r="V1090" s="1953" t="s">
        <v>2041</v>
      </c>
      <c r="W1090" s="1956" t="s">
        <v>2043</v>
      </c>
      <c r="AB1090" s="413"/>
      <c r="AC1090" s="2028"/>
    </row>
    <row r="1091" spans="1:36" ht="12.75" customHeight="1" x14ac:dyDescent="0.2">
      <c r="A1091" s="2029">
        <v>211</v>
      </c>
      <c r="B1091" s="4995"/>
      <c r="C1091" s="582" t="s">
        <v>81</v>
      </c>
      <c r="D1091" s="583" t="s">
        <v>2043</v>
      </c>
      <c r="E1091" s="583" t="s">
        <v>2041</v>
      </c>
      <c r="F1091" s="583" t="s">
        <v>2039</v>
      </c>
      <c r="G1091" s="583" t="s">
        <v>1938</v>
      </c>
      <c r="H1091" s="583" t="s">
        <v>2034</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4995"/>
      <c r="C1092" s="584" t="s">
        <v>82</v>
      </c>
      <c r="D1092" s="583" t="s">
        <v>2039</v>
      </c>
      <c r="E1092" s="583" t="s">
        <v>1931</v>
      </c>
      <c r="F1092" s="583" t="s">
        <v>2029</v>
      </c>
      <c r="G1092" s="583" t="s">
        <v>1934</v>
      </c>
      <c r="H1092" s="583" t="s">
        <v>2041</v>
      </c>
      <c r="I1092" s="516" t="s">
        <v>2036</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4995"/>
      <c r="C1093" s="584" t="s">
        <v>83</v>
      </c>
      <c r="D1093" s="583" t="s">
        <v>2043</v>
      </c>
      <c r="E1093" s="583" t="s">
        <v>2037</v>
      </c>
      <c r="F1093" s="583" t="s">
        <v>2039</v>
      </c>
      <c r="G1093" s="583" t="s">
        <v>1938</v>
      </c>
      <c r="H1093" s="583" t="s">
        <v>1931</v>
      </c>
      <c r="I1093" s="516" t="s">
        <v>2034</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4995"/>
      <c r="C1094" s="584" t="s">
        <v>84</v>
      </c>
      <c r="D1094" s="583" t="s">
        <v>2036</v>
      </c>
      <c r="E1094" s="583" t="s">
        <v>2029</v>
      </c>
      <c r="F1094" s="583" t="s">
        <v>2039</v>
      </c>
      <c r="G1094" s="583" t="s">
        <v>2034</v>
      </c>
      <c r="H1094" s="583" t="s">
        <v>1934</v>
      </c>
      <c r="I1094" s="516" t="s">
        <v>1931</v>
      </c>
      <c r="J1094" s="447" t="s">
        <v>2041</v>
      </c>
      <c r="K1094" s="2110" t="str">
        <f t="shared" si="94"/>
        <v>CreaciónLuzEsenciaTierraAguaAireIlusión</v>
      </c>
      <c r="M1094" s="1957" t="s">
        <v>86</v>
      </c>
      <c r="N1094" s="1954" t="s">
        <v>84</v>
      </c>
      <c r="O1094" s="2130" t="s">
        <v>87</v>
      </c>
      <c r="P1094" s="1954" t="s">
        <v>88</v>
      </c>
      <c r="Q1094" s="1954" t="s">
        <v>2536</v>
      </c>
      <c r="R1094" s="1954" t="s">
        <v>87</v>
      </c>
      <c r="S1094" s="1954" t="s">
        <v>87</v>
      </c>
      <c r="T1094" s="1954" t="s">
        <v>87</v>
      </c>
      <c r="U1094" s="1954" t="s">
        <v>90</v>
      </c>
      <c r="V1094" s="1954" t="s">
        <v>91</v>
      </c>
      <c r="W1094" s="1958" t="s">
        <v>89</v>
      </c>
      <c r="AB1094" s="413"/>
      <c r="AC1094" s="2028"/>
    </row>
    <row r="1095" spans="1:36" ht="12.75" customHeight="1" x14ac:dyDescent="0.2">
      <c r="A1095" s="2029">
        <v>211</v>
      </c>
      <c r="B1095" s="4995"/>
      <c r="C1095" s="584" t="s">
        <v>85</v>
      </c>
      <c r="D1095" s="583" t="s">
        <v>2037</v>
      </c>
      <c r="E1095" s="583" t="s">
        <v>1938</v>
      </c>
      <c r="F1095" s="583" t="s">
        <v>2034</v>
      </c>
      <c r="G1095" s="583" t="s">
        <v>2043</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2536</v>
      </c>
      <c r="W1095" s="1958" t="s">
        <v>90</v>
      </c>
      <c r="AB1095" s="413"/>
      <c r="AC1095" s="2028"/>
    </row>
    <row r="1096" spans="1:36" ht="12.75" customHeight="1" x14ac:dyDescent="0.2">
      <c r="A1096" s="2029">
        <v>211</v>
      </c>
      <c r="B1096" s="4995"/>
      <c r="C1096" s="584" t="s">
        <v>86</v>
      </c>
      <c r="D1096" s="583" t="s">
        <v>2036</v>
      </c>
      <c r="E1096" s="583" t="s">
        <v>2037</v>
      </c>
      <c r="F1096" s="583" t="s">
        <v>2039</v>
      </c>
      <c r="G1096" s="583" t="s">
        <v>1938</v>
      </c>
      <c r="H1096" s="583" t="s">
        <v>2043</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4995"/>
      <c r="C1097" s="584" t="s">
        <v>87</v>
      </c>
      <c r="D1097" s="583" t="s">
        <v>2037</v>
      </c>
      <c r="E1097" s="583" t="s">
        <v>2030</v>
      </c>
      <c r="F1097" s="583" t="s">
        <v>1938</v>
      </c>
      <c r="G1097" s="583" t="s">
        <v>2043</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2536</v>
      </c>
      <c r="AB1097" s="413"/>
      <c r="AC1097" s="2028"/>
    </row>
    <row r="1098" spans="1:36" ht="12.75" customHeight="1" x14ac:dyDescent="0.2">
      <c r="A1098" s="2029">
        <v>211</v>
      </c>
      <c r="B1098" s="4995"/>
      <c r="C1098" s="584" t="s">
        <v>88</v>
      </c>
      <c r="D1098" s="583" t="s">
        <v>2029</v>
      </c>
      <c r="E1098" s="583" t="s">
        <v>2039</v>
      </c>
      <c r="F1098" s="583" t="s">
        <v>2041</v>
      </c>
      <c r="G1098" s="583" t="s">
        <v>2034</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2536</v>
      </c>
      <c r="U1098" s="1876"/>
      <c r="V1098" s="1876"/>
      <c r="W1098" s="1958" t="s">
        <v>93</v>
      </c>
      <c r="AB1098" s="413"/>
      <c r="AC1098" s="2028"/>
    </row>
    <row r="1099" spans="1:36" ht="12.75" customHeight="1" x14ac:dyDescent="0.2">
      <c r="A1099" s="2029">
        <v>211</v>
      </c>
      <c r="B1099" s="4995"/>
      <c r="C1099" s="584" t="s">
        <v>89</v>
      </c>
      <c r="D1099" s="583" t="s">
        <v>2037</v>
      </c>
      <c r="E1099" s="583" t="s">
        <v>2034</v>
      </c>
      <c r="F1099" s="583" t="s">
        <v>1938</v>
      </c>
      <c r="G1099" s="583" t="s">
        <v>2041</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4995"/>
      <c r="C1100" s="584" t="s">
        <v>90</v>
      </c>
      <c r="D1100" s="583" t="s">
        <v>2029</v>
      </c>
      <c r="E1100" s="583" t="s">
        <v>2041</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4995"/>
      <c r="C1101" s="584" t="s">
        <v>91</v>
      </c>
      <c r="D1101" s="583" t="s">
        <v>2036</v>
      </c>
      <c r="E1101" s="583" t="s">
        <v>2037</v>
      </c>
      <c r="F1101" s="583" t="s">
        <v>1934</v>
      </c>
      <c r="G1101" s="583" t="s">
        <v>2034</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4995"/>
      <c r="C1102" s="584" t="s">
        <v>92</v>
      </c>
      <c r="D1102" s="583" t="s">
        <v>2043</v>
      </c>
      <c r="E1102" s="583" t="s">
        <v>1934</v>
      </c>
      <c r="F1102" s="583" t="s">
        <v>2034</v>
      </c>
      <c r="G1102" s="583" t="s">
        <v>1938</v>
      </c>
      <c r="H1102" s="583" t="s">
        <v>1931</v>
      </c>
      <c r="I1102" s="516" t="s">
        <v>2039</v>
      </c>
      <c r="J1102" s="447" t="s">
        <v>2041</v>
      </c>
      <c r="K1102" s="2110" t="str">
        <f t="shared" si="94"/>
        <v>NigromanciaAguaTierraFuegoAireEsenciaIlusión</v>
      </c>
      <c r="M1102" s="1959"/>
      <c r="N1102" s="1954" t="s">
        <v>2536</v>
      </c>
      <c r="O1102" s="2131"/>
      <c r="P1102" s="1876"/>
      <c r="Q1102" s="1876"/>
      <c r="R1102" s="1876"/>
      <c r="S1102" s="1876"/>
      <c r="T1102" s="1876"/>
      <c r="U1102" s="1876"/>
      <c r="V1102" s="1876"/>
      <c r="W1102" s="1877"/>
      <c r="AB1102" s="413"/>
      <c r="AC1102" s="2028"/>
    </row>
    <row r="1103" spans="1:36" ht="12.75" customHeight="1" x14ac:dyDescent="0.2">
      <c r="A1103" s="2029">
        <v>211</v>
      </c>
      <c r="B1103" s="4995"/>
      <c r="C1103" s="584" t="s">
        <v>2536</v>
      </c>
      <c r="D1103" s="583" t="s">
        <v>2029</v>
      </c>
      <c r="E1103" s="583" t="s">
        <v>2039</v>
      </c>
      <c r="F1103" s="583" t="s">
        <v>1934</v>
      </c>
      <c r="G1103" s="583" t="s">
        <v>2036</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4995"/>
      <c r="C1104" s="585" t="s">
        <v>93</v>
      </c>
      <c r="D1104" s="586" t="s">
        <v>2029</v>
      </c>
      <c r="E1104" s="586" t="s">
        <v>2036</v>
      </c>
      <c r="F1104" s="586" t="s">
        <v>2034</v>
      </c>
      <c r="G1104" s="586" t="s">
        <v>1938</v>
      </c>
      <c r="H1104" s="586" t="s">
        <v>2039</v>
      </c>
      <c r="I1104" s="518" t="s">
        <v>2041</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4995"/>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4995"/>
      <c r="H1106" s="413"/>
      <c r="I1106" s="1761"/>
      <c r="M1106" s="413" t="s">
        <v>2030</v>
      </c>
      <c r="N1106" s="1954" t="s">
        <v>2029</v>
      </c>
      <c r="O1106" s="2112" t="s">
        <v>2037</v>
      </c>
      <c r="P1106" s="413" t="s">
        <v>1934</v>
      </c>
      <c r="Q1106" s="413" t="s">
        <v>1938</v>
      </c>
      <c r="R1106" s="413" t="s">
        <v>1938</v>
      </c>
      <c r="S1106" s="413" t="s">
        <v>1931</v>
      </c>
      <c r="T1106" s="413" t="s">
        <v>2034</v>
      </c>
      <c r="U1106" s="413" t="s">
        <v>2041</v>
      </c>
      <c r="V1106" s="413" t="s">
        <v>2039</v>
      </c>
      <c r="AB1106" s="413"/>
      <c r="AC1106" s="2028"/>
    </row>
    <row r="1107" spans="1:29" ht="12.75" customHeight="1" x14ac:dyDescent="0.2">
      <c r="A1107" s="2029">
        <v>211</v>
      </c>
      <c r="B1107" s="4995"/>
      <c r="H1107" s="413"/>
      <c r="I1107" s="1761"/>
      <c r="N1107" s="413"/>
      <c r="O1107" s="2112"/>
      <c r="AB1107" s="413"/>
      <c r="AC1107" s="2028"/>
    </row>
    <row r="1108" spans="1:29" ht="12.75" customHeight="1" thickBot="1" x14ac:dyDescent="0.25">
      <c r="A1108" s="2029">
        <v>211</v>
      </c>
      <c r="B1108" s="4995"/>
      <c r="H1108" s="413"/>
      <c r="I1108" s="1761"/>
      <c r="N1108" s="413"/>
      <c r="O1108" s="2112"/>
      <c r="AB1108" s="413"/>
      <c r="AC1108" s="2795"/>
    </row>
    <row r="1109" spans="1:29" ht="12.75" customHeight="1" thickBot="1" x14ac:dyDescent="0.25">
      <c r="A1109" s="2029">
        <v>211</v>
      </c>
      <c r="B1109" s="4995"/>
      <c r="C1109" s="3475" t="s">
        <v>2124</v>
      </c>
      <c r="D1109" s="3476"/>
      <c r="E1109" s="3476"/>
      <c r="F1109" s="3476"/>
      <c r="G1109" s="3476"/>
      <c r="H1109" s="3476"/>
      <c r="I1109" s="3476"/>
      <c r="J1109" s="3476"/>
      <c r="K1109" s="3476"/>
      <c r="L1109" s="3476"/>
      <c r="M1109" s="3476"/>
      <c r="N1109" s="3477"/>
      <c r="P1109" s="3169" t="s">
        <v>98</v>
      </c>
      <c r="Q1109" s="3169"/>
      <c r="R1109" s="3169"/>
      <c r="S1109" s="3169"/>
      <c r="T1109" s="3169"/>
      <c r="U1109" s="3169"/>
      <c r="V1109" s="3169"/>
      <c r="W1109" s="3169"/>
      <c r="AB1109" s="413"/>
      <c r="AC1109" s="2795"/>
    </row>
    <row r="1110" spans="1:29" ht="12.75" customHeight="1" thickBot="1" x14ac:dyDescent="0.25">
      <c r="A1110" s="2029">
        <v>211</v>
      </c>
      <c r="B1110" s="4995"/>
      <c r="C1110" s="5061"/>
      <c r="D1110" s="5062"/>
      <c r="E1110" s="5062"/>
      <c r="F1110" s="5062"/>
      <c r="G1110" s="5062"/>
      <c r="H1110" s="5062"/>
      <c r="I1110" s="5062"/>
      <c r="J1110" s="5062"/>
      <c r="K1110" s="5062"/>
      <c r="L1110" s="5062"/>
      <c r="M1110" s="5062"/>
      <c r="N1110" s="5063"/>
      <c r="P1110" s="3169"/>
      <c r="Q1110" s="3169"/>
      <c r="R1110" s="3169"/>
      <c r="S1110" s="3169"/>
      <c r="T1110" s="3169"/>
      <c r="U1110" s="3169"/>
      <c r="V1110" s="3169"/>
      <c r="W1110" s="3169"/>
      <c r="AB1110" s="413"/>
      <c r="AC1110" s="2795"/>
    </row>
    <row r="1111" spans="1:29" ht="12.75" customHeight="1" x14ac:dyDescent="0.2">
      <c r="A1111" s="2029">
        <v>211</v>
      </c>
      <c r="B1111" s="4995"/>
      <c r="C1111" s="1799"/>
      <c r="D1111" s="2841" t="s">
        <v>113</v>
      </c>
      <c r="E1111" s="2864"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5"/>
    </row>
    <row r="1112" spans="1:29" ht="12.75" customHeight="1" x14ac:dyDescent="0.2">
      <c r="A1112" s="2029">
        <v>211</v>
      </c>
      <c r="B1112" s="4995"/>
      <c r="C1112" s="1799"/>
      <c r="D1112" s="2841" t="s">
        <v>105</v>
      </c>
      <c r="E1112" s="2864"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5"/>
    </row>
    <row r="1113" spans="1:29" ht="12.75" customHeight="1" x14ac:dyDescent="0.2">
      <c r="A1113" s="2029">
        <v>211</v>
      </c>
      <c r="B1113" s="4995"/>
      <c r="C1113" s="1799"/>
      <c r="D1113" s="2841" t="s">
        <v>108</v>
      </c>
      <c r="E1113" s="2864"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5"/>
    </row>
    <row r="1114" spans="1:29" ht="12.75" customHeight="1" x14ac:dyDescent="0.2">
      <c r="A1114" s="2029">
        <v>211</v>
      </c>
      <c r="B1114" s="4995"/>
      <c r="C1114" s="1799"/>
      <c r="D1114" s="2841" t="s">
        <v>114</v>
      </c>
      <c r="E1114" s="2864"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5"/>
    </row>
    <row r="1115" spans="1:29" ht="12.75" customHeight="1" x14ac:dyDescent="0.2">
      <c r="A1115" s="2029">
        <v>211</v>
      </c>
      <c r="B1115" s="4995"/>
      <c r="C1115" s="1799"/>
      <c r="D1115" s="2841" t="s">
        <v>117</v>
      </c>
      <c r="E1115" s="2864"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5"/>
    </row>
    <row r="1116" spans="1:29" ht="12.75" customHeight="1" x14ac:dyDescent="0.2">
      <c r="A1116" s="2029">
        <v>211</v>
      </c>
      <c r="B1116" s="4995"/>
      <c r="C1116" s="1799"/>
      <c r="D1116" s="2841" t="s">
        <v>107</v>
      </c>
      <c r="E1116" s="2864"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5"/>
    </row>
    <row r="1117" spans="1:29" ht="12.75" customHeight="1" x14ac:dyDescent="0.2">
      <c r="A1117" s="2029">
        <v>211</v>
      </c>
      <c r="B1117" s="4995"/>
      <c r="C1117" s="1799"/>
      <c r="D1117" s="2841" t="s">
        <v>2029</v>
      </c>
      <c r="E1117" s="2864"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5"/>
    </row>
    <row r="1118" spans="1:29" ht="12.75" customHeight="1" x14ac:dyDescent="0.2">
      <c r="A1118" s="2029">
        <v>211</v>
      </c>
      <c r="B1118" s="4995"/>
      <c r="C1118" s="1799"/>
      <c r="D1118" s="2841" t="s">
        <v>103</v>
      </c>
      <c r="E1118" s="2864"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5"/>
    </row>
    <row r="1119" spans="1:29" ht="12.75" customHeight="1" x14ac:dyDescent="0.2">
      <c r="A1119" s="2029">
        <v>211</v>
      </c>
      <c r="B1119" s="4995"/>
      <c r="C1119" s="1799"/>
      <c r="D1119" s="2841" t="s">
        <v>111</v>
      </c>
      <c r="E1119" s="2864"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5"/>
    </row>
    <row r="1120" spans="1:29" ht="12.75" customHeight="1" x14ac:dyDescent="0.2">
      <c r="A1120" s="2029">
        <v>211</v>
      </c>
      <c r="B1120" s="4995"/>
      <c r="C1120" s="1799"/>
      <c r="D1120" s="2841" t="s">
        <v>109</v>
      </c>
      <c r="E1120" s="2864"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5"/>
    </row>
    <row r="1121" spans="1:29" ht="12.75" customHeight="1" x14ac:dyDescent="0.2">
      <c r="A1121" s="2029">
        <v>211</v>
      </c>
      <c r="B1121" s="4995"/>
      <c r="C1121" s="1799"/>
      <c r="D1121" s="2841" t="s">
        <v>99</v>
      </c>
      <c r="E1121" s="2864"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5"/>
    </row>
    <row r="1122" spans="1:29" ht="12.75" customHeight="1" x14ac:dyDescent="0.2">
      <c r="A1122" s="2029">
        <v>211</v>
      </c>
      <c r="B1122" s="4995"/>
      <c r="C1122" s="1799"/>
      <c r="D1122" s="2841" t="s">
        <v>101</v>
      </c>
      <c r="E1122" s="2864"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5"/>
    </row>
    <row r="1123" spans="1:29" ht="12.75" customHeight="1" thickBot="1" x14ac:dyDescent="0.25">
      <c r="A1123" s="2029">
        <v>211</v>
      </c>
      <c r="B1123" s="4995"/>
      <c r="C1123" s="1800"/>
      <c r="D1123" s="2865" t="s">
        <v>116</v>
      </c>
      <c r="E1123" s="2866" t="s">
        <v>102</v>
      </c>
      <c r="F1123" s="1801"/>
      <c r="G1123" s="1801"/>
      <c r="H1123" s="1801"/>
      <c r="I1123" s="2867"/>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5"/>
    </row>
    <row r="1124" spans="1:29" ht="12.75" customHeight="1" x14ac:dyDescent="0.2">
      <c r="A1124" s="2029">
        <v>211</v>
      </c>
      <c r="B1124" s="4995"/>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5"/>
    </row>
    <row r="1125" spans="1:29" ht="12.75" customHeight="1" thickBot="1" x14ac:dyDescent="0.25">
      <c r="A1125" s="2029">
        <v>211</v>
      </c>
      <c r="B1125" s="4995"/>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5"/>
    </row>
    <row r="1126" spans="1:29" ht="12.75" customHeight="1" thickBot="1" x14ac:dyDescent="0.25">
      <c r="A1126" s="2029">
        <v>211</v>
      </c>
      <c r="B1126" s="4995"/>
      <c r="C1126" s="5067" t="s">
        <v>255</v>
      </c>
      <c r="D1126" s="5067"/>
      <c r="E1126" s="5067"/>
      <c r="F1126" s="5067"/>
      <c r="G1126" s="5067"/>
      <c r="H1126" s="413"/>
      <c r="I1126" s="5067" t="s">
        <v>2125</v>
      </c>
      <c r="J1126" s="5067"/>
      <c r="K1126" s="5067"/>
      <c r="L1126" s="5067"/>
      <c r="M1126" s="5067"/>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5"/>
    </row>
    <row r="1127" spans="1:29" ht="12.75" customHeight="1" x14ac:dyDescent="0.2">
      <c r="A1127" s="2029">
        <v>211</v>
      </c>
      <c r="B1127" s="4995"/>
      <c r="C1127" s="5067"/>
      <c r="D1127" s="5067"/>
      <c r="E1127" s="5067"/>
      <c r="F1127" s="5067"/>
      <c r="G1127" s="5067"/>
      <c r="H1127" s="413"/>
      <c r="I1127" s="5067"/>
      <c r="J1127" s="5067"/>
      <c r="K1127" s="5067"/>
      <c r="L1127" s="5067"/>
      <c r="M1127" s="5067"/>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5"/>
    </row>
    <row r="1128" spans="1:29" ht="12.75" customHeight="1" thickBot="1" x14ac:dyDescent="0.25">
      <c r="A1128" s="2029">
        <v>211</v>
      </c>
      <c r="B1128" s="4995"/>
      <c r="C1128" s="5068" t="s">
        <v>1754</v>
      </c>
      <c r="D1128" s="5068"/>
      <c r="E1128" s="5068"/>
      <c r="F1128" s="419" t="s">
        <v>2024</v>
      </c>
      <c r="G1128" s="420" t="s">
        <v>1715</v>
      </c>
      <c r="H1128" s="413"/>
      <c r="I1128" s="5068" t="s">
        <v>1754</v>
      </c>
      <c r="J1128" s="5068"/>
      <c r="K1128" s="5068"/>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5"/>
    </row>
    <row r="1129" spans="1:29" ht="12.75" customHeight="1" x14ac:dyDescent="0.2">
      <c r="A1129" s="2029">
        <v>211</v>
      </c>
      <c r="B1129" s="4995"/>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5"/>
    </row>
    <row r="1130" spans="1:29" ht="12.75" customHeight="1" x14ac:dyDescent="0.2">
      <c r="A1130" s="2029">
        <v>211</v>
      </c>
      <c r="B1130" s="4995"/>
      <c r="C1130" s="65"/>
      <c r="D1130" s="68"/>
      <c r="E1130" s="594" t="s">
        <v>241</v>
      </c>
      <c r="F1130" s="601">
        <v>2</v>
      </c>
      <c r="G1130" s="593" t="s">
        <v>2029</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5"/>
    </row>
    <row r="1131" spans="1:29" ht="12.75" customHeight="1" x14ac:dyDescent="0.2">
      <c r="A1131" s="2029">
        <v>211</v>
      </c>
      <c r="B1131" s="4995"/>
      <c r="C1131" s="65"/>
      <c r="D1131" s="68"/>
      <c r="E1131" s="594" t="s">
        <v>256</v>
      </c>
      <c r="F1131" s="601">
        <v>6</v>
      </c>
      <c r="G1131" s="593" t="s">
        <v>2029</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5"/>
    </row>
    <row r="1132" spans="1:29" ht="12.75" customHeight="1" x14ac:dyDescent="0.2">
      <c r="A1132" s="2029">
        <v>211</v>
      </c>
      <c r="B1132" s="4995"/>
      <c r="C1132" s="65"/>
      <c r="D1132" s="68"/>
      <c r="E1132" s="594" t="s">
        <v>257</v>
      </c>
      <c r="F1132" s="601">
        <v>8</v>
      </c>
      <c r="G1132" s="593" t="s">
        <v>2029</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5"/>
    </row>
    <row r="1133" spans="1:29" ht="12.75" customHeight="1" x14ac:dyDescent="0.2">
      <c r="A1133" s="2029">
        <v>211</v>
      </c>
      <c r="B1133" s="4995"/>
      <c r="C1133" s="65"/>
      <c r="D1133" s="68"/>
      <c r="E1133" s="594" t="s">
        <v>258</v>
      </c>
      <c r="F1133" s="601">
        <v>10</v>
      </c>
      <c r="G1133" s="593" t="s">
        <v>2029</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5"/>
    </row>
    <row r="1134" spans="1:29" ht="12.75" customHeight="1" x14ac:dyDescent="0.2">
      <c r="A1134" s="2029">
        <v>211</v>
      </c>
      <c r="B1134" s="4995"/>
      <c r="C1134" s="65"/>
      <c r="D1134" s="68"/>
      <c r="E1134" s="594" t="s">
        <v>259</v>
      </c>
      <c r="F1134" s="601">
        <v>12</v>
      </c>
      <c r="G1134" s="593" t="s">
        <v>2029</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5"/>
    </row>
    <row r="1135" spans="1:29" ht="12.75" customHeight="1" x14ac:dyDescent="0.2">
      <c r="A1135" s="2029">
        <v>211</v>
      </c>
      <c r="B1135" s="4995"/>
      <c r="C1135" s="65"/>
      <c r="D1135" s="68"/>
      <c r="E1135" s="594" t="s">
        <v>260</v>
      </c>
      <c r="F1135" s="601">
        <v>16</v>
      </c>
      <c r="G1135" s="593" t="s">
        <v>2029</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5"/>
    </row>
    <row r="1136" spans="1:29" ht="12.75" customHeight="1" x14ac:dyDescent="0.2">
      <c r="A1136" s="2029">
        <v>211</v>
      </c>
      <c r="B1136" s="4995"/>
      <c r="C1136" s="65"/>
      <c r="D1136" s="68"/>
      <c r="E1136" s="594" t="s">
        <v>261</v>
      </c>
      <c r="F1136" s="601">
        <v>18</v>
      </c>
      <c r="G1136" s="593" t="s">
        <v>2029</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5"/>
    </row>
    <row r="1137" spans="1:29" ht="12.75" customHeight="1" x14ac:dyDescent="0.2">
      <c r="A1137" s="2029">
        <v>211</v>
      </c>
      <c r="B1137" s="4995"/>
      <c r="C1137" s="65"/>
      <c r="D1137" s="68"/>
      <c r="E1137" s="594" t="s">
        <v>262</v>
      </c>
      <c r="F1137" s="601">
        <v>20</v>
      </c>
      <c r="G1137" s="593" t="s">
        <v>2029</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5"/>
    </row>
    <row r="1138" spans="1:29" ht="12.75" customHeight="1" x14ac:dyDescent="0.2">
      <c r="A1138" s="2029">
        <v>211</v>
      </c>
      <c r="B1138" s="4995"/>
      <c r="C1138" s="65"/>
      <c r="D1138" s="68"/>
      <c r="E1138" s="594" t="s">
        <v>263</v>
      </c>
      <c r="F1138" s="601">
        <v>22</v>
      </c>
      <c r="G1138" s="593" t="s">
        <v>2029</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5"/>
    </row>
    <row r="1139" spans="1:29" ht="12.75" customHeight="1" x14ac:dyDescent="0.2">
      <c r="A1139" s="2029">
        <v>211</v>
      </c>
      <c r="B1139" s="4995"/>
      <c r="C1139" s="65"/>
      <c r="D1139" s="68"/>
      <c r="E1139" s="594" t="s">
        <v>244</v>
      </c>
      <c r="F1139" s="601">
        <v>26</v>
      </c>
      <c r="G1139" s="593" t="s">
        <v>2029</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5"/>
    </row>
    <row r="1140" spans="1:29" ht="12.75" customHeight="1" x14ac:dyDescent="0.2">
      <c r="A1140" s="2029">
        <v>211</v>
      </c>
      <c r="B1140" s="4995"/>
      <c r="C1140" s="65"/>
      <c r="D1140" s="68"/>
      <c r="E1140" s="594" t="s">
        <v>264</v>
      </c>
      <c r="F1140" s="601">
        <v>28</v>
      </c>
      <c r="G1140" s="593" t="s">
        <v>2029</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5"/>
    </row>
    <row r="1141" spans="1:29" ht="12.75" customHeight="1" x14ac:dyDescent="0.2">
      <c r="A1141" s="2029">
        <v>211</v>
      </c>
      <c r="B1141" s="4995"/>
      <c r="C1141" s="65"/>
      <c r="D1141" s="68"/>
      <c r="E1141" s="594" t="s">
        <v>265</v>
      </c>
      <c r="F1141" s="601">
        <v>30</v>
      </c>
      <c r="G1141" s="593" t="s">
        <v>2029</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5"/>
    </row>
    <row r="1142" spans="1:29" ht="12.75" customHeight="1" x14ac:dyDescent="0.2">
      <c r="A1142" s="2029">
        <v>211</v>
      </c>
      <c r="B1142" s="4995"/>
      <c r="C1142" s="65"/>
      <c r="D1142" s="68"/>
      <c r="E1142" s="594" t="s">
        <v>266</v>
      </c>
      <c r="F1142" s="601">
        <v>32</v>
      </c>
      <c r="G1142" s="593" t="s">
        <v>2029</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5"/>
    </row>
    <row r="1143" spans="1:29" ht="12.75" customHeight="1" x14ac:dyDescent="0.2">
      <c r="A1143" s="2029">
        <v>211</v>
      </c>
      <c r="B1143" s="4995"/>
      <c r="C1143" s="65"/>
      <c r="D1143" s="68"/>
      <c r="E1143" s="594" t="s">
        <v>267</v>
      </c>
      <c r="F1143" s="601">
        <v>36</v>
      </c>
      <c r="G1143" s="593" t="s">
        <v>2029</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5"/>
    </row>
    <row r="1144" spans="1:29" ht="12.75" customHeight="1" x14ac:dyDescent="0.2">
      <c r="A1144" s="2029">
        <v>211</v>
      </c>
      <c r="B1144" s="4995"/>
      <c r="C1144" s="65"/>
      <c r="D1144" s="68"/>
      <c r="E1144" s="594" t="s">
        <v>268</v>
      </c>
      <c r="F1144" s="601">
        <v>38</v>
      </c>
      <c r="G1144" s="593" t="s">
        <v>2029</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5"/>
    </row>
    <row r="1145" spans="1:29" ht="12.75" customHeight="1" x14ac:dyDescent="0.2">
      <c r="A1145" s="2029">
        <v>211</v>
      </c>
      <c r="B1145" s="4995"/>
      <c r="C1145" s="65"/>
      <c r="D1145" s="68"/>
      <c r="E1145" s="594" t="s">
        <v>269</v>
      </c>
      <c r="F1145" s="601">
        <v>40</v>
      </c>
      <c r="G1145" s="593" t="s">
        <v>2029</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5"/>
    </row>
    <row r="1146" spans="1:29" ht="12.75" customHeight="1" x14ac:dyDescent="0.2">
      <c r="A1146" s="2029">
        <v>211</v>
      </c>
      <c r="B1146" s="4995"/>
      <c r="C1146" s="65"/>
      <c r="D1146" s="68"/>
      <c r="E1146" s="594" t="s">
        <v>270</v>
      </c>
      <c r="F1146" s="601">
        <v>42</v>
      </c>
      <c r="G1146" s="593" t="s">
        <v>2029</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5"/>
    </row>
    <row r="1147" spans="1:29" ht="12.75" customHeight="1" x14ac:dyDescent="0.2">
      <c r="A1147" s="2029">
        <v>211</v>
      </c>
      <c r="B1147" s="4995"/>
      <c r="C1147" s="65"/>
      <c r="D1147" s="68"/>
      <c r="E1147" s="594" t="s">
        <v>271</v>
      </c>
      <c r="F1147" s="601">
        <v>46</v>
      </c>
      <c r="G1147" s="593" t="s">
        <v>2029</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5"/>
    </row>
    <row r="1148" spans="1:29" ht="12.75" customHeight="1" x14ac:dyDescent="0.2">
      <c r="A1148" s="2029">
        <v>211</v>
      </c>
      <c r="B1148" s="4995"/>
      <c r="C1148" s="65"/>
      <c r="D1148" s="68"/>
      <c r="E1148" s="594" t="s">
        <v>272</v>
      </c>
      <c r="F1148" s="601">
        <v>48</v>
      </c>
      <c r="G1148" s="593" t="s">
        <v>2029</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5"/>
    </row>
    <row r="1149" spans="1:29" ht="12.75" customHeight="1" x14ac:dyDescent="0.2">
      <c r="A1149" s="2029">
        <v>211</v>
      </c>
      <c r="B1149" s="4995"/>
      <c r="C1149" s="65"/>
      <c r="D1149" s="68"/>
      <c r="E1149" s="594" t="s">
        <v>273</v>
      </c>
      <c r="F1149" s="601">
        <v>50</v>
      </c>
      <c r="G1149" s="593" t="s">
        <v>2029</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5"/>
    </row>
    <row r="1150" spans="1:29" ht="12.75" customHeight="1" x14ac:dyDescent="0.2">
      <c r="A1150" s="2029">
        <v>211</v>
      </c>
      <c r="B1150" s="4995"/>
      <c r="C1150" s="65"/>
      <c r="D1150" s="68"/>
      <c r="E1150" s="594" t="s">
        <v>274</v>
      </c>
      <c r="F1150" s="601">
        <v>52</v>
      </c>
      <c r="G1150" s="593" t="s">
        <v>2029</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5"/>
    </row>
    <row r="1151" spans="1:29" ht="12.75" customHeight="1" x14ac:dyDescent="0.2">
      <c r="A1151" s="2029">
        <v>211</v>
      </c>
      <c r="B1151" s="4995"/>
      <c r="C1151" s="65"/>
      <c r="D1151" s="68"/>
      <c r="E1151" s="594" t="s">
        <v>275</v>
      </c>
      <c r="F1151" s="601">
        <v>56</v>
      </c>
      <c r="G1151" s="593" t="s">
        <v>2029</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5"/>
    </row>
    <row r="1152" spans="1:29" ht="12.75" customHeight="1" thickBot="1" x14ac:dyDescent="0.25">
      <c r="A1152" s="2029">
        <v>211</v>
      </c>
      <c r="B1152" s="4995"/>
      <c r="C1152" s="65"/>
      <c r="D1152" s="68"/>
      <c r="E1152" s="594" t="s">
        <v>276</v>
      </c>
      <c r="F1152" s="601">
        <v>58</v>
      </c>
      <c r="G1152" s="593" t="s">
        <v>2029</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5"/>
    </row>
    <row r="1153" spans="1:29" ht="12.75" customHeight="1" thickBot="1" x14ac:dyDescent="0.25">
      <c r="A1153" s="2029">
        <v>211</v>
      </c>
      <c r="B1153" s="4995"/>
      <c r="C1153" s="65"/>
      <c r="D1153" s="68"/>
      <c r="E1153" s="594" t="s">
        <v>277</v>
      </c>
      <c r="F1153" s="601">
        <v>60</v>
      </c>
      <c r="G1153" s="593" t="s">
        <v>2029</v>
      </c>
      <c r="H1153" s="413"/>
      <c r="I1153" s="65"/>
      <c r="J1153" s="68"/>
      <c r="K1153" s="594" t="s">
        <v>144</v>
      </c>
      <c r="L1153" s="595" t="s">
        <v>101</v>
      </c>
      <c r="M1153" s="593">
        <v>2</v>
      </c>
      <c r="N1153" s="413"/>
      <c r="T1153" s="2028"/>
      <c r="AB1153" s="413"/>
      <c r="AC1153" s="2795"/>
    </row>
    <row r="1154" spans="1:29" ht="12.75" customHeight="1" thickBot="1" x14ac:dyDescent="0.25">
      <c r="A1154" s="2029">
        <v>211</v>
      </c>
      <c r="B1154" s="4995"/>
      <c r="C1154" s="65"/>
      <c r="D1154" s="68"/>
      <c r="E1154" s="594" t="s">
        <v>278</v>
      </c>
      <c r="F1154" s="601">
        <v>62</v>
      </c>
      <c r="G1154" s="593" t="s">
        <v>2029</v>
      </c>
      <c r="H1154" s="413"/>
      <c r="I1154" s="65"/>
      <c r="J1154" s="68"/>
      <c r="K1154" s="594" t="s">
        <v>145</v>
      </c>
      <c r="L1154" s="595" t="s">
        <v>101</v>
      </c>
      <c r="M1154" s="593">
        <v>2</v>
      </c>
      <c r="N1154" s="413"/>
      <c r="P1154" s="5067" t="s">
        <v>918</v>
      </c>
      <c r="Q1154" s="5067"/>
      <c r="R1154" s="5067"/>
      <c r="S1154" s="5067"/>
      <c r="T1154" s="5067"/>
      <c r="AB1154" s="413"/>
      <c r="AC1154" s="2795"/>
    </row>
    <row r="1155" spans="1:29" ht="12.75" customHeight="1" x14ac:dyDescent="0.2">
      <c r="A1155" s="2029">
        <v>211</v>
      </c>
      <c r="B1155" s="4995"/>
      <c r="C1155" s="65"/>
      <c r="D1155" s="68"/>
      <c r="E1155" s="594" t="s">
        <v>279</v>
      </c>
      <c r="F1155" s="601">
        <v>66</v>
      </c>
      <c r="G1155" s="593" t="s">
        <v>2029</v>
      </c>
      <c r="H1155" s="413"/>
      <c r="I1155" s="65"/>
      <c r="J1155" s="68"/>
      <c r="K1155" s="594" t="s">
        <v>146</v>
      </c>
      <c r="L1155" s="595" t="s">
        <v>101</v>
      </c>
      <c r="M1155" s="593">
        <v>2</v>
      </c>
      <c r="N1155" s="413"/>
      <c r="P1155" s="5067"/>
      <c r="Q1155" s="5067"/>
      <c r="R1155" s="5067"/>
      <c r="S1155" s="5067"/>
      <c r="T1155" s="5067"/>
      <c r="AB1155" s="413"/>
      <c r="AC1155" s="2795"/>
    </row>
    <row r="1156" spans="1:29" ht="12.75" customHeight="1" thickBot="1" x14ac:dyDescent="0.25">
      <c r="A1156" s="2029">
        <v>211</v>
      </c>
      <c r="B1156" s="4995"/>
      <c r="C1156" s="65"/>
      <c r="D1156" s="68"/>
      <c r="E1156" s="594" t="s">
        <v>280</v>
      </c>
      <c r="F1156" s="601">
        <v>68</v>
      </c>
      <c r="G1156" s="593" t="s">
        <v>2029</v>
      </c>
      <c r="H1156" s="413"/>
      <c r="I1156" s="65"/>
      <c r="J1156" s="68"/>
      <c r="K1156" s="594" t="s">
        <v>147</v>
      </c>
      <c r="L1156" s="595" t="s">
        <v>101</v>
      </c>
      <c r="M1156" s="593">
        <v>2</v>
      </c>
      <c r="N1156" s="413"/>
      <c r="P1156" s="5068" t="s">
        <v>1754</v>
      </c>
      <c r="Q1156" s="5068"/>
      <c r="R1156" s="5068"/>
      <c r="S1156" s="419" t="s">
        <v>1668</v>
      </c>
      <c r="T1156" s="420" t="s">
        <v>1824</v>
      </c>
      <c r="AB1156" s="413"/>
      <c r="AC1156" s="2795"/>
    </row>
    <row r="1157" spans="1:29" ht="12.75" customHeight="1" x14ac:dyDescent="0.2">
      <c r="A1157" s="2029">
        <v>211</v>
      </c>
      <c r="B1157" s="4995"/>
      <c r="C1157" s="65"/>
      <c r="D1157" s="68"/>
      <c r="E1157" s="594" t="s">
        <v>281</v>
      </c>
      <c r="F1157" s="601">
        <v>70</v>
      </c>
      <c r="G1157" s="593" t="s">
        <v>2029</v>
      </c>
      <c r="H1157" s="413"/>
      <c r="I1157" s="65"/>
      <c r="J1157" s="68"/>
      <c r="K1157" s="594" t="s">
        <v>148</v>
      </c>
      <c r="L1157" s="595" t="s">
        <v>101</v>
      </c>
      <c r="M1157" s="593">
        <v>3</v>
      </c>
      <c r="N1157" s="413"/>
      <c r="P1157" s="1766" t="str">
        <f t="shared" ref="P1157:P1201" si="97">VLOOKUP(A1,$Q$1157:$R$1201,2,0)</f>
        <v>&gt; ARCANOS</v>
      </c>
      <c r="Q1157" s="2453">
        <f t="shared" ref="Q1157:Q1201" si="98">COUNTIF($R$1157:$R$1201,"&lt;="&amp;R1157)</f>
        <v>1</v>
      </c>
      <c r="R1157" s="591" t="s">
        <v>919</v>
      </c>
      <c r="S1157" s="604"/>
      <c r="T1157" s="593"/>
      <c r="AB1157" s="413"/>
      <c r="AC1157" s="2795"/>
    </row>
    <row r="1158" spans="1:29" ht="12.75" customHeight="1" x14ac:dyDescent="0.2">
      <c r="A1158" s="2029">
        <v>211</v>
      </c>
      <c r="B1158" s="4995"/>
      <c r="C1158" s="65"/>
      <c r="D1158" s="68"/>
      <c r="E1158" s="594" t="s">
        <v>282</v>
      </c>
      <c r="F1158" s="601">
        <v>72</v>
      </c>
      <c r="G1158" s="593" t="s">
        <v>2029</v>
      </c>
      <c r="H1158" s="413"/>
      <c r="I1158" s="65"/>
      <c r="J1158" s="68"/>
      <c r="K1158" s="594" t="s">
        <v>149</v>
      </c>
      <c r="L1158" s="595" t="s">
        <v>101</v>
      </c>
      <c r="M1158" s="593">
        <v>3</v>
      </c>
      <c r="N1158" s="413"/>
      <c r="P1158" s="1766" t="str">
        <f t="shared" si="97"/>
        <v>El Carro</v>
      </c>
      <c r="Q1158" s="2453">
        <f t="shared" si="98"/>
        <v>16</v>
      </c>
      <c r="R1158" s="594" t="s">
        <v>920</v>
      </c>
      <c r="S1158" s="605">
        <v>120</v>
      </c>
      <c r="T1158" s="593">
        <v>100</v>
      </c>
      <c r="AB1158" s="413"/>
      <c r="AC1158" s="2795"/>
    </row>
    <row r="1159" spans="1:29" ht="12.75" customHeight="1" x14ac:dyDescent="0.2">
      <c r="A1159" s="2029">
        <v>211</v>
      </c>
      <c r="B1159" s="4995"/>
      <c r="C1159" s="65"/>
      <c r="D1159" s="68"/>
      <c r="E1159" s="594" t="s">
        <v>283</v>
      </c>
      <c r="F1159" s="601">
        <v>76</v>
      </c>
      <c r="G1159" s="593" t="s">
        <v>2029</v>
      </c>
      <c r="H1159" s="413"/>
      <c r="I1159" s="65"/>
      <c r="J1159" s="68"/>
      <c r="K1159" s="594" t="s">
        <v>150</v>
      </c>
      <c r="L1159" s="595" t="s">
        <v>101</v>
      </c>
      <c r="M1159" s="593">
        <v>3</v>
      </c>
      <c r="N1159" s="413"/>
      <c r="P1159" s="1766" t="str">
        <f t="shared" si="97"/>
        <v>El Carro invertido</v>
      </c>
      <c r="Q1159" s="2453">
        <f t="shared" si="98"/>
        <v>12</v>
      </c>
      <c r="R1159" s="421" t="s">
        <v>921</v>
      </c>
      <c r="S1159" s="263">
        <v>130</v>
      </c>
      <c r="T1159" s="284">
        <v>100</v>
      </c>
      <c r="AB1159" s="413"/>
      <c r="AC1159" s="2795"/>
    </row>
    <row r="1160" spans="1:29" ht="12.75" customHeight="1" x14ac:dyDescent="0.2">
      <c r="A1160" s="2029">
        <v>211</v>
      </c>
      <c r="B1160" s="4995"/>
      <c r="C1160" s="65"/>
      <c r="D1160" s="68"/>
      <c r="E1160" s="594" t="s">
        <v>284</v>
      </c>
      <c r="F1160" s="601">
        <v>78</v>
      </c>
      <c r="G1160" s="593" t="s">
        <v>2029</v>
      </c>
      <c r="H1160" s="413"/>
      <c r="I1160" s="65"/>
      <c r="J1160" s="68"/>
      <c r="K1160" s="594" t="s">
        <v>151</v>
      </c>
      <c r="L1160" s="595"/>
      <c r="M1160" s="593"/>
      <c r="N1160" s="413"/>
      <c r="P1160" s="1766" t="str">
        <f t="shared" si="97"/>
        <v>El Colgado</v>
      </c>
      <c r="Q1160" s="2453">
        <f t="shared" si="98"/>
        <v>38</v>
      </c>
      <c r="R1160" s="421" t="s">
        <v>922</v>
      </c>
      <c r="S1160" s="263">
        <v>140</v>
      </c>
      <c r="T1160" s="284">
        <v>150</v>
      </c>
      <c r="AB1160" s="413"/>
      <c r="AC1160" s="2795"/>
    </row>
    <row r="1161" spans="1:29" ht="12.75" customHeight="1" x14ac:dyDescent="0.2">
      <c r="A1161" s="2029">
        <v>211</v>
      </c>
      <c r="B1161" s="4995"/>
      <c r="C1161" s="65"/>
      <c r="D1161" s="68"/>
      <c r="E1161" s="594" t="s">
        <v>285</v>
      </c>
      <c r="F1161" s="601">
        <v>80</v>
      </c>
      <c r="G1161" s="593" t="s">
        <v>2029</v>
      </c>
      <c r="H1161" s="413"/>
      <c r="I1161" s="65"/>
      <c r="J1161" s="68"/>
      <c r="K1161" s="594" t="s">
        <v>152</v>
      </c>
      <c r="L1161" s="595" t="s">
        <v>103</v>
      </c>
      <c r="M1161" s="593">
        <v>1</v>
      </c>
      <c r="N1161" s="413"/>
      <c r="P1161" s="1766" t="str">
        <f t="shared" si="97"/>
        <v>El Colgado invertido</v>
      </c>
      <c r="Q1161" s="2453">
        <f t="shared" si="98"/>
        <v>24</v>
      </c>
      <c r="R1161" s="421" t="s">
        <v>923</v>
      </c>
      <c r="S1161" s="263">
        <v>150</v>
      </c>
      <c r="T1161" s="284">
        <v>200</v>
      </c>
      <c r="AB1161" s="413"/>
      <c r="AC1161" s="2795"/>
    </row>
    <row r="1162" spans="1:29" ht="12.75" customHeight="1" x14ac:dyDescent="0.2">
      <c r="A1162" s="2029">
        <v>211</v>
      </c>
      <c r="B1162" s="4995"/>
      <c r="C1162" s="65"/>
      <c r="D1162" s="68"/>
      <c r="E1162" s="594" t="s">
        <v>286</v>
      </c>
      <c r="F1162" s="601">
        <v>82</v>
      </c>
      <c r="G1162" s="593" t="s">
        <v>2029</v>
      </c>
      <c r="H1162" s="413"/>
      <c r="I1162" s="65"/>
      <c r="J1162" s="68"/>
      <c r="K1162" s="594" t="s">
        <v>153</v>
      </c>
      <c r="L1162" s="595" t="s">
        <v>103</v>
      </c>
      <c r="M1162" s="593">
        <v>1</v>
      </c>
      <c r="N1162" s="413"/>
      <c r="P1162" s="1766" t="str">
        <f t="shared" si="97"/>
        <v>El Diablo</v>
      </c>
      <c r="Q1162" s="2453">
        <f t="shared" si="98"/>
        <v>8</v>
      </c>
      <c r="R1162" s="421" t="s">
        <v>924</v>
      </c>
      <c r="S1162" s="263">
        <v>160</v>
      </c>
      <c r="T1162" s="284">
        <v>200</v>
      </c>
      <c r="AB1162" s="413"/>
      <c r="AC1162" s="2795"/>
    </row>
    <row r="1163" spans="1:29" ht="12.75" customHeight="1" x14ac:dyDescent="0.2">
      <c r="A1163" s="2029">
        <v>211</v>
      </c>
      <c r="B1163" s="4995"/>
      <c r="C1163" s="65"/>
      <c r="D1163" s="68"/>
      <c r="E1163" s="594" t="s">
        <v>287</v>
      </c>
      <c r="F1163" s="601">
        <v>86</v>
      </c>
      <c r="G1163" s="593" t="s">
        <v>2029</v>
      </c>
      <c r="H1163" s="413"/>
      <c r="I1163" s="65"/>
      <c r="J1163" s="68"/>
      <c r="K1163" s="594" t="s">
        <v>154</v>
      </c>
      <c r="L1163" s="595" t="s">
        <v>103</v>
      </c>
      <c r="M1163" s="593">
        <v>1</v>
      </c>
      <c r="N1163" s="413"/>
      <c r="P1163" s="1766" t="str">
        <f t="shared" si="97"/>
        <v>El Diablo invertido</v>
      </c>
      <c r="Q1163" s="2453">
        <f t="shared" si="98"/>
        <v>22</v>
      </c>
      <c r="R1163" s="421" t="s">
        <v>925</v>
      </c>
      <c r="S1163" s="263">
        <v>170</v>
      </c>
      <c r="T1163" s="284">
        <v>250</v>
      </c>
      <c r="AB1163" s="413"/>
      <c r="AC1163" s="2795"/>
    </row>
    <row r="1164" spans="1:29" ht="12.75" customHeight="1" x14ac:dyDescent="0.2">
      <c r="A1164" s="2029">
        <v>211</v>
      </c>
      <c r="B1164" s="4995"/>
      <c r="C1164" s="65"/>
      <c r="D1164" s="68"/>
      <c r="E1164" s="594" t="s">
        <v>288</v>
      </c>
      <c r="F1164" s="601">
        <v>88</v>
      </c>
      <c r="G1164" s="593" t="s">
        <v>2029</v>
      </c>
      <c r="H1164" s="413"/>
      <c r="I1164" s="65"/>
      <c r="J1164" s="68"/>
      <c r="K1164" s="594" t="s">
        <v>155</v>
      </c>
      <c r="L1164" s="595" t="s">
        <v>103</v>
      </c>
      <c r="M1164" s="593">
        <v>1</v>
      </c>
      <c r="N1164" s="413"/>
      <c r="P1164" s="1766" t="str">
        <f t="shared" si="97"/>
        <v>El Emperador</v>
      </c>
      <c r="Q1164" s="2453">
        <f t="shared" si="98"/>
        <v>44</v>
      </c>
      <c r="R1164" s="421" t="s">
        <v>926</v>
      </c>
      <c r="S1164" s="263">
        <v>180</v>
      </c>
      <c r="T1164" s="284">
        <v>250</v>
      </c>
      <c r="AB1164" s="413"/>
      <c r="AC1164" s="2795"/>
    </row>
    <row r="1165" spans="1:29" ht="12.75" customHeight="1" x14ac:dyDescent="0.2">
      <c r="A1165" s="2029">
        <v>211</v>
      </c>
      <c r="B1165" s="4995"/>
      <c r="C1165" s="65"/>
      <c r="D1165" s="68"/>
      <c r="E1165" s="594" t="s">
        <v>289</v>
      </c>
      <c r="F1165" s="601">
        <v>90</v>
      </c>
      <c r="G1165" s="593" t="s">
        <v>2029</v>
      </c>
      <c r="H1165" s="413"/>
      <c r="I1165" s="65"/>
      <c r="J1165" s="68"/>
      <c r="K1165" s="594" t="s">
        <v>156</v>
      </c>
      <c r="L1165" s="595" t="s">
        <v>103</v>
      </c>
      <c r="M1165" s="593">
        <v>2</v>
      </c>
      <c r="N1165" s="413"/>
      <c r="P1165" s="1766" t="str">
        <f t="shared" si="97"/>
        <v>El Emperador invertido</v>
      </c>
      <c r="Q1165" s="2453">
        <f t="shared" si="98"/>
        <v>2</v>
      </c>
      <c r="R1165" s="421" t="s">
        <v>927</v>
      </c>
      <c r="S1165" s="263">
        <v>190</v>
      </c>
      <c r="T1165" s="284">
        <v>300</v>
      </c>
      <c r="AB1165" s="413"/>
      <c r="AC1165" s="2795"/>
    </row>
    <row r="1166" spans="1:29" ht="12.75" customHeight="1" x14ac:dyDescent="0.2">
      <c r="A1166" s="2029">
        <v>211</v>
      </c>
      <c r="B1166" s="4995"/>
      <c r="C1166" s="65"/>
      <c r="D1166" s="68"/>
      <c r="E1166" s="594" t="s">
        <v>290</v>
      </c>
      <c r="F1166" s="601">
        <v>92</v>
      </c>
      <c r="G1166" s="593" t="s">
        <v>2029</v>
      </c>
      <c r="H1166" s="413"/>
      <c r="I1166" s="65"/>
      <c r="J1166" s="68"/>
      <c r="K1166" s="594" t="s">
        <v>157</v>
      </c>
      <c r="L1166" s="595" t="s">
        <v>103</v>
      </c>
      <c r="M1166" s="593">
        <v>2</v>
      </c>
      <c r="N1166" s="413"/>
      <c r="P1166" s="1766" t="str">
        <f t="shared" si="97"/>
        <v>El Ermitaño</v>
      </c>
      <c r="Q1166" s="2453">
        <f t="shared" si="98"/>
        <v>28</v>
      </c>
      <c r="R1166" s="421" t="s">
        <v>928</v>
      </c>
      <c r="S1166" s="263">
        <v>200</v>
      </c>
      <c r="T1166" s="284">
        <v>350</v>
      </c>
      <c r="AB1166" s="413"/>
      <c r="AC1166" s="2795"/>
    </row>
    <row r="1167" spans="1:29" ht="12.75" customHeight="1" x14ac:dyDescent="0.2">
      <c r="A1167" s="2029">
        <v>211</v>
      </c>
      <c r="B1167" s="4995"/>
      <c r="C1167" s="65"/>
      <c r="D1167" s="68"/>
      <c r="E1167" s="594" t="s">
        <v>291</v>
      </c>
      <c r="F1167" s="601">
        <v>96</v>
      </c>
      <c r="G1167" s="593" t="s">
        <v>2029</v>
      </c>
      <c r="H1167" s="413"/>
      <c r="I1167" s="65"/>
      <c r="J1167" s="68"/>
      <c r="K1167" s="594" t="s">
        <v>158</v>
      </c>
      <c r="L1167" s="595" t="s">
        <v>103</v>
      </c>
      <c r="M1167" s="593">
        <v>2</v>
      </c>
      <c r="N1167" s="413"/>
      <c r="P1167" s="1766" t="str">
        <f t="shared" si="97"/>
        <v>El Ermitaño invertido</v>
      </c>
      <c r="Q1167" s="2453">
        <f t="shared" si="98"/>
        <v>10</v>
      </c>
      <c r="R1167" s="421" t="s">
        <v>929</v>
      </c>
      <c r="S1167" s="263">
        <v>220</v>
      </c>
      <c r="T1167" s="284">
        <v>400</v>
      </c>
      <c r="AB1167" s="413"/>
      <c r="AC1167" s="2795"/>
    </row>
    <row r="1168" spans="1:29" ht="12.75" customHeight="1" x14ac:dyDescent="0.2">
      <c r="A1168" s="2029">
        <v>211</v>
      </c>
      <c r="B1168" s="4995"/>
      <c r="C1168" s="65"/>
      <c r="D1168" s="68"/>
      <c r="E1168" s="594" t="s">
        <v>292</v>
      </c>
      <c r="F1168" s="601">
        <v>98</v>
      </c>
      <c r="G1168" s="593" t="s">
        <v>2029</v>
      </c>
      <c r="H1168" s="413"/>
      <c r="I1168" s="65"/>
      <c r="J1168" s="68"/>
      <c r="K1168" s="594" t="s">
        <v>159</v>
      </c>
      <c r="L1168" s="595" t="s">
        <v>103</v>
      </c>
      <c r="M1168" s="593">
        <v>2</v>
      </c>
      <c r="N1168" s="413"/>
      <c r="P1168" s="1766" t="str">
        <f t="shared" si="97"/>
        <v>El Hierofante</v>
      </c>
      <c r="Q1168" s="2453">
        <f t="shared" si="98"/>
        <v>36</v>
      </c>
      <c r="R1168" s="421" t="s">
        <v>930</v>
      </c>
      <c r="S1168" s="263">
        <v>240</v>
      </c>
      <c r="T1168" s="284">
        <v>450</v>
      </c>
      <c r="AB1168" s="413"/>
      <c r="AC1168" s="2795"/>
    </row>
    <row r="1169" spans="1:29" ht="12.75" customHeight="1" x14ac:dyDescent="0.2">
      <c r="A1169" s="2029">
        <v>211</v>
      </c>
      <c r="B1169" s="4995"/>
      <c r="C1169" s="65"/>
      <c r="D1169" s="68"/>
      <c r="E1169" s="594" t="s">
        <v>293</v>
      </c>
      <c r="F1169" s="601">
        <v>100</v>
      </c>
      <c r="G1169" s="593" t="s">
        <v>2029</v>
      </c>
      <c r="H1169" s="413"/>
      <c r="I1169" s="65"/>
      <c r="J1169" s="68"/>
      <c r="K1169" s="594" t="s">
        <v>160</v>
      </c>
      <c r="L1169" s="595" t="s">
        <v>103</v>
      </c>
      <c r="M1169" s="593">
        <v>3</v>
      </c>
      <c r="N1169" s="413"/>
      <c r="P1169" s="1766" t="str">
        <f t="shared" si="97"/>
        <v>El Hierofante invertido</v>
      </c>
      <c r="Q1169" s="2453">
        <f t="shared" si="98"/>
        <v>30</v>
      </c>
      <c r="R1169" s="421" t="s">
        <v>931</v>
      </c>
      <c r="S1169" s="263">
        <v>260</v>
      </c>
      <c r="T1169" s="284">
        <v>500</v>
      </c>
      <c r="AB1169" s="413"/>
      <c r="AC1169" s="2795"/>
    </row>
    <row r="1170" spans="1:29" ht="12.75" customHeight="1" x14ac:dyDescent="0.2">
      <c r="A1170" s="2029">
        <v>211</v>
      </c>
      <c r="B1170" s="4995"/>
      <c r="C1170" s="65"/>
      <c r="D1170" s="68"/>
      <c r="E1170" s="594" t="s">
        <v>294</v>
      </c>
      <c r="F1170" s="601"/>
      <c r="G1170" s="593"/>
      <c r="H1170" s="413"/>
      <c r="I1170" s="65"/>
      <c r="J1170" s="68"/>
      <c r="K1170" s="594" t="s">
        <v>161</v>
      </c>
      <c r="L1170" s="595" t="s">
        <v>103</v>
      </c>
      <c r="M1170" s="593">
        <v>3</v>
      </c>
      <c r="N1170" s="413"/>
      <c r="P1170" s="1766" t="str">
        <f t="shared" si="97"/>
        <v>El Juicio</v>
      </c>
      <c r="Q1170" s="2453">
        <f t="shared" si="98"/>
        <v>4</v>
      </c>
      <c r="R1170" s="421" t="s">
        <v>932</v>
      </c>
      <c r="S1170" s="263">
        <v>280</v>
      </c>
      <c r="T1170" s="284">
        <v>550</v>
      </c>
      <c r="AB1170" s="413"/>
      <c r="AC1170" s="2795"/>
    </row>
    <row r="1171" spans="1:29" ht="12.75" customHeight="1" x14ac:dyDescent="0.2">
      <c r="A1171" s="2029">
        <v>211</v>
      </c>
      <c r="B1171" s="4995"/>
      <c r="C1171" s="65"/>
      <c r="D1171" s="68"/>
      <c r="E1171" s="594" t="s">
        <v>295</v>
      </c>
      <c r="F1171" s="601">
        <v>2</v>
      </c>
      <c r="G1171" s="593" t="s">
        <v>2030</v>
      </c>
      <c r="H1171" s="413"/>
      <c r="I1171" s="65"/>
      <c r="J1171" s="68"/>
      <c r="K1171" s="594" t="s">
        <v>162</v>
      </c>
      <c r="L1171" s="595" t="s">
        <v>103</v>
      </c>
      <c r="M1171" s="593">
        <v>3</v>
      </c>
      <c r="N1171" s="413"/>
      <c r="P1171" s="1766" t="str">
        <f t="shared" si="97"/>
        <v>El Juicio invertido</v>
      </c>
      <c r="Q1171" s="2453">
        <f t="shared" si="98"/>
        <v>34</v>
      </c>
      <c r="R1171" s="421" t="s">
        <v>933</v>
      </c>
      <c r="S1171" s="263">
        <v>300</v>
      </c>
      <c r="T1171" s="284">
        <v>600</v>
      </c>
      <c r="AB1171" s="413"/>
      <c r="AC1171" s="2795"/>
    </row>
    <row r="1172" spans="1:29" ht="12.75" customHeight="1" x14ac:dyDescent="0.2">
      <c r="A1172" s="2029">
        <v>211</v>
      </c>
      <c r="B1172" s="4995"/>
      <c r="C1172" s="65"/>
      <c r="D1172" s="68"/>
      <c r="E1172" s="594" t="s">
        <v>296</v>
      </c>
      <c r="F1172" s="601">
        <v>6</v>
      </c>
      <c r="G1172" s="593" t="s">
        <v>2030</v>
      </c>
      <c r="H1172" s="413"/>
      <c r="I1172" s="65"/>
      <c r="J1172" s="68"/>
      <c r="K1172" s="594" t="s">
        <v>163</v>
      </c>
      <c r="L1172" s="595"/>
      <c r="M1172" s="593"/>
      <c r="N1172" s="413"/>
      <c r="P1172" s="1766" t="str">
        <f t="shared" si="97"/>
        <v>El Loco</v>
      </c>
      <c r="Q1172" s="2453">
        <f t="shared" si="98"/>
        <v>40</v>
      </c>
      <c r="R1172" s="421" t="s">
        <v>934</v>
      </c>
      <c r="S1172" s="263">
        <v>320</v>
      </c>
      <c r="T1172" s="284">
        <v>650</v>
      </c>
      <c r="AB1172" s="413"/>
      <c r="AC1172" s="2795"/>
    </row>
    <row r="1173" spans="1:29" ht="12.75" customHeight="1" x14ac:dyDescent="0.2">
      <c r="A1173" s="2029">
        <v>211</v>
      </c>
      <c r="B1173" s="4995"/>
      <c r="C1173" s="65"/>
      <c r="D1173" s="68"/>
      <c r="E1173" s="594" t="s">
        <v>297</v>
      </c>
      <c r="F1173" s="601">
        <v>8</v>
      </c>
      <c r="G1173" s="593" t="s">
        <v>2030</v>
      </c>
      <c r="H1173" s="413"/>
      <c r="I1173" s="65"/>
      <c r="J1173" s="68"/>
      <c r="K1173" s="594" t="s">
        <v>164</v>
      </c>
      <c r="L1173" s="595" t="s">
        <v>105</v>
      </c>
      <c r="M1173" s="593">
        <v>1</v>
      </c>
      <c r="N1173" s="413"/>
      <c r="P1173" s="1766" t="str">
        <f t="shared" si="97"/>
        <v>El Loco invertido</v>
      </c>
      <c r="Q1173" s="2453">
        <f t="shared" si="98"/>
        <v>6</v>
      </c>
      <c r="R1173" s="421" t="s">
        <v>935</v>
      </c>
      <c r="S1173" s="263">
        <v>340</v>
      </c>
      <c r="T1173" s="284">
        <v>700</v>
      </c>
      <c r="AB1173" s="413"/>
      <c r="AC1173" s="2795"/>
    </row>
    <row r="1174" spans="1:29" ht="12.75" customHeight="1" x14ac:dyDescent="0.2">
      <c r="A1174" s="2029">
        <v>211</v>
      </c>
      <c r="B1174" s="4995"/>
      <c r="C1174" s="65"/>
      <c r="D1174" s="68"/>
      <c r="E1174" s="594" t="s">
        <v>298</v>
      </c>
      <c r="F1174" s="601">
        <v>10</v>
      </c>
      <c r="G1174" s="593" t="s">
        <v>2030</v>
      </c>
      <c r="H1174" s="413"/>
      <c r="I1174" s="65"/>
      <c r="J1174" s="68"/>
      <c r="K1174" s="594" t="s">
        <v>165</v>
      </c>
      <c r="L1174" s="595" t="s">
        <v>105</v>
      </c>
      <c r="M1174" s="593">
        <v>1</v>
      </c>
      <c r="N1174" s="413"/>
      <c r="P1174" s="1766" t="str">
        <f t="shared" si="97"/>
        <v>El Mundo</v>
      </c>
      <c r="Q1174" s="2453">
        <f t="shared" si="98"/>
        <v>42</v>
      </c>
      <c r="R1174" s="421" t="s">
        <v>936</v>
      </c>
      <c r="S1174" s="263">
        <v>360</v>
      </c>
      <c r="T1174" s="284">
        <v>750</v>
      </c>
      <c r="AB1174" s="413"/>
      <c r="AC1174" s="2795"/>
    </row>
    <row r="1175" spans="1:29" ht="12.75" customHeight="1" x14ac:dyDescent="0.2">
      <c r="A1175" s="2029">
        <v>211</v>
      </c>
      <c r="B1175" s="4995"/>
      <c r="C1175" s="65"/>
      <c r="D1175" s="68"/>
      <c r="E1175" s="594" t="s">
        <v>299</v>
      </c>
      <c r="F1175" s="601">
        <v>12</v>
      </c>
      <c r="G1175" s="593" t="s">
        <v>2030</v>
      </c>
      <c r="H1175" s="413"/>
      <c r="I1175" s="65"/>
      <c r="J1175" s="68"/>
      <c r="K1175" s="594" t="s">
        <v>166</v>
      </c>
      <c r="L1175" s="595" t="s">
        <v>105</v>
      </c>
      <c r="M1175" s="593">
        <v>1</v>
      </c>
      <c r="N1175" s="413"/>
      <c r="P1175" s="1766" t="str">
        <f t="shared" si="97"/>
        <v>El Mundo invertido</v>
      </c>
      <c r="Q1175" s="2453">
        <f t="shared" si="98"/>
        <v>26</v>
      </c>
      <c r="R1175" s="421" t="s">
        <v>937</v>
      </c>
      <c r="S1175" s="263">
        <v>380</v>
      </c>
      <c r="T1175" s="284">
        <v>800</v>
      </c>
      <c r="AB1175" s="413"/>
      <c r="AC1175" s="2795"/>
    </row>
    <row r="1176" spans="1:29" ht="12.75" customHeight="1" x14ac:dyDescent="0.2">
      <c r="A1176" s="2029">
        <v>211</v>
      </c>
      <c r="B1176" s="4995"/>
      <c r="C1176" s="65"/>
      <c r="D1176" s="68"/>
      <c r="E1176" s="594" t="s">
        <v>300</v>
      </c>
      <c r="F1176" s="601">
        <v>16</v>
      </c>
      <c r="G1176" s="593" t="s">
        <v>2030</v>
      </c>
      <c r="H1176" s="413"/>
      <c r="I1176" s="65"/>
      <c r="J1176" s="68"/>
      <c r="K1176" s="594" t="s">
        <v>167</v>
      </c>
      <c r="L1176" s="595" t="s">
        <v>105</v>
      </c>
      <c r="M1176" s="593">
        <v>1</v>
      </c>
      <c r="N1176" s="413"/>
      <c r="P1176" s="1766" t="str">
        <f t="shared" si="97"/>
        <v>El Sol</v>
      </c>
      <c r="Q1176" s="2453">
        <f t="shared" si="98"/>
        <v>32</v>
      </c>
      <c r="R1176" s="421" t="s">
        <v>938</v>
      </c>
      <c r="S1176" s="263">
        <v>400</v>
      </c>
      <c r="T1176" s="284">
        <v>850</v>
      </c>
      <c r="AB1176" s="413"/>
      <c r="AC1176" s="2795"/>
    </row>
    <row r="1177" spans="1:29" ht="12.75" customHeight="1" x14ac:dyDescent="0.2">
      <c r="A1177" s="2029">
        <v>211</v>
      </c>
      <c r="B1177" s="4995"/>
      <c r="C1177" s="65"/>
      <c r="D1177" s="68"/>
      <c r="E1177" s="594" t="s">
        <v>301</v>
      </c>
      <c r="F1177" s="601">
        <v>18</v>
      </c>
      <c r="G1177" s="593" t="s">
        <v>2030</v>
      </c>
      <c r="H1177" s="413"/>
      <c r="I1177" s="65"/>
      <c r="J1177" s="68"/>
      <c r="K1177" s="594" t="s">
        <v>168</v>
      </c>
      <c r="L1177" s="595" t="s">
        <v>105</v>
      </c>
      <c r="M1177" s="593">
        <v>1</v>
      </c>
      <c r="N1177" s="413"/>
      <c r="P1177" s="1766" t="str">
        <f t="shared" si="97"/>
        <v>El Sol invertido</v>
      </c>
      <c r="Q1177" s="2453">
        <f t="shared" si="98"/>
        <v>20</v>
      </c>
      <c r="R1177" s="421" t="s">
        <v>939</v>
      </c>
      <c r="S1177" s="263">
        <v>420</v>
      </c>
      <c r="T1177" s="284">
        <v>900</v>
      </c>
      <c r="AB1177" s="413"/>
      <c r="AC1177" s="2795"/>
    </row>
    <row r="1178" spans="1:29" ht="12.75" customHeight="1" x14ac:dyDescent="0.2">
      <c r="A1178" s="2029">
        <v>211</v>
      </c>
      <c r="B1178" s="4995"/>
      <c r="C1178" s="65"/>
      <c r="D1178" s="68"/>
      <c r="E1178" s="594" t="s">
        <v>302</v>
      </c>
      <c r="F1178" s="601">
        <v>20</v>
      </c>
      <c r="G1178" s="593" t="s">
        <v>2030</v>
      </c>
      <c r="H1178" s="413"/>
      <c r="I1178" s="65"/>
      <c r="J1178" s="68"/>
      <c r="K1178" s="594" t="s">
        <v>169</v>
      </c>
      <c r="L1178" s="595" t="s">
        <v>105</v>
      </c>
      <c r="M1178" s="593">
        <v>2</v>
      </c>
      <c r="N1178" s="413"/>
      <c r="P1178" s="1766" t="str">
        <f t="shared" si="97"/>
        <v>El Sumo Sacerdote</v>
      </c>
      <c r="Q1178" s="2453">
        <f t="shared" si="98"/>
        <v>14</v>
      </c>
      <c r="R1178" s="421" t="s">
        <v>940</v>
      </c>
      <c r="S1178" s="263">
        <v>440</v>
      </c>
      <c r="T1178" s="284">
        <v>950</v>
      </c>
      <c r="AB1178" s="413"/>
      <c r="AC1178" s="2795"/>
    </row>
    <row r="1179" spans="1:29" ht="12.75" customHeight="1" x14ac:dyDescent="0.2">
      <c r="A1179" s="2029">
        <v>211</v>
      </c>
      <c r="B1179" s="4995"/>
      <c r="C1179" s="65"/>
      <c r="D1179" s="68"/>
      <c r="E1179" s="594" t="s">
        <v>303</v>
      </c>
      <c r="F1179" s="601">
        <v>22</v>
      </c>
      <c r="G1179" s="593" t="s">
        <v>2030</v>
      </c>
      <c r="H1179" s="413"/>
      <c r="I1179" s="65"/>
      <c r="J1179" s="68"/>
      <c r="K1179" s="594" t="s">
        <v>170</v>
      </c>
      <c r="L1179" s="595" t="s">
        <v>105</v>
      </c>
      <c r="M1179" s="593">
        <v>2</v>
      </c>
      <c r="N1179" s="413"/>
      <c r="P1179" s="1766" t="str">
        <f t="shared" si="97"/>
        <v>El Sumo Sacerdote invertido</v>
      </c>
      <c r="Q1179" s="2453">
        <f t="shared" si="98"/>
        <v>18</v>
      </c>
      <c r="R1179" s="421" t="s">
        <v>941</v>
      </c>
      <c r="S1179" s="263">
        <v>460</v>
      </c>
      <c r="T1179" s="284">
        <v>1000</v>
      </c>
      <c r="AB1179" s="413"/>
      <c r="AC1179" s="2795"/>
    </row>
    <row r="1180" spans="1:29" ht="12.75" customHeight="1" x14ac:dyDescent="0.2">
      <c r="A1180" s="2029">
        <v>211</v>
      </c>
      <c r="B1180" s="4995"/>
      <c r="C1180" s="65"/>
      <c r="D1180" s="68"/>
      <c r="E1180" s="594" t="s">
        <v>304</v>
      </c>
      <c r="F1180" s="601">
        <v>26</v>
      </c>
      <c r="G1180" s="593" t="s">
        <v>2030</v>
      </c>
      <c r="H1180" s="413"/>
      <c r="I1180" s="65"/>
      <c r="J1180" s="68"/>
      <c r="K1180" s="594" t="s">
        <v>171</v>
      </c>
      <c r="L1180" s="595" t="s">
        <v>105</v>
      </c>
      <c r="M1180" s="593">
        <v>2</v>
      </c>
      <c r="N1180" s="413"/>
      <c r="P1180" s="1766" t="str">
        <f t="shared" si="97"/>
        <v>La Emperatriz</v>
      </c>
      <c r="Q1180" s="2453">
        <f t="shared" si="98"/>
        <v>17</v>
      </c>
      <c r="R1180" s="594" t="s">
        <v>942</v>
      </c>
      <c r="S1180" s="263">
        <v>120</v>
      </c>
      <c r="T1180" s="284">
        <v>100</v>
      </c>
      <c r="AB1180" s="413"/>
      <c r="AC1180" s="2795"/>
    </row>
    <row r="1181" spans="1:29" ht="12.75" customHeight="1" x14ac:dyDescent="0.2">
      <c r="A1181" s="2029">
        <v>211</v>
      </c>
      <c r="B1181" s="4995"/>
      <c r="C1181" s="65"/>
      <c r="D1181" s="68"/>
      <c r="E1181" s="594" t="s">
        <v>305</v>
      </c>
      <c r="F1181" s="601">
        <v>28</v>
      </c>
      <c r="G1181" s="593" t="s">
        <v>2030</v>
      </c>
      <c r="H1181" s="413"/>
      <c r="I1181" s="65"/>
      <c r="J1181" s="68"/>
      <c r="K1181" s="594" t="s">
        <v>172</v>
      </c>
      <c r="L1181" s="595" t="s">
        <v>105</v>
      </c>
      <c r="M1181" s="593">
        <v>2</v>
      </c>
      <c r="N1181" s="413"/>
      <c r="P1181" s="1766" t="str">
        <f t="shared" si="97"/>
        <v>La Emperatriz invertida</v>
      </c>
      <c r="Q1181" s="2453">
        <f t="shared" si="98"/>
        <v>13</v>
      </c>
      <c r="R1181" s="421" t="s">
        <v>943</v>
      </c>
      <c r="S1181" s="263">
        <v>130</v>
      </c>
      <c r="T1181" s="284">
        <v>100</v>
      </c>
      <c r="AB1181" s="413"/>
      <c r="AC1181" s="2795"/>
    </row>
    <row r="1182" spans="1:29" ht="12.75" customHeight="1" x14ac:dyDescent="0.2">
      <c r="A1182" s="2029">
        <v>211</v>
      </c>
      <c r="B1182" s="4995"/>
      <c r="C1182" s="65"/>
      <c r="D1182" s="68"/>
      <c r="E1182" s="594" t="s">
        <v>306</v>
      </c>
      <c r="F1182" s="601">
        <v>30</v>
      </c>
      <c r="G1182" s="593" t="s">
        <v>2030</v>
      </c>
      <c r="H1182" s="413"/>
      <c r="I1182" s="65"/>
      <c r="J1182" s="68"/>
      <c r="K1182" s="594" t="s">
        <v>173</v>
      </c>
      <c r="L1182" s="595" t="s">
        <v>105</v>
      </c>
      <c r="M1182" s="593">
        <v>2</v>
      </c>
      <c r="N1182" s="413"/>
      <c r="P1182" s="1766" t="str">
        <f t="shared" si="97"/>
        <v>La Estrella</v>
      </c>
      <c r="Q1182" s="2453">
        <f t="shared" si="98"/>
        <v>39</v>
      </c>
      <c r="R1182" s="421" t="s">
        <v>944</v>
      </c>
      <c r="S1182" s="263">
        <v>140</v>
      </c>
      <c r="T1182" s="284">
        <v>150</v>
      </c>
      <c r="AB1182" s="413"/>
      <c r="AC1182" s="2795"/>
    </row>
    <row r="1183" spans="1:29" ht="12.75" customHeight="1" x14ac:dyDescent="0.2">
      <c r="A1183" s="2029">
        <v>211</v>
      </c>
      <c r="B1183" s="4995"/>
      <c r="C1183" s="65"/>
      <c r="D1183" s="68"/>
      <c r="E1183" s="594" t="s">
        <v>307</v>
      </c>
      <c r="F1183" s="601">
        <v>32</v>
      </c>
      <c r="G1183" s="593" t="s">
        <v>2030</v>
      </c>
      <c r="H1183" s="413"/>
      <c r="I1183" s="65"/>
      <c r="J1183" s="68"/>
      <c r="K1183" s="594" t="s">
        <v>174</v>
      </c>
      <c r="L1183" s="595" t="s">
        <v>105</v>
      </c>
      <c r="M1183" s="593">
        <v>3</v>
      </c>
      <c r="N1183" s="413"/>
      <c r="P1183" s="1766" t="str">
        <f t="shared" si="97"/>
        <v>La Estrella invertida</v>
      </c>
      <c r="Q1183" s="2453">
        <f t="shared" si="98"/>
        <v>25</v>
      </c>
      <c r="R1183" s="421" t="s">
        <v>945</v>
      </c>
      <c r="S1183" s="263">
        <v>150</v>
      </c>
      <c r="T1183" s="284">
        <v>200</v>
      </c>
      <c r="AB1183" s="413"/>
      <c r="AC1183" s="2795"/>
    </row>
    <row r="1184" spans="1:29" ht="12.75" customHeight="1" x14ac:dyDescent="0.2">
      <c r="A1184" s="2029">
        <v>211</v>
      </c>
      <c r="B1184" s="4995"/>
      <c r="C1184" s="65"/>
      <c r="D1184" s="68"/>
      <c r="E1184" s="594" t="s">
        <v>308</v>
      </c>
      <c r="F1184" s="601">
        <v>36</v>
      </c>
      <c r="G1184" s="593" t="s">
        <v>2030</v>
      </c>
      <c r="H1184" s="413"/>
      <c r="I1184" s="65"/>
      <c r="J1184" s="68"/>
      <c r="K1184" s="594" t="s">
        <v>175</v>
      </c>
      <c r="L1184" s="595" t="s">
        <v>105</v>
      </c>
      <c r="M1184" s="593">
        <v>3</v>
      </c>
      <c r="N1184" s="413"/>
      <c r="P1184" s="1766" t="str">
        <f t="shared" si="97"/>
        <v>La Fuerza</v>
      </c>
      <c r="Q1184" s="2453">
        <f t="shared" si="98"/>
        <v>9</v>
      </c>
      <c r="R1184" s="421" t="s">
        <v>946</v>
      </c>
      <c r="S1184" s="263">
        <v>160</v>
      </c>
      <c r="T1184" s="284">
        <v>200</v>
      </c>
      <c r="AB1184" s="413"/>
      <c r="AC1184" s="2795"/>
    </row>
    <row r="1185" spans="1:29" ht="12.75" customHeight="1" x14ac:dyDescent="0.2">
      <c r="A1185" s="2029">
        <v>211</v>
      </c>
      <c r="B1185" s="4995"/>
      <c r="C1185" s="65"/>
      <c r="D1185" s="68"/>
      <c r="E1185" s="594" t="s">
        <v>309</v>
      </c>
      <c r="F1185" s="601">
        <v>38</v>
      </c>
      <c r="G1185" s="593" t="s">
        <v>2030</v>
      </c>
      <c r="H1185" s="413"/>
      <c r="I1185" s="65"/>
      <c r="J1185" s="68"/>
      <c r="K1185" s="594" t="s">
        <v>176</v>
      </c>
      <c r="L1185" s="595" t="s">
        <v>105</v>
      </c>
      <c r="M1185" s="593">
        <v>3</v>
      </c>
      <c r="N1185" s="413"/>
      <c r="P1185" s="1766" t="str">
        <f t="shared" si="97"/>
        <v>La Fuerza invertida</v>
      </c>
      <c r="Q1185" s="2453">
        <f t="shared" si="98"/>
        <v>23</v>
      </c>
      <c r="R1185" s="421" t="s">
        <v>947</v>
      </c>
      <c r="S1185" s="263">
        <v>170</v>
      </c>
      <c r="T1185" s="284">
        <v>250</v>
      </c>
      <c r="AB1185" s="413"/>
      <c r="AC1185" s="2795"/>
    </row>
    <row r="1186" spans="1:29" ht="12.75" customHeight="1" x14ac:dyDescent="0.2">
      <c r="A1186" s="2029">
        <v>211</v>
      </c>
      <c r="B1186" s="4995"/>
      <c r="C1186" s="65"/>
      <c r="D1186" s="68"/>
      <c r="E1186" s="594" t="s">
        <v>310</v>
      </c>
      <c r="F1186" s="601">
        <v>40</v>
      </c>
      <c r="G1186" s="593" t="s">
        <v>2030</v>
      </c>
      <c r="H1186" s="413"/>
      <c r="I1186" s="65"/>
      <c r="J1186" s="68"/>
      <c r="K1186" s="594" t="s">
        <v>177</v>
      </c>
      <c r="L1186" s="595"/>
      <c r="M1186" s="593"/>
      <c r="N1186" s="413"/>
      <c r="P1186" s="1766" t="str">
        <f t="shared" si="97"/>
        <v>La Justicia</v>
      </c>
      <c r="Q1186" s="2453">
        <f t="shared" si="98"/>
        <v>45</v>
      </c>
      <c r="R1186" s="421" t="s">
        <v>948</v>
      </c>
      <c r="S1186" s="263">
        <v>180</v>
      </c>
      <c r="T1186" s="284">
        <v>250</v>
      </c>
      <c r="AB1186" s="413"/>
      <c r="AC1186" s="2795"/>
    </row>
    <row r="1187" spans="1:29" ht="12.75" customHeight="1" x14ac:dyDescent="0.2">
      <c r="A1187" s="2029">
        <v>211</v>
      </c>
      <c r="B1187" s="4995"/>
      <c r="C1187" s="65"/>
      <c r="D1187" s="68"/>
      <c r="E1187" s="594" t="s">
        <v>311</v>
      </c>
      <c r="F1187" s="601">
        <v>42</v>
      </c>
      <c r="G1187" s="593" t="s">
        <v>2030</v>
      </c>
      <c r="H1187" s="413"/>
      <c r="I1187" s="65"/>
      <c r="J1187" s="68"/>
      <c r="K1187" s="594" t="s">
        <v>178</v>
      </c>
      <c r="L1187" s="595" t="s">
        <v>107</v>
      </c>
      <c r="M1187" s="593">
        <v>1</v>
      </c>
      <c r="N1187" s="413"/>
      <c r="P1187" s="1766" t="str">
        <f t="shared" si="97"/>
        <v>La Justicia invertida</v>
      </c>
      <c r="Q1187" s="2453">
        <f t="shared" si="98"/>
        <v>3</v>
      </c>
      <c r="R1187" s="421" t="s">
        <v>949</v>
      </c>
      <c r="S1187" s="263">
        <v>190</v>
      </c>
      <c r="T1187" s="284">
        <v>300</v>
      </c>
      <c r="AB1187" s="413"/>
      <c r="AC1187" s="2795"/>
    </row>
    <row r="1188" spans="1:29" ht="12.75" customHeight="1" x14ac:dyDescent="0.2">
      <c r="A1188" s="2029">
        <v>211</v>
      </c>
      <c r="B1188" s="4995"/>
      <c r="C1188" s="65"/>
      <c r="D1188" s="68"/>
      <c r="E1188" s="594" t="s">
        <v>312</v>
      </c>
      <c r="F1188" s="601">
        <v>46</v>
      </c>
      <c r="G1188" s="593" t="s">
        <v>2030</v>
      </c>
      <c r="H1188" s="413"/>
      <c r="I1188" s="65"/>
      <c r="J1188" s="68"/>
      <c r="K1188" s="594" t="s">
        <v>179</v>
      </c>
      <c r="L1188" s="595" t="s">
        <v>107</v>
      </c>
      <c r="M1188" s="593">
        <v>1</v>
      </c>
      <c r="N1188" s="413"/>
      <c r="P1188" s="1766" t="str">
        <f t="shared" si="97"/>
        <v>La Luna</v>
      </c>
      <c r="Q1188" s="2453">
        <f t="shared" si="98"/>
        <v>29</v>
      </c>
      <c r="R1188" s="421" t="s">
        <v>950</v>
      </c>
      <c r="S1188" s="263">
        <v>200</v>
      </c>
      <c r="T1188" s="284">
        <v>350</v>
      </c>
      <c r="AB1188" s="413"/>
      <c r="AC1188" s="2795"/>
    </row>
    <row r="1189" spans="1:29" ht="12.75" customHeight="1" x14ac:dyDescent="0.2">
      <c r="A1189" s="2029">
        <v>211</v>
      </c>
      <c r="B1189" s="4995"/>
      <c r="C1189" s="65"/>
      <c r="D1189" s="68"/>
      <c r="E1189" s="594" t="s">
        <v>313</v>
      </c>
      <c r="F1189" s="601">
        <v>48</v>
      </c>
      <c r="G1189" s="593" t="s">
        <v>2030</v>
      </c>
      <c r="H1189" s="413"/>
      <c r="I1189" s="65"/>
      <c r="J1189" s="68"/>
      <c r="K1189" s="594" t="s">
        <v>180</v>
      </c>
      <c r="L1189" s="595" t="s">
        <v>107</v>
      </c>
      <c r="M1189" s="593">
        <v>1</v>
      </c>
      <c r="N1189" s="413"/>
      <c r="P1189" s="1766" t="str">
        <f t="shared" si="97"/>
        <v>La Luna invertida</v>
      </c>
      <c r="Q1189" s="2453">
        <f t="shared" si="98"/>
        <v>11</v>
      </c>
      <c r="R1189" s="421" t="s">
        <v>951</v>
      </c>
      <c r="S1189" s="263">
        <v>240</v>
      </c>
      <c r="T1189" s="284">
        <v>400</v>
      </c>
      <c r="AB1189" s="413"/>
      <c r="AC1189" s="2795"/>
    </row>
    <row r="1190" spans="1:29" ht="12.75" customHeight="1" x14ac:dyDescent="0.2">
      <c r="A1190" s="2029">
        <v>211</v>
      </c>
      <c r="B1190" s="4995"/>
      <c r="C1190" s="65"/>
      <c r="D1190" s="68"/>
      <c r="E1190" s="594" t="s">
        <v>314</v>
      </c>
      <c r="F1190" s="601">
        <v>50</v>
      </c>
      <c r="G1190" s="593" t="s">
        <v>2030</v>
      </c>
      <c r="H1190" s="413"/>
      <c r="I1190" s="65"/>
      <c r="J1190" s="68"/>
      <c r="K1190" s="594" t="s">
        <v>2011</v>
      </c>
      <c r="L1190" s="595" t="s">
        <v>107</v>
      </c>
      <c r="M1190" s="593">
        <v>1</v>
      </c>
      <c r="N1190" s="413"/>
      <c r="P1190" s="1766" t="str">
        <f t="shared" si="97"/>
        <v>La Muerte</v>
      </c>
      <c r="Q1190" s="2453">
        <f t="shared" si="98"/>
        <v>37</v>
      </c>
      <c r="R1190" s="421" t="s">
        <v>952</v>
      </c>
      <c r="S1190" s="263">
        <v>240</v>
      </c>
      <c r="T1190" s="284">
        <v>450</v>
      </c>
      <c r="AB1190" s="413"/>
      <c r="AC1190" s="2795"/>
    </row>
    <row r="1191" spans="1:29" ht="12.75" customHeight="1" x14ac:dyDescent="0.2">
      <c r="A1191" s="2029">
        <v>211</v>
      </c>
      <c r="B1191" s="4995"/>
      <c r="C1191" s="65"/>
      <c r="D1191" s="68"/>
      <c r="E1191" s="594" t="s">
        <v>315</v>
      </c>
      <c r="F1191" s="601">
        <v>52</v>
      </c>
      <c r="G1191" s="593" t="s">
        <v>2030</v>
      </c>
      <c r="H1191" s="413"/>
      <c r="I1191" s="65"/>
      <c r="J1191" s="68"/>
      <c r="K1191" s="594" t="s">
        <v>181</v>
      </c>
      <c r="L1191" s="595" t="s">
        <v>107</v>
      </c>
      <c r="M1191" s="593">
        <v>1</v>
      </c>
      <c r="N1191" s="413"/>
      <c r="P1191" s="1766" t="str">
        <f t="shared" si="97"/>
        <v>La Muerte invertida</v>
      </c>
      <c r="Q1191" s="2453">
        <f t="shared" si="98"/>
        <v>31</v>
      </c>
      <c r="R1191" s="421" t="s">
        <v>953</v>
      </c>
      <c r="S1191" s="263">
        <v>260</v>
      </c>
      <c r="T1191" s="284">
        <v>500</v>
      </c>
      <c r="AB1191" s="413"/>
      <c r="AC1191" s="2795"/>
    </row>
    <row r="1192" spans="1:29" ht="12.75" customHeight="1" x14ac:dyDescent="0.2">
      <c r="A1192" s="2029">
        <v>211</v>
      </c>
      <c r="B1192" s="4995"/>
      <c r="C1192" s="65"/>
      <c r="D1192" s="68"/>
      <c r="E1192" s="594" t="s">
        <v>316</v>
      </c>
      <c r="F1192" s="601">
        <v>56</v>
      </c>
      <c r="G1192" s="593" t="s">
        <v>2030</v>
      </c>
      <c r="H1192" s="413"/>
      <c r="I1192" s="65"/>
      <c r="J1192" s="68"/>
      <c r="K1192" s="594" t="s">
        <v>182</v>
      </c>
      <c r="L1192" s="595" t="s">
        <v>107</v>
      </c>
      <c r="M1192" s="593">
        <v>1</v>
      </c>
      <c r="N1192" s="413"/>
      <c r="P1192" s="1766" t="str">
        <f t="shared" si="97"/>
        <v>La Rueda</v>
      </c>
      <c r="Q1192" s="2453">
        <f t="shared" si="98"/>
        <v>5</v>
      </c>
      <c r="R1192" s="421" t="s">
        <v>954</v>
      </c>
      <c r="S1192" s="263">
        <v>280</v>
      </c>
      <c r="T1192" s="284">
        <v>550</v>
      </c>
      <c r="AB1192" s="413"/>
      <c r="AC1192" s="2795"/>
    </row>
    <row r="1193" spans="1:29" ht="12.75" customHeight="1" x14ac:dyDescent="0.2">
      <c r="A1193" s="2029">
        <v>211</v>
      </c>
      <c r="B1193" s="4995"/>
      <c r="C1193" s="65"/>
      <c r="D1193" s="68"/>
      <c r="E1193" s="594" t="s">
        <v>317</v>
      </c>
      <c r="F1193" s="601">
        <v>58</v>
      </c>
      <c r="G1193" s="593" t="s">
        <v>2030</v>
      </c>
      <c r="H1193" s="413"/>
      <c r="I1193" s="65"/>
      <c r="J1193" s="68"/>
      <c r="K1193" s="594" t="s">
        <v>183</v>
      </c>
      <c r="L1193" s="595" t="s">
        <v>107</v>
      </c>
      <c r="M1193" s="593">
        <v>2</v>
      </c>
      <c r="N1193" s="413"/>
      <c r="P1193" s="1766" t="str">
        <f t="shared" si="97"/>
        <v>La Rueda invertida</v>
      </c>
      <c r="Q1193" s="2453">
        <f t="shared" si="98"/>
        <v>35</v>
      </c>
      <c r="R1193" s="421" t="s">
        <v>955</v>
      </c>
      <c r="S1193" s="263">
        <v>300</v>
      </c>
      <c r="T1193" s="284">
        <v>600</v>
      </c>
      <c r="AB1193" s="413"/>
      <c r="AC1193" s="2795"/>
    </row>
    <row r="1194" spans="1:29" ht="12.75" customHeight="1" x14ac:dyDescent="0.2">
      <c r="A1194" s="2029">
        <v>211</v>
      </c>
      <c r="B1194" s="4995"/>
      <c r="C1194" s="65"/>
      <c r="D1194" s="68"/>
      <c r="E1194" s="594" t="s">
        <v>318</v>
      </c>
      <c r="F1194" s="601">
        <v>60</v>
      </c>
      <c r="G1194" s="593" t="s">
        <v>2030</v>
      </c>
      <c r="H1194" s="413"/>
      <c r="I1194" s="65"/>
      <c r="J1194" s="68"/>
      <c r="K1194" s="594" t="s">
        <v>184</v>
      </c>
      <c r="L1194" s="595" t="s">
        <v>107</v>
      </c>
      <c r="M1194" s="593">
        <v>2</v>
      </c>
      <c r="N1194" s="413"/>
      <c r="P1194" s="1766" t="str">
        <f t="shared" si="97"/>
        <v>La Suma Sacerdotisa</v>
      </c>
      <c r="Q1194" s="2453">
        <f t="shared" si="98"/>
        <v>41</v>
      </c>
      <c r="R1194" s="421" t="s">
        <v>956</v>
      </c>
      <c r="S1194" s="263">
        <v>320</v>
      </c>
      <c r="T1194" s="284">
        <v>650</v>
      </c>
      <c r="AB1194" s="413"/>
      <c r="AC1194" s="2795"/>
    </row>
    <row r="1195" spans="1:29" ht="12.75" customHeight="1" x14ac:dyDescent="0.2">
      <c r="A1195" s="2029">
        <v>211</v>
      </c>
      <c r="B1195" s="4995"/>
      <c r="C1195" s="65"/>
      <c r="D1195" s="68"/>
      <c r="E1195" s="594" t="s">
        <v>319</v>
      </c>
      <c r="F1195" s="601">
        <v>62</v>
      </c>
      <c r="G1195" s="593" t="s">
        <v>2030</v>
      </c>
      <c r="H1195" s="413"/>
      <c r="I1195" s="65"/>
      <c r="J1195" s="68"/>
      <c r="K1195" s="594" t="s">
        <v>185</v>
      </c>
      <c r="L1195" s="595" t="s">
        <v>107</v>
      </c>
      <c r="M1195" s="593">
        <v>2</v>
      </c>
      <c r="N1195" s="413"/>
      <c r="P1195" s="1766" t="str">
        <f t="shared" si="97"/>
        <v>La Suma Sacerdotisa invertida</v>
      </c>
      <c r="Q1195" s="2453">
        <f t="shared" si="98"/>
        <v>7</v>
      </c>
      <c r="R1195" s="421" t="s">
        <v>957</v>
      </c>
      <c r="S1195" s="263">
        <v>340</v>
      </c>
      <c r="T1195" s="284">
        <v>700</v>
      </c>
      <c r="AB1195" s="413"/>
      <c r="AC1195" s="2795"/>
    </row>
    <row r="1196" spans="1:29" ht="12.75" customHeight="1" x14ac:dyDescent="0.2">
      <c r="A1196" s="2029">
        <v>211</v>
      </c>
      <c r="B1196" s="4995"/>
      <c r="C1196" s="65"/>
      <c r="D1196" s="68"/>
      <c r="E1196" s="594" t="s">
        <v>320</v>
      </c>
      <c r="F1196" s="601">
        <v>66</v>
      </c>
      <c r="G1196" s="593" t="s">
        <v>2030</v>
      </c>
      <c r="H1196" s="413"/>
      <c r="I1196" s="65"/>
      <c r="J1196" s="68"/>
      <c r="K1196" s="594" t="s">
        <v>1680</v>
      </c>
      <c r="L1196" s="595" t="s">
        <v>107</v>
      </c>
      <c r="M1196" s="593">
        <v>2</v>
      </c>
      <c r="N1196" s="413"/>
      <c r="P1196" s="1766" t="str">
        <f t="shared" si="97"/>
        <v>La Templanza</v>
      </c>
      <c r="Q1196" s="2453">
        <f t="shared" si="98"/>
        <v>43</v>
      </c>
      <c r="R1196" s="421" t="s">
        <v>958</v>
      </c>
      <c r="S1196" s="263">
        <v>340</v>
      </c>
      <c r="T1196" s="284">
        <v>750</v>
      </c>
      <c r="AB1196" s="413"/>
      <c r="AC1196" s="2795"/>
    </row>
    <row r="1197" spans="1:29" ht="12.75" customHeight="1" x14ac:dyDescent="0.2">
      <c r="A1197" s="2029">
        <v>211</v>
      </c>
      <c r="B1197" s="4995"/>
      <c r="C1197" s="65"/>
      <c r="D1197" s="68"/>
      <c r="E1197" s="594" t="s">
        <v>321</v>
      </c>
      <c r="F1197" s="601">
        <v>68</v>
      </c>
      <c r="G1197" s="593" t="s">
        <v>2030</v>
      </c>
      <c r="H1197" s="413"/>
      <c r="I1197" s="65"/>
      <c r="J1197" s="68"/>
      <c r="K1197" s="594" t="s">
        <v>186</v>
      </c>
      <c r="L1197" s="595" t="s">
        <v>107</v>
      </c>
      <c r="M1197" s="593">
        <v>3</v>
      </c>
      <c r="N1197" s="413"/>
      <c r="P1197" s="1766" t="str">
        <f t="shared" si="97"/>
        <v>La Templanza invertida</v>
      </c>
      <c r="Q1197" s="2453">
        <f t="shared" si="98"/>
        <v>27</v>
      </c>
      <c r="R1197" s="421" t="s">
        <v>959</v>
      </c>
      <c r="S1197" s="263">
        <v>380</v>
      </c>
      <c r="T1197" s="284">
        <v>800</v>
      </c>
      <c r="AB1197" s="413"/>
      <c r="AC1197" s="2795"/>
    </row>
    <row r="1198" spans="1:29" ht="12.75" customHeight="1" x14ac:dyDescent="0.2">
      <c r="A1198" s="2029">
        <v>211</v>
      </c>
      <c r="B1198" s="4995"/>
      <c r="C1198" s="65"/>
      <c r="D1198" s="68"/>
      <c r="E1198" s="594" t="s">
        <v>322</v>
      </c>
      <c r="F1198" s="601">
        <v>70</v>
      </c>
      <c r="G1198" s="593" t="s">
        <v>2030</v>
      </c>
      <c r="H1198" s="413"/>
      <c r="I1198" s="65"/>
      <c r="J1198" s="68"/>
      <c r="K1198" s="594" t="s">
        <v>187</v>
      </c>
      <c r="L1198" s="595" t="s">
        <v>107</v>
      </c>
      <c r="M1198" s="593">
        <v>3</v>
      </c>
      <c r="N1198" s="413"/>
      <c r="P1198" s="1766" t="str">
        <f t="shared" si="97"/>
        <v>La Torre</v>
      </c>
      <c r="Q1198" s="2453">
        <f t="shared" si="98"/>
        <v>33</v>
      </c>
      <c r="R1198" s="421" t="s">
        <v>960</v>
      </c>
      <c r="S1198" s="263">
        <v>400</v>
      </c>
      <c r="T1198" s="284">
        <v>850</v>
      </c>
      <c r="AB1198" s="413"/>
      <c r="AC1198" s="2795"/>
    </row>
    <row r="1199" spans="1:29" ht="12.75" customHeight="1" x14ac:dyDescent="0.2">
      <c r="A1199" s="2029">
        <v>211</v>
      </c>
      <c r="B1199" s="4995"/>
      <c r="C1199" s="65"/>
      <c r="D1199" s="68"/>
      <c r="E1199" s="594" t="s">
        <v>323</v>
      </c>
      <c r="F1199" s="601">
        <v>72</v>
      </c>
      <c r="G1199" s="593" t="s">
        <v>2030</v>
      </c>
      <c r="H1199" s="413"/>
      <c r="I1199" s="65"/>
      <c r="J1199" s="68"/>
      <c r="K1199" s="594" t="s">
        <v>188</v>
      </c>
      <c r="L1199" s="595" t="s">
        <v>107</v>
      </c>
      <c r="M1199" s="593">
        <v>3</v>
      </c>
      <c r="N1199" s="413"/>
      <c r="P1199" s="1766" t="str">
        <f t="shared" si="97"/>
        <v>La Torre invertida</v>
      </c>
      <c r="Q1199" s="2453">
        <f t="shared" si="98"/>
        <v>21</v>
      </c>
      <c r="R1199" s="421" t="s">
        <v>961</v>
      </c>
      <c r="S1199" s="263">
        <v>420</v>
      </c>
      <c r="T1199" s="284">
        <v>900</v>
      </c>
      <c r="AB1199" s="413"/>
      <c r="AC1199" s="2795"/>
    </row>
    <row r="1200" spans="1:29" ht="12.75" customHeight="1" x14ac:dyDescent="0.2">
      <c r="A1200" s="2029">
        <v>211</v>
      </c>
      <c r="B1200" s="4995"/>
      <c r="C1200" s="65"/>
      <c r="D1200" s="68"/>
      <c r="E1200" s="594" t="s">
        <v>324</v>
      </c>
      <c r="F1200" s="601">
        <v>76</v>
      </c>
      <c r="G1200" s="593" t="s">
        <v>2030</v>
      </c>
      <c r="H1200" s="413"/>
      <c r="I1200" s="65"/>
      <c r="J1200" s="68"/>
      <c r="K1200" s="594" t="s">
        <v>189</v>
      </c>
      <c r="L1200" s="595"/>
      <c r="M1200" s="593"/>
      <c r="N1200" s="413"/>
      <c r="P1200" s="1766" t="str">
        <f t="shared" si="97"/>
        <v>Los Enamorados</v>
      </c>
      <c r="Q1200" s="2453">
        <f t="shared" si="98"/>
        <v>15</v>
      </c>
      <c r="R1200" s="421" t="s">
        <v>962</v>
      </c>
      <c r="S1200" s="263">
        <v>440</v>
      </c>
      <c r="T1200" s="284">
        <v>950</v>
      </c>
      <c r="AB1200" s="413"/>
      <c r="AC1200" s="2795"/>
    </row>
    <row r="1201" spans="1:29" ht="12.75" customHeight="1" x14ac:dyDescent="0.2">
      <c r="A1201" s="2029">
        <v>211</v>
      </c>
      <c r="B1201" s="4995"/>
      <c r="C1201" s="65"/>
      <c r="D1201" s="68"/>
      <c r="E1201" s="594" t="s">
        <v>325</v>
      </c>
      <c r="F1201" s="601">
        <v>78</v>
      </c>
      <c r="G1201" s="593" t="s">
        <v>2030</v>
      </c>
      <c r="H1201" s="413"/>
      <c r="I1201" s="65"/>
      <c r="J1201" s="68"/>
      <c r="K1201" s="594" t="s">
        <v>190</v>
      </c>
      <c r="L1201" s="595" t="s">
        <v>108</v>
      </c>
      <c r="M1201" s="593">
        <v>1</v>
      </c>
      <c r="N1201" s="413"/>
      <c r="P1201" s="1766" t="str">
        <f t="shared" si="97"/>
        <v>Los Enamorados invertidos</v>
      </c>
      <c r="Q1201" s="2453">
        <f t="shared" si="98"/>
        <v>19</v>
      </c>
      <c r="R1201" s="421" t="s">
        <v>963</v>
      </c>
      <c r="S1201" s="263">
        <v>460</v>
      </c>
      <c r="T1201" s="284">
        <v>1000</v>
      </c>
      <c r="AB1201" s="413"/>
      <c r="AC1201" s="2795"/>
    </row>
    <row r="1202" spans="1:29" ht="12.75" customHeight="1" x14ac:dyDescent="0.2">
      <c r="A1202" s="2029">
        <v>211</v>
      </c>
      <c r="B1202" s="4995"/>
      <c r="C1202" s="65"/>
      <c r="D1202" s="68"/>
      <c r="E1202" s="594" t="s">
        <v>326</v>
      </c>
      <c r="F1202" s="601">
        <v>80</v>
      </c>
      <c r="G1202" s="593" t="s">
        <v>2030</v>
      </c>
      <c r="H1202" s="413"/>
      <c r="I1202" s="65"/>
      <c r="J1202" s="68"/>
      <c r="K1202" s="594" t="s">
        <v>191</v>
      </c>
      <c r="L1202" s="595" t="s">
        <v>108</v>
      </c>
      <c r="M1202" s="593">
        <v>1</v>
      </c>
      <c r="N1202" s="413"/>
      <c r="P1202" s="1766" t="str">
        <f t="shared" ref="P1202:P1233" si="99">VLOOKUP(A1,$Q$1202:$R$1272,2,0)</f>
        <v>&gt; GRANDES BESTIAS</v>
      </c>
      <c r="Q1202" s="2453">
        <f t="shared" ref="Q1202:Q1233" si="100">COUNTIF($R$1202:$R$1272,"&lt;="&amp;R1202)</f>
        <v>1</v>
      </c>
      <c r="R1202" s="421" t="s">
        <v>964</v>
      </c>
      <c r="S1202" s="68"/>
      <c r="T1202" s="69"/>
      <c r="AB1202" s="413"/>
      <c r="AC1202" s="2795"/>
    </row>
    <row r="1203" spans="1:29" ht="12.75" customHeight="1" x14ac:dyDescent="0.2">
      <c r="A1203" s="2029">
        <v>211</v>
      </c>
      <c r="B1203" s="4995"/>
      <c r="C1203" s="65"/>
      <c r="D1203" s="68"/>
      <c r="E1203" s="594" t="s">
        <v>327</v>
      </c>
      <c r="F1203" s="601">
        <v>82</v>
      </c>
      <c r="G1203" s="593" t="s">
        <v>2030</v>
      </c>
      <c r="H1203" s="413"/>
      <c r="I1203" s="65"/>
      <c r="J1203" s="68"/>
      <c r="K1203" s="594" t="s">
        <v>192</v>
      </c>
      <c r="L1203" s="595" t="s">
        <v>108</v>
      </c>
      <c r="M1203" s="593">
        <v>1</v>
      </c>
      <c r="N1203" s="413"/>
      <c r="P1203" s="1766" t="str">
        <f t="shared" si="99"/>
        <v>Behemoth, Señor de la Tierra</v>
      </c>
      <c r="Q1203" s="2453">
        <f t="shared" si="100"/>
        <v>52</v>
      </c>
      <c r="R1203" s="421" t="s">
        <v>965</v>
      </c>
      <c r="S1203" s="263">
        <v>280</v>
      </c>
      <c r="T1203" s="284">
        <v>450</v>
      </c>
      <c r="AB1203" s="413"/>
      <c r="AC1203" s="2795"/>
    </row>
    <row r="1204" spans="1:29" ht="12.75" customHeight="1" x14ac:dyDescent="0.2">
      <c r="A1204" s="2029">
        <v>211</v>
      </c>
      <c r="B1204" s="4995"/>
      <c r="C1204" s="65"/>
      <c r="D1204" s="68"/>
      <c r="E1204" s="594" t="s">
        <v>328</v>
      </c>
      <c r="F1204" s="601">
        <v>86</v>
      </c>
      <c r="G1204" s="593" t="s">
        <v>2030</v>
      </c>
      <c r="H1204" s="413"/>
      <c r="I1204" s="65"/>
      <c r="J1204" s="68"/>
      <c r="K1204" s="594" t="s">
        <v>193</v>
      </c>
      <c r="L1204" s="595" t="s">
        <v>108</v>
      </c>
      <c r="M1204" s="593">
        <v>1</v>
      </c>
      <c r="N1204" s="413"/>
      <c r="P1204" s="1766" t="str">
        <f t="shared" si="99"/>
        <v>Behemoth: Comunión con la tierra</v>
      </c>
      <c r="Q1204" s="2453">
        <f t="shared" si="100"/>
        <v>51</v>
      </c>
      <c r="R1204" s="421" t="s">
        <v>966</v>
      </c>
      <c r="S1204" s="263">
        <v>380</v>
      </c>
      <c r="T1204" s="284">
        <v>800</v>
      </c>
      <c r="AB1204" s="413"/>
      <c r="AC1204" s="2795"/>
    </row>
    <row r="1205" spans="1:29" ht="12.75" customHeight="1" x14ac:dyDescent="0.2">
      <c r="A1205" s="2029">
        <v>211</v>
      </c>
      <c r="B1205" s="4995"/>
      <c r="C1205" s="65"/>
      <c r="D1205" s="68"/>
      <c r="E1205" s="594" t="s">
        <v>329</v>
      </c>
      <c r="F1205" s="601">
        <v>88</v>
      </c>
      <c r="G1205" s="593" t="s">
        <v>2030</v>
      </c>
      <c r="H1205" s="413"/>
      <c r="I1205" s="65"/>
      <c r="J1205" s="68"/>
      <c r="K1205" s="594" t="s">
        <v>194</v>
      </c>
      <c r="L1205" s="595" t="s">
        <v>108</v>
      </c>
      <c r="M1205" s="593">
        <v>1</v>
      </c>
      <c r="N1205" s="413"/>
      <c r="P1205" s="1766" t="str">
        <f t="shared" si="99"/>
        <v>Behemoth: Señor de la tierra</v>
      </c>
      <c r="Q1205" s="2453">
        <f t="shared" si="100"/>
        <v>32</v>
      </c>
      <c r="R1205" s="421" t="s">
        <v>967</v>
      </c>
      <c r="S1205" s="263">
        <v>150</v>
      </c>
      <c r="T1205" s="284">
        <v>200</v>
      </c>
      <c r="AB1205" s="413"/>
      <c r="AC1205" s="2795"/>
    </row>
    <row r="1206" spans="1:29" ht="12.75" customHeight="1" x14ac:dyDescent="0.2">
      <c r="A1206" s="2029">
        <v>211</v>
      </c>
      <c r="B1206" s="4995"/>
      <c r="C1206" s="65"/>
      <c r="D1206" s="68"/>
      <c r="E1206" s="594" t="s">
        <v>330</v>
      </c>
      <c r="F1206" s="601">
        <v>90</v>
      </c>
      <c r="G1206" s="593" t="s">
        <v>2030</v>
      </c>
      <c r="H1206" s="413"/>
      <c r="I1206" s="65"/>
      <c r="J1206" s="68"/>
      <c r="K1206" s="594" t="s">
        <v>195</v>
      </c>
      <c r="L1206" s="595" t="s">
        <v>108</v>
      </c>
      <c r="M1206" s="593">
        <v>2</v>
      </c>
      <c r="N1206" s="413"/>
      <c r="P1206" s="1766" t="str">
        <f t="shared" si="99"/>
        <v>Byakko, el Tigre Blanco</v>
      </c>
      <c r="Q1206" s="2453">
        <f t="shared" si="100"/>
        <v>18</v>
      </c>
      <c r="R1206" s="421" t="s">
        <v>968</v>
      </c>
      <c r="S1206" s="263">
        <v>220</v>
      </c>
      <c r="T1206" s="284">
        <v>500</v>
      </c>
      <c r="AB1206" s="413"/>
      <c r="AC1206" s="2795"/>
    </row>
    <row r="1207" spans="1:29" ht="12.75" customHeight="1" x14ac:dyDescent="0.2">
      <c r="A1207" s="2029">
        <v>211</v>
      </c>
      <c r="B1207" s="4995"/>
      <c r="C1207" s="65"/>
      <c r="D1207" s="68"/>
      <c r="E1207" s="594" t="s">
        <v>331</v>
      </c>
      <c r="F1207" s="601">
        <v>92</v>
      </c>
      <c r="G1207" s="593" t="s">
        <v>2030</v>
      </c>
      <c r="H1207" s="413"/>
      <c r="I1207" s="65"/>
      <c r="J1207" s="68"/>
      <c r="K1207" s="594" t="s">
        <v>196</v>
      </c>
      <c r="L1207" s="595" t="s">
        <v>108</v>
      </c>
      <c r="M1207" s="593">
        <v>2</v>
      </c>
      <c r="N1207" s="413"/>
      <c r="P1207" s="1766" t="str">
        <f t="shared" si="99"/>
        <v>Byakko: La bestia definitiva</v>
      </c>
      <c r="Q1207" s="2453">
        <f t="shared" si="100"/>
        <v>48</v>
      </c>
      <c r="R1207" s="421" t="s">
        <v>969</v>
      </c>
      <c r="S1207" s="263">
        <v>140</v>
      </c>
      <c r="T1207" s="284">
        <v>200</v>
      </c>
      <c r="AB1207" s="413"/>
      <c r="AC1207" s="2795"/>
    </row>
    <row r="1208" spans="1:29" ht="12.75" customHeight="1" x14ac:dyDescent="0.2">
      <c r="A1208" s="2029">
        <v>211</v>
      </c>
      <c r="B1208" s="4995"/>
      <c r="C1208" s="65"/>
      <c r="D1208" s="68"/>
      <c r="E1208" s="594" t="s">
        <v>332</v>
      </c>
      <c r="F1208" s="601">
        <v>96</v>
      </c>
      <c r="G1208" s="593" t="s">
        <v>2030</v>
      </c>
      <c r="H1208" s="413"/>
      <c r="I1208" s="65"/>
      <c r="J1208" s="68"/>
      <c r="K1208" s="594" t="s">
        <v>197</v>
      </c>
      <c r="L1208" s="595" t="s">
        <v>108</v>
      </c>
      <c r="M1208" s="593">
        <v>2</v>
      </c>
      <c r="N1208" s="413"/>
      <c r="P1208" s="1766" t="str">
        <f t="shared" si="99"/>
        <v>Byakko: La garra del rey de las bestias</v>
      </c>
      <c r="Q1208" s="2453">
        <f t="shared" si="100"/>
        <v>33</v>
      </c>
      <c r="R1208" s="421" t="s">
        <v>970</v>
      </c>
      <c r="S1208" s="263">
        <v>180</v>
      </c>
      <c r="T1208" s="284">
        <v>200</v>
      </c>
      <c r="AB1208" s="413"/>
      <c r="AC1208" s="2795"/>
    </row>
    <row r="1209" spans="1:29" ht="12.75" customHeight="1" x14ac:dyDescent="0.2">
      <c r="A1209" s="2029">
        <v>211</v>
      </c>
      <c r="B1209" s="4995"/>
      <c r="C1209" s="65"/>
      <c r="D1209" s="68"/>
      <c r="E1209" s="594" t="s">
        <v>333</v>
      </c>
      <c r="F1209" s="601">
        <v>98</v>
      </c>
      <c r="G1209" s="593" t="s">
        <v>2030</v>
      </c>
      <c r="H1209" s="413"/>
      <c r="I1209" s="65"/>
      <c r="J1209" s="68"/>
      <c r="K1209" s="594" t="s">
        <v>198</v>
      </c>
      <c r="L1209" s="595" t="s">
        <v>108</v>
      </c>
      <c r="M1209" s="593">
        <v>2</v>
      </c>
      <c r="N1209" s="413"/>
      <c r="P1209" s="1766" t="str">
        <f t="shared" si="99"/>
        <v>Byakko: Protección</v>
      </c>
      <c r="Q1209" s="2453">
        <f t="shared" si="100"/>
        <v>35</v>
      </c>
      <c r="R1209" s="421" t="s">
        <v>971</v>
      </c>
      <c r="S1209" s="263">
        <v>140</v>
      </c>
      <c r="T1209" s="284">
        <v>120</v>
      </c>
      <c r="AB1209" s="413"/>
      <c r="AC1209" s="2795"/>
    </row>
    <row r="1210" spans="1:29" ht="12.75" customHeight="1" x14ac:dyDescent="0.2">
      <c r="A1210" s="2029">
        <v>211</v>
      </c>
      <c r="B1210" s="4995"/>
      <c r="C1210" s="65"/>
      <c r="D1210" s="68"/>
      <c r="E1210" s="594" t="s">
        <v>334</v>
      </c>
      <c r="F1210" s="601">
        <v>100</v>
      </c>
      <c r="G1210" s="593" t="s">
        <v>2030</v>
      </c>
      <c r="H1210" s="413"/>
      <c r="I1210" s="65"/>
      <c r="J1210" s="68"/>
      <c r="K1210" s="594" t="s">
        <v>199</v>
      </c>
      <c r="L1210" s="595" t="s">
        <v>108</v>
      </c>
      <c r="M1210" s="593">
        <v>3</v>
      </c>
      <c r="N1210" s="413"/>
      <c r="P1210" s="1766" t="str">
        <f t="shared" si="99"/>
        <v>Byakko: Señor del oeste</v>
      </c>
      <c r="Q1210" s="2453">
        <f t="shared" si="100"/>
        <v>34</v>
      </c>
      <c r="R1210" s="421" t="s">
        <v>972</v>
      </c>
      <c r="S1210" s="263">
        <v>200</v>
      </c>
      <c r="T1210" s="284">
        <v>240</v>
      </c>
      <c r="AB1210" s="413"/>
      <c r="AC1210" s="2795"/>
    </row>
    <row r="1211" spans="1:29" ht="12.75" customHeight="1" x14ac:dyDescent="0.2">
      <c r="A1211" s="2029">
        <v>211</v>
      </c>
      <c r="B1211" s="4995"/>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3">
        <f t="shared" si="100"/>
        <v>36</v>
      </c>
      <c r="R1211" s="421" t="s">
        <v>973</v>
      </c>
      <c r="S1211" s="263">
        <v>240</v>
      </c>
      <c r="T1211" s="284">
        <v>400</v>
      </c>
      <c r="AB1211" s="413"/>
      <c r="AC1211" s="2795"/>
    </row>
    <row r="1212" spans="1:29" ht="12.75" customHeight="1" x14ac:dyDescent="0.2">
      <c r="A1212" s="2029">
        <v>211</v>
      </c>
      <c r="B1212" s="4995"/>
      <c r="C1212" s="65"/>
      <c r="D1212" s="68"/>
      <c r="E1212" s="594" t="s">
        <v>336</v>
      </c>
      <c r="F1212" s="601">
        <v>2</v>
      </c>
      <c r="G1212" s="593" t="s">
        <v>337</v>
      </c>
      <c r="H1212" s="413"/>
      <c r="I1212" s="65"/>
      <c r="J1212" s="68"/>
      <c r="K1212" s="594" t="s">
        <v>201</v>
      </c>
      <c r="L1212" s="595"/>
      <c r="M1212" s="593"/>
      <c r="N1212" s="413"/>
      <c r="P1212" s="1766" t="str">
        <f t="shared" si="99"/>
        <v>Druaga</v>
      </c>
      <c r="Q1212" s="2453">
        <f t="shared" si="100"/>
        <v>25</v>
      </c>
      <c r="R1212" s="421" t="s">
        <v>974</v>
      </c>
      <c r="S1212" s="263">
        <v>260</v>
      </c>
      <c r="T1212" s="284">
        <v>400</v>
      </c>
      <c r="AB1212" s="413"/>
      <c r="AC1212" s="2795"/>
    </row>
    <row r="1213" spans="1:29" ht="12.75" customHeight="1" x14ac:dyDescent="0.2">
      <c r="A1213" s="2029">
        <v>211</v>
      </c>
      <c r="B1213" s="4995"/>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3">
        <f t="shared" si="100"/>
        <v>47</v>
      </c>
      <c r="R1213" s="421" t="s">
        <v>975</v>
      </c>
      <c r="S1213" s="263">
        <v>180</v>
      </c>
      <c r="T1213" s="284">
        <v>200</v>
      </c>
      <c r="AB1213" s="413"/>
      <c r="AC1213" s="2795"/>
    </row>
    <row r="1214" spans="1:29" ht="12.75" customHeight="1" x14ac:dyDescent="0.2">
      <c r="A1214" s="2029">
        <v>211</v>
      </c>
      <c r="B1214" s="4995"/>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3">
        <f t="shared" si="100"/>
        <v>26</v>
      </c>
      <c r="R1214" s="421" t="s">
        <v>976</v>
      </c>
      <c r="S1214" s="263">
        <v>220</v>
      </c>
      <c r="T1214" s="284">
        <v>350</v>
      </c>
      <c r="AB1214" s="413"/>
      <c r="AC1214" s="2795"/>
    </row>
    <row r="1215" spans="1:29" ht="12.75" customHeight="1" x14ac:dyDescent="0.2">
      <c r="A1215" s="2029">
        <v>211</v>
      </c>
      <c r="B1215" s="4995"/>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3">
        <f t="shared" si="100"/>
        <v>50</v>
      </c>
      <c r="R1215" s="421" t="s">
        <v>977</v>
      </c>
      <c r="S1215" s="263">
        <v>220</v>
      </c>
      <c r="T1215" s="284">
        <v>400</v>
      </c>
      <c r="AB1215" s="413"/>
      <c r="AC1215" s="2795"/>
    </row>
    <row r="1216" spans="1:29" ht="12.75" customHeight="1" x14ac:dyDescent="0.2">
      <c r="A1216" s="2029">
        <v>211</v>
      </c>
      <c r="B1216" s="4995"/>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3">
        <f t="shared" si="100"/>
        <v>37</v>
      </c>
      <c r="R1216" s="421" t="s">
        <v>978</v>
      </c>
      <c r="S1216" s="263">
        <v>280</v>
      </c>
      <c r="T1216" s="284">
        <v>500</v>
      </c>
      <c r="AB1216" s="413"/>
      <c r="AC1216" s="2795"/>
    </row>
    <row r="1217" spans="1:29" ht="12.75" customHeight="1" x14ac:dyDescent="0.2">
      <c r="A1217" s="2029">
        <v>211</v>
      </c>
      <c r="B1217" s="4995"/>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3">
        <f t="shared" si="100"/>
        <v>39</v>
      </c>
      <c r="R1217" s="421" t="s">
        <v>979</v>
      </c>
      <c r="S1217" s="263">
        <v>240</v>
      </c>
      <c r="T1217" s="284">
        <v>400</v>
      </c>
      <c r="AB1217" s="413"/>
      <c r="AC1217" s="2795"/>
    </row>
    <row r="1218" spans="1:29" ht="12.75" customHeight="1" x14ac:dyDescent="0.2">
      <c r="A1218" s="2029">
        <v>211</v>
      </c>
      <c r="B1218" s="4995"/>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3">
        <f t="shared" si="100"/>
        <v>38</v>
      </c>
      <c r="R1218" s="421" t="s">
        <v>980</v>
      </c>
      <c r="S1218" s="263">
        <v>280</v>
      </c>
      <c r="T1218" s="284">
        <v>500</v>
      </c>
      <c r="AB1218" s="413"/>
      <c r="AC1218" s="2795"/>
    </row>
    <row r="1219" spans="1:29" ht="12.75" customHeight="1" x14ac:dyDescent="0.2">
      <c r="A1219" s="2029">
        <v>211</v>
      </c>
      <c r="B1219" s="4995"/>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3">
        <f t="shared" si="100"/>
        <v>19</v>
      </c>
      <c r="R1219" s="421" t="s">
        <v>981</v>
      </c>
      <c r="S1219" s="263">
        <v>280</v>
      </c>
      <c r="T1219" s="284">
        <v>400</v>
      </c>
      <c r="AB1219" s="413"/>
      <c r="AC1219" s="2795"/>
    </row>
    <row r="1220" spans="1:29" ht="12.75" customHeight="1" x14ac:dyDescent="0.2">
      <c r="A1220" s="2029">
        <v>211</v>
      </c>
      <c r="B1220" s="4995"/>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3">
        <f t="shared" si="100"/>
        <v>20</v>
      </c>
      <c r="R1220" s="421" t="s">
        <v>982</v>
      </c>
      <c r="S1220" s="263">
        <v>240</v>
      </c>
      <c r="T1220" s="284">
        <v>350</v>
      </c>
      <c r="AB1220" s="413"/>
      <c r="AC1220" s="2795"/>
    </row>
    <row r="1221" spans="1:29" ht="12.75" customHeight="1" x14ac:dyDescent="0.2">
      <c r="A1221" s="2029">
        <v>211</v>
      </c>
      <c r="B1221" s="4995"/>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3">
        <f t="shared" si="100"/>
        <v>21</v>
      </c>
      <c r="R1221" s="421" t="s">
        <v>983</v>
      </c>
      <c r="S1221" s="263">
        <v>320</v>
      </c>
      <c r="T1221" s="284">
        <v>450</v>
      </c>
      <c r="AB1221" s="413"/>
      <c r="AC1221" s="2795"/>
    </row>
    <row r="1222" spans="1:29" ht="12.75" customHeight="1" x14ac:dyDescent="0.2">
      <c r="A1222" s="2029">
        <v>211</v>
      </c>
      <c r="B1222" s="4995"/>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3">
        <f t="shared" si="100"/>
        <v>14</v>
      </c>
      <c r="R1222" s="421" t="s">
        <v>984</v>
      </c>
      <c r="S1222" s="263">
        <v>280</v>
      </c>
      <c r="T1222" s="284">
        <v>400</v>
      </c>
      <c r="AB1222" s="413"/>
      <c r="AC1222" s="2795"/>
    </row>
    <row r="1223" spans="1:29" ht="12.75" customHeight="1" x14ac:dyDescent="0.2">
      <c r="A1223" s="2029">
        <v>211</v>
      </c>
      <c r="B1223" s="4995"/>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3">
        <f t="shared" si="100"/>
        <v>16</v>
      </c>
      <c r="R1223" s="421" t="s">
        <v>985</v>
      </c>
      <c r="S1223" s="263">
        <v>200</v>
      </c>
      <c r="T1223" s="284">
        <v>240</v>
      </c>
      <c r="AB1223" s="413"/>
      <c r="AC1223" s="2795"/>
    </row>
    <row r="1224" spans="1:29" ht="12.75" customHeight="1" x14ac:dyDescent="0.2">
      <c r="A1224" s="2029">
        <v>211</v>
      </c>
      <c r="B1224" s="4995"/>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3">
        <f t="shared" si="100"/>
        <v>15</v>
      </c>
      <c r="R1224" s="421" t="s">
        <v>986</v>
      </c>
      <c r="S1224" s="263">
        <v>380</v>
      </c>
      <c r="T1224" s="284">
        <v>800</v>
      </c>
      <c r="AB1224" s="413"/>
      <c r="AC1224" s="2795"/>
    </row>
    <row r="1225" spans="1:29" ht="12.75" customHeight="1" x14ac:dyDescent="0.2">
      <c r="A1225" s="2029">
        <v>211</v>
      </c>
      <c r="B1225" s="4995"/>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3">
        <f t="shared" si="100"/>
        <v>68</v>
      </c>
      <c r="R1225" s="421" t="s">
        <v>987</v>
      </c>
      <c r="S1225" s="263">
        <v>240</v>
      </c>
      <c r="T1225" s="284">
        <v>350</v>
      </c>
      <c r="AB1225" s="413"/>
      <c r="AC1225" s="2795"/>
    </row>
    <row r="1226" spans="1:29" ht="12.75" customHeight="1" x14ac:dyDescent="0.2">
      <c r="A1226" s="2029">
        <v>211</v>
      </c>
      <c r="B1226" s="4995"/>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3">
        <f t="shared" si="100"/>
        <v>67</v>
      </c>
      <c r="R1226" s="421" t="s">
        <v>988</v>
      </c>
      <c r="S1226" s="263">
        <v>240</v>
      </c>
      <c r="T1226" s="284">
        <v>400</v>
      </c>
      <c r="AB1226" s="413"/>
      <c r="AC1226" s="2795"/>
    </row>
    <row r="1227" spans="1:29" ht="12.75" customHeight="1" x14ac:dyDescent="0.2">
      <c r="A1227" s="2029">
        <v>211</v>
      </c>
      <c r="B1227" s="4995"/>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3">
        <f t="shared" si="100"/>
        <v>10</v>
      </c>
      <c r="R1227" s="421" t="s">
        <v>989</v>
      </c>
      <c r="S1227" s="263">
        <v>340</v>
      </c>
      <c r="T1227" s="284">
        <v>700</v>
      </c>
      <c r="AB1227" s="413"/>
      <c r="AC1227" s="2795"/>
    </row>
    <row r="1228" spans="1:29" ht="12.75" customHeight="1" x14ac:dyDescent="0.2">
      <c r="A1228" s="2029">
        <v>211</v>
      </c>
      <c r="B1228" s="4995"/>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3">
        <f t="shared" si="100"/>
        <v>49</v>
      </c>
      <c r="R1228" s="421" t="s">
        <v>990</v>
      </c>
      <c r="S1228" s="263">
        <v>280</v>
      </c>
      <c r="T1228" s="284">
        <v>500</v>
      </c>
      <c r="AB1228" s="413"/>
      <c r="AC1228" s="2795"/>
    </row>
    <row r="1229" spans="1:29" ht="12.75" customHeight="1" x14ac:dyDescent="0.2">
      <c r="A1229" s="2029">
        <v>211</v>
      </c>
      <c r="B1229" s="4995"/>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3">
        <f t="shared" si="100"/>
        <v>40</v>
      </c>
      <c r="R1229" s="421" t="s">
        <v>991</v>
      </c>
      <c r="S1229" s="263">
        <v>200</v>
      </c>
      <c r="T1229" s="284">
        <v>350</v>
      </c>
      <c r="AB1229" s="413"/>
      <c r="AC1229" s="2795"/>
    </row>
    <row r="1230" spans="1:29" ht="12.75" customHeight="1" x14ac:dyDescent="0.2">
      <c r="A1230" s="2029">
        <v>211</v>
      </c>
      <c r="B1230" s="4995"/>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3">
        <f t="shared" si="100"/>
        <v>41</v>
      </c>
      <c r="R1230" s="421" t="s">
        <v>992</v>
      </c>
      <c r="S1230" s="263">
        <v>360</v>
      </c>
      <c r="T1230" s="284">
        <v>650</v>
      </c>
      <c r="AB1230" s="413"/>
      <c r="AC1230" s="2795"/>
    </row>
    <row r="1231" spans="1:29" ht="12.75" customHeight="1" x14ac:dyDescent="0.2">
      <c r="A1231" s="2029">
        <v>211</v>
      </c>
      <c r="B1231" s="4995"/>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3">
        <f t="shared" si="100"/>
        <v>22</v>
      </c>
      <c r="R1231" s="421" t="s">
        <v>993</v>
      </c>
      <c r="S1231" s="263">
        <v>320</v>
      </c>
      <c r="T1231" s="284">
        <v>600</v>
      </c>
      <c r="AB1231" s="413"/>
      <c r="AC1231" s="2795"/>
    </row>
    <row r="1232" spans="1:29" ht="12.75" customHeight="1" x14ac:dyDescent="0.2">
      <c r="A1232" s="2029">
        <v>211</v>
      </c>
      <c r="B1232" s="4995"/>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3">
        <f t="shared" si="100"/>
        <v>23</v>
      </c>
      <c r="R1232" s="421" t="s">
        <v>994</v>
      </c>
      <c r="S1232" s="263">
        <v>280</v>
      </c>
      <c r="T1232" s="284">
        <v>500</v>
      </c>
      <c r="AB1232" s="413"/>
      <c r="AC1232" s="2795"/>
    </row>
    <row r="1233" spans="1:29" ht="12.75" customHeight="1" x14ac:dyDescent="0.2">
      <c r="A1233" s="2029">
        <v>211</v>
      </c>
      <c r="B1233" s="4995"/>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3">
        <f t="shared" si="100"/>
        <v>24</v>
      </c>
      <c r="R1233" s="421" t="s">
        <v>995</v>
      </c>
      <c r="S1233" s="263">
        <v>340</v>
      </c>
      <c r="T1233" s="284">
        <v>700</v>
      </c>
      <c r="AB1233" s="413"/>
      <c r="AC1233" s="2795"/>
    </row>
    <row r="1234" spans="1:29" ht="12.75" customHeight="1" x14ac:dyDescent="0.2">
      <c r="A1234" s="2029">
        <v>211</v>
      </c>
      <c r="B1234" s="4995"/>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3">
        <f t="shared" ref="Q1234:Q1265" si="102">COUNTIF($R$1202:$R$1272,"&lt;="&amp;R1234)</f>
        <v>11</v>
      </c>
      <c r="R1234" s="421" t="s">
        <v>996</v>
      </c>
      <c r="S1234" s="263">
        <v>320</v>
      </c>
      <c r="T1234" s="284">
        <v>550</v>
      </c>
      <c r="AB1234" s="413"/>
      <c r="AC1234" s="2795"/>
    </row>
    <row r="1235" spans="1:29" ht="12.75" customHeight="1" x14ac:dyDescent="0.2">
      <c r="A1235" s="2029">
        <v>211</v>
      </c>
      <c r="B1235" s="4995"/>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3">
        <f t="shared" si="102"/>
        <v>12</v>
      </c>
      <c r="R1235" s="421" t="s">
        <v>997</v>
      </c>
      <c r="S1235" s="263">
        <v>280</v>
      </c>
      <c r="T1235" s="284">
        <v>400</v>
      </c>
      <c r="AB1235" s="413"/>
      <c r="AC1235" s="2795"/>
    </row>
    <row r="1236" spans="1:29" ht="12.75" customHeight="1" x14ac:dyDescent="0.2">
      <c r="A1236" s="2029">
        <v>211</v>
      </c>
      <c r="B1236" s="4995"/>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3">
        <f t="shared" si="102"/>
        <v>13</v>
      </c>
      <c r="R1236" s="421" t="s">
        <v>998</v>
      </c>
      <c r="S1236" s="263">
        <v>340</v>
      </c>
      <c r="T1236" s="284">
        <v>700</v>
      </c>
      <c r="AB1236" s="413"/>
      <c r="AC1236" s="2795"/>
    </row>
    <row r="1237" spans="1:29" ht="12.75" customHeight="1" x14ac:dyDescent="0.2">
      <c r="A1237" s="2029">
        <v>211</v>
      </c>
      <c r="B1237" s="4995"/>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3">
        <f t="shared" si="102"/>
        <v>2</v>
      </c>
      <c r="R1237" s="421" t="s">
        <v>999</v>
      </c>
      <c r="S1237" s="263">
        <v>280</v>
      </c>
      <c r="T1237" s="284">
        <v>500</v>
      </c>
      <c r="AB1237" s="413"/>
      <c r="AC1237" s="2795"/>
    </row>
    <row r="1238" spans="1:29" ht="12.75" customHeight="1" x14ac:dyDescent="0.2">
      <c r="A1238" s="2029">
        <v>211</v>
      </c>
      <c r="B1238" s="4995"/>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3">
        <f t="shared" si="102"/>
        <v>3</v>
      </c>
      <c r="R1238" s="421" t="s">
        <v>1000</v>
      </c>
      <c r="S1238" s="263">
        <v>240</v>
      </c>
      <c r="T1238" s="284">
        <v>350</v>
      </c>
      <c r="AB1238" s="413"/>
      <c r="AC1238" s="2795"/>
    </row>
    <row r="1239" spans="1:29" ht="12.75" customHeight="1" x14ac:dyDescent="0.2">
      <c r="A1239" s="2029">
        <v>211</v>
      </c>
      <c r="B1239" s="4995"/>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3">
        <f t="shared" si="102"/>
        <v>4</v>
      </c>
      <c r="R1239" s="421" t="s">
        <v>1001</v>
      </c>
      <c r="S1239" s="263">
        <v>380</v>
      </c>
      <c r="T1239" s="284">
        <v>800</v>
      </c>
      <c r="AB1239" s="413"/>
      <c r="AC1239" s="2795"/>
    </row>
    <row r="1240" spans="1:29" ht="12.75" customHeight="1" x14ac:dyDescent="0.2">
      <c r="A1240" s="2029">
        <v>211</v>
      </c>
      <c r="B1240" s="4995"/>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3">
        <f t="shared" si="102"/>
        <v>44</v>
      </c>
      <c r="R1240" s="421" t="s">
        <v>1002</v>
      </c>
      <c r="S1240" s="263">
        <v>280</v>
      </c>
      <c r="T1240" s="284">
        <v>500</v>
      </c>
      <c r="AB1240" s="413"/>
      <c r="AC1240" s="2795"/>
    </row>
    <row r="1241" spans="1:29" ht="12.75" customHeight="1" x14ac:dyDescent="0.2">
      <c r="A1241" s="2029">
        <v>211</v>
      </c>
      <c r="B1241" s="4995"/>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3">
        <f t="shared" si="102"/>
        <v>45</v>
      </c>
      <c r="R1241" s="421" t="s">
        <v>1003</v>
      </c>
      <c r="S1241" s="263">
        <v>240</v>
      </c>
      <c r="T1241" s="284">
        <v>350</v>
      </c>
      <c r="AB1241" s="413"/>
      <c r="AC1241" s="2795"/>
    </row>
    <row r="1242" spans="1:29" ht="12.75" customHeight="1" x14ac:dyDescent="0.2">
      <c r="A1242" s="2029">
        <v>211</v>
      </c>
      <c r="B1242" s="4995"/>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3">
        <f t="shared" si="102"/>
        <v>46</v>
      </c>
      <c r="R1242" s="421" t="s">
        <v>1004</v>
      </c>
      <c r="S1242" s="263">
        <v>380</v>
      </c>
      <c r="T1242" s="284">
        <v>800</v>
      </c>
      <c r="AB1242" s="413"/>
      <c r="AC1242" s="2795"/>
    </row>
    <row r="1243" spans="1:29" ht="12.75" customHeight="1" x14ac:dyDescent="0.2">
      <c r="A1243" s="2029">
        <v>211</v>
      </c>
      <c r="B1243" s="4995"/>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3">
        <f t="shared" si="102"/>
        <v>69</v>
      </c>
      <c r="R1243" s="421" t="s">
        <v>1005</v>
      </c>
      <c r="S1243" s="263">
        <v>280</v>
      </c>
      <c r="T1243" s="284">
        <v>500</v>
      </c>
      <c r="AB1243" s="413"/>
      <c r="AC1243" s="2795"/>
    </row>
    <row r="1244" spans="1:29" ht="12.75" customHeight="1" x14ac:dyDescent="0.2">
      <c r="A1244" s="2029">
        <v>211</v>
      </c>
      <c r="B1244" s="4995"/>
      <c r="C1244" s="65"/>
      <c r="D1244" s="68"/>
      <c r="E1244" s="594" t="s">
        <v>369</v>
      </c>
      <c r="F1244" s="601">
        <v>82</v>
      </c>
      <c r="G1244" s="593" t="s">
        <v>337</v>
      </c>
      <c r="H1244" s="413"/>
      <c r="I1244" s="65"/>
      <c r="J1244" s="68"/>
      <c r="K1244" s="594" t="s">
        <v>232</v>
      </c>
      <c r="L1244" s="595"/>
      <c r="M1244" s="593"/>
      <c r="N1244" s="413"/>
      <c r="P1244" s="1766" t="str">
        <f t="shared" si="101"/>
        <v>Kirin: Feng Shui</v>
      </c>
      <c r="Q1244" s="2453">
        <f t="shared" si="102"/>
        <v>70</v>
      </c>
      <c r="R1244" s="421" t="s">
        <v>1006</v>
      </c>
      <c r="S1244" s="263">
        <v>240</v>
      </c>
      <c r="T1244" s="284">
        <v>350</v>
      </c>
      <c r="AB1244" s="413"/>
      <c r="AC1244" s="2795"/>
    </row>
    <row r="1245" spans="1:29" ht="12.75" customHeight="1" x14ac:dyDescent="0.2">
      <c r="A1245" s="2029">
        <v>211</v>
      </c>
      <c r="B1245" s="4995"/>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3">
        <f t="shared" si="102"/>
        <v>71</v>
      </c>
      <c r="R1245" s="421" t="s">
        <v>1007</v>
      </c>
      <c r="S1245" s="263">
        <v>380</v>
      </c>
      <c r="T1245" s="284">
        <v>800</v>
      </c>
      <c r="AB1245" s="413"/>
      <c r="AC1245" s="2795"/>
    </row>
    <row r="1246" spans="1:29" ht="12.75" customHeight="1" x14ac:dyDescent="0.2">
      <c r="A1246" s="2029">
        <v>211</v>
      </c>
      <c r="B1246" s="4995"/>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3">
        <f t="shared" si="102"/>
        <v>53</v>
      </c>
      <c r="R1246" s="421" t="s">
        <v>1008</v>
      </c>
      <c r="S1246" s="263">
        <v>400</v>
      </c>
      <c r="T1246" s="284">
        <v>800</v>
      </c>
      <c r="AB1246" s="413"/>
      <c r="AC1246" s="2795"/>
    </row>
    <row r="1247" spans="1:29" ht="12.75" customHeight="1" x14ac:dyDescent="0.2">
      <c r="A1247" s="2029">
        <v>211</v>
      </c>
      <c r="B1247" s="4995"/>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3">
        <f t="shared" si="102"/>
        <v>57</v>
      </c>
      <c r="R1247" s="421" t="s">
        <v>1009</v>
      </c>
      <c r="S1247" s="263">
        <v>220</v>
      </c>
      <c r="T1247" s="284">
        <v>300</v>
      </c>
      <c r="AB1247" s="413"/>
      <c r="AC1247" s="2795"/>
    </row>
    <row r="1248" spans="1:29" ht="12.75" customHeight="1" x14ac:dyDescent="0.2">
      <c r="A1248" s="2029">
        <v>211</v>
      </c>
      <c r="B1248" s="4995"/>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3">
        <f t="shared" si="102"/>
        <v>55</v>
      </c>
      <c r="R1248" s="421" t="s">
        <v>1010</v>
      </c>
      <c r="S1248" s="263">
        <v>280</v>
      </c>
      <c r="T1248" s="284">
        <v>500</v>
      </c>
      <c r="AB1248" s="413"/>
      <c r="AC1248" s="2795"/>
    </row>
    <row r="1249" spans="1:29" ht="12.75" customHeight="1" x14ac:dyDescent="0.2">
      <c r="A1249" s="2029">
        <v>211</v>
      </c>
      <c r="B1249" s="4995"/>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3">
        <f t="shared" si="102"/>
        <v>56</v>
      </c>
      <c r="R1249" s="421" t="s">
        <v>1011</v>
      </c>
      <c r="S1249" s="263">
        <v>340</v>
      </c>
      <c r="T1249" s="284">
        <v>660</v>
      </c>
      <c r="AB1249" s="413"/>
      <c r="AC1249" s="2795"/>
    </row>
    <row r="1250" spans="1:29" ht="12.75" customHeight="1" x14ac:dyDescent="0.2">
      <c r="A1250" s="2029">
        <v>211</v>
      </c>
      <c r="B1250" s="4995"/>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3">
        <f t="shared" si="102"/>
        <v>54</v>
      </c>
      <c r="R1250" s="421" t="s">
        <v>1012</v>
      </c>
      <c r="S1250" s="263">
        <v>400</v>
      </c>
      <c r="T1250" s="284">
        <v>880</v>
      </c>
      <c r="AB1250" s="413"/>
      <c r="AC1250" s="2795"/>
    </row>
    <row r="1251" spans="1:29" ht="12.75" customHeight="1" x14ac:dyDescent="0.2">
      <c r="A1251" s="2029">
        <v>211</v>
      </c>
      <c r="B1251" s="4995"/>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3">
        <f t="shared" si="102"/>
        <v>27</v>
      </c>
      <c r="R1251" s="421" t="s">
        <v>1013</v>
      </c>
      <c r="S1251" s="263">
        <v>400</v>
      </c>
      <c r="T1251" s="284">
        <v>800</v>
      </c>
      <c r="AB1251" s="413"/>
      <c r="AC1251" s="2795"/>
    </row>
    <row r="1252" spans="1:29" ht="12.75" customHeight="1" x14ac:dyDescent="0.2">
      <c r="A1252" s="2029">
        <v>211</v>
      </c>
      <c r="B1252" s="4995"/>
      <c r="C1252" s="65"/>
      <c r="D1252" s="68"/>
      <c r="E1252" s="594" t="s">
        <v>377</v>
      </c>
      <c r="F1252" s="601"/>
      <c r="G1252" s="593"/>
      <c r="H1252" s="413"/>
      <c r="I1252" s="65"/>
      <c r="J1252" s="68"/>
      <c r="K1252" s="594" t="s">
        <v>239</v>
      </c>
      <c r="L1252" s="595"/>
      <c r="M1252" s="593"/>
      <c r="N1252" s="413"/>
      <c r="P1252" s="1766" t="str">
        <f t="shared" si="101"/>
        <v>Rudraskha: Exodus void nova</v>
      </c>
      <c r="Q1252" s="2453">
        <f t="shared" si="102"/>
        <v>29</v>
      </c>
      <c r="R1252" s="421" t="s">
        <v>1014</v>
      </c>
      <c r="S1252" s="263">
        <v>220</v>
      </c>
      <c r="T1252" s="284">
        <v>300</v>
      </c>
      <c r="AB1252" s="413"/>
      <c r="AC1252" s="2795"/>
    </row>
    <row r="1253" spans="1:29" ht="12.75" customHeight="1" x14ac:dyDescent="0.2">
      <c r="A1253" s="2029">
        <v>211</v>
      </c>
      <c r="B1253" s="4995"/>
      <c r="C1253" s="65"/>
      <c r="D1253" s="68"/>
      <c r="E1253" s="594" t="s">
        <v>378</v>
      </c>
      <c r="F1253" s="601">
        <v>2</v>
      </c>
      <c r="G1253" s="593" t="s">
        <v>2037</v>
      </c>
      <c r="H1253" s="413"/>
      <c r="I1253" s="65"/>
      <c r="J1253" s="68"/>
      <c r="K1253" s="594" t="s">
        <v>240</v>
      </c>
      <c r="L1253" s="595" t="s">
        <v>2029</v>
      </c>
      <c r="M1253" s="593">
        <v>1</v>
      </c>
      <c r="N1253" s="413"/>
      <c r="P1253" s="1766" t="str">
        <f t="shared" si="101"/>
        <v>Rudraskha: Void nova</v>
      </c>
      <c r="Q1253" s="2453">
        <f t="shared" si="102"/>
        <v>30</v>
      </c>
      <c r="R1253" s="421" t="s">
        <v>1015</v>
      </c>
      <c r="S1253" s="263">
        <v>280</v>
      </c>
      <c r="T1253" s="284">
        <v>500</v>
      </c>
      <c r="AB1253" s="413"/>
      <c r="AC1253" s="2795"/>
    </row>
    <row r="1254" spans="1:29" ht="12.75" customHeight="1" x14ac:dyDescent="0.2">
      <c r="A1254" s="2029">
        <v>211</v>
      </c>
      <c r="B1254" s="4995"/>
      <c r="C1254" s="65"/>
      <c r="D1254" s="68"/>
      <c r="E1254" s="594" t="s">
        <v>379</v>
      </c>
      <c r="F1254" s="601">
        <v>6</v>
      </c>
      <c r="G1254" s="593" t="s">
        <v>2037</v>
      </c>
      <c r="H1254" s="413"/>
      <c r="I1254" s="65"/>
      <c r="J1254" s="68"/>
      <c r="K1254" s="594" t="s">
        <v>241</v>
      </c>
      <c r="L1254" s="595" t="s">
        <v>2029</v>
      </c>
      <c r="M1254" s="593">
        <v>1</v>
      </c>
      <c r="N1254" s="413"/>
      <c r="P1254" s="1766" t="str">
        <f t="shared" si="101"/>
        <v>Seiryu, el Dragón Celeste</v>
      </c>
      <c r="Q1254" s="2453">
        <f t="shared" si="102"/>
        <v>31</v>
      </c>
      <c r="R1254" s="421" t="s">
        <v>1016</v>
      </c>
      <c r="S1254" s="263">
        <v>340</v>
      </c>
      <c r="T1254" s="284">
        <v>660</v>
      </c>
      <c r="AB1254" s="413"/>
      <c r="AC1254" s="2795"/>
    </row>
    <row r="1255" spans="1:29" ht="12.75" customHeight="1" x14ac:dyDescent="0.2">
      <c r="A1255" s="2029">
        <v>211</v>
      </c>
      <c r="B1255" s="4995"/>
      <c r="C1255" s="65"/>
      <c r="D1255" s="68"/>
      <c r="E1255" s="594" t="s">
        <v>380</v>
      </c>
      <c r="F1255" s="601">
        <v>8</v>
      </c>
      <c r="G1255" s="593" t="s">
        <v>2037</v>
      </c>
      <c r="H1255" s="413"/>
      <c r="I1255" s="65"/>
      <c r="J1255" s="68"/>
      <c r="K1255" s="594" t="s">
        <v>242</v>
      </c>
      <c r="L1255" s="595" t="s">
        <v>2029</v>
      </c>
      <c r="M1255" s="593">
        <v>1</v>
      </c>
      <c r="N1255" s="413"/>
      <c r="P1255" s="1766" t="str">
        <f t="shared" si="101"/>
        <v>Seiryu: La furia de la última tormenta</v>
      </c>
      <c r="Q1255" s="2453">
        <f t="shared" si="102"/>
        <v>28</v>
      </c>
      <c r="R1255" s="421" t="s">
        <v>1017</v>
      </c>
      <c r="S1255" s="263">
        <v>400</v>
      </c>
      <c r="T1255" s="284">
        <v>880</v>
      </c>
      <c r="AB1255" s="413"/>
      <c r="AC1255" s="2795"/>
    </row>
    <row r="1256" spans="1:29" ht="12.75" customHeight="1" x14ac:dyDescent="0.2">
      <c r="A1256" s="2029">
        <v>211</v>
      </c>
      <c r="B1256" s="4995"/>
      <c r="C1256" s="65"/>
      <c r="D1256" s="68"/>
      <c r="E1256" s="594" t="s">
        <v>381</v>
      </c>
      <c r="F1256" s="601">
        <v>10</v>
      </c>
      <c r="G1256" s="593" t="s">
        <v>2037</v>
      </c>
      <c r="H1256" s="413"/>
      <c r="I1256" s="65"/>
      <c r="J1256" s="68"/>
      <c r="K1256" s="594" t="s">
        <v>243</v>
      </c>
      <c r="L1256" s="595" t="s">
        <v>2029</v>
      </c>
      <c r="M1256" s="593">
        <v>2</v>
      </c>
      <c r="N1256" s="413"/>
      <c r="P1256" s="1766" t="str">
        <f t="shared" si="101"/>
        <v>Seiryu: Rayo</v>
      </c>
      <c r="Q1256" s="2453">
        <f t="shared" si="102"/>
        <v>58</v>
      </c>
      <c r="R1256" s="421" t="s">
        <v>1018</v>
      </c>
      <c r="S1256" s="263">
        <v>400</v>
      </c>
      <c r="T1256" s="284">
        <v>800</v>
      </c>
      <c r="AB1256" s="413"/>
      <c r="AC1256" s="2795"/>
    </row>
    <row r="1257" spans="1:29" ht="12.75" customHeight="1" x14ac:dyDescent="0.2">
      <c r="A1257" s="2029">
        <v>211</v>
      </c>
      <c r="B1257" s="4995"/>
      <c r="C1257" s="65"/>
      <c r="D1257" s="68"/>
      <c r="E1257" s="594" t="s">
        <v>382</v>
      </c>
      <c r="F1257" s="601">
        <v>12</v>
      </c>
      <c r="G1257" s="593" t="s">
        <v>2037</v>
      </c>
      <c r="H1257" s="413"/>
      <c r="I1257" s="65"/>
      <c r="J1257" s="68"/>
      <c r="K1257" s="594" t="s">
        <v>244</v>
      </c>
      <c r="L1257" s="595" t="s">
        <v>2029</v>
      </c>
      <c r="M1257" s="593">
        <v>2</v>
      </c>
      <c r="N1257" s="413"/>
      <c r="P1257" s="1766" t="str">
        <f t="shared" si="101"/>
        <v>Seiryu: Señor del este</v>
      </c>
      <c r="Q1257" s="2453">
        <f t="shared" si="102"/>
        <v>62</v>
      </c>
      <c r="R1257" s="421" t="s">
        <v>1019</v>
      </c>
      <c r="S1257" s="263">
        <v>220</v>
      </c>
      <c r="T1257" s="284">
        <v>300</v>
      </c>
      <c r="AB1257" s="413"/>
      <c r="AC1257" s="2795"/>
    </row>
    <row r="1258" spans="1:29" ht="12.75" customHeight="1" x14ac:dyDescent="0.2">
      <c r="A1258" s="2029">
        <v>211</v>
      </c>
      <c r="B1258" s="4995"/>
      <c r="C1258" s="65"/>
      <c r="D1258" s="68"/>
      <c r="E1258" s="594" t="s">
        <v>383</v>
      </c>
      <c r="F1258" s="601">
        <v>16</v>
      </c>
      <c r="G1258" s="593" t="s">
        <v>2037</v>
      </c>
      <c r="H1258" s="413"/>
      <c r="I1258" s="65"/>
      <c r="J1258" s="68"/>
      <c r="K1258" s="594" t="s">
        <v>245</v>
      </c>
      <c r="L1258" s="595" t="s">
        <v>2029</v>
      </c>
      <c r="M1258" s="593">
        <v>3</v>
      </c>
      <c r="N1258" s="413"/>
      <c r="P1258" s="1766" t="str">
        <f t="shared" si="101"/>
        <v>Seiryu: Tormenta</v>
      </c>
      <c r="Q1258" s="2453">
        <f t="shared" si="102"/>
        <v>59</v>
      </c>
      <c r="R1258" s="421" t="s">
        <v>1020</v>
      </c>
      <c r="S1258" s="263">
        <v>280</v>
      </c>
      <c r="T1258" s="284">
        <v>500</v>
      </c>
      <c r="AB1258" s="413"/>
      <c r="AC1258" s="2795"/>
    </row>
    <row r="1259" spans="1:29" ht="12.75" customHeight="1" x14ac:dyDescent="0.2">
      <c r="A1259" s="2029">
        <v>211</v>
      </c>
      <c r="B1259" s="4995"/>
      <c r="C1259" s="65"/>
      <c r="D1259" s="68"/>
      <c r="E1259" s="594" t="s">
        <v>384</v>
      </c>
      <c r="F1259" s="601">
        <v>18</v>
      </c>
      <c r="G1259" s="593" t="s">
        <v>2037</v>
      </c>
      <c r="H1259" s="413"/>
      <c r="I1259" s="65"/>
      <c r="J1259" s="68"/>
      <c r="K1259" s="594" t="s">
        <v>246</v>
      </c>
      <c r="L1259" s="595"/>
      <c r="M1259" s="593"/>
      <c r="N1259" s="413"/>
      <c r="P1259" s="1766" t="str">
        <f t="shared" si="101"/>
        <v>Suzaku, el Fénix</v>
      </c>
      <c r="Q1259" s="2453">
        <f t="shared" si="102"/>
        <v>61</v>
      </c>
      <c r="R1259" s="421" t="s">
        <v>1021</v>
      </c>
      <c r="S1259" s="263">
        <v>340</v>
      </c>
      <c r="T1259" s="284">
        <v>660</v>
      </c>
      <c r="AB1259" s="413"/>
      <c r="AC1259" s="2795"/>
    </row>
    <row r="1260" spans="1:29" ht="12.75" customHeight="1" x14ac:dyDescent="0.2">
      <c r="A1260" s="2029">
        <v>211</v>
      </c>
      <c r="B1260" s="4995"/>
      <c r="C1260" s="65"/>
      <c r="D1260" s="68"/>
      <c r="E1260" s="594" t="s">
        <v>385</v>
      </c>
      <c r="F1260" s="601">
        <v>20</v>
      </c>
      <c r="G1260" s="593" t="s">
        <v>2037</v>
      </c>
      <c r="H1260" s="413"/>
      <c r="I1260" s="65"/>
      <c r="J1260" s="68"/>
      <c r="K1260" s="594" t="s">
        <v>247</v>
      </c>
      <c r="L1260" s="595" t="s">
        <v>117</v>
      </c>
      <c r="M1260" s="593">
        <v>1</v>
      </c>
      <c r="N1260" s="413"/>
      <c r="P1260" s="1766" t="str">
        <f t="shared" si="101"/>
        <v>Suzaku: Calamidad</v>
      </c>
      <c r="Q1260" s="2453">
        <f t="shared" si="102"/>
        <v>60</v>
      </c>
      <c r="R1260" s="421" t="s">
        <v>1022</v>
      </c>
      <c r="S1260" s="263">
        <v>400</v>
      </c>
      <c r="T1260" s="284">
        <v>880</v>
      </c>
      <c r="AB1260" s="413"/>
      <c r="AC1260" s="2795"/>
    </row>
    <row r="1261" spans="1:29" ht="12.75" customHeight="1" x14ac:dyDescent="0.2">
      <c r="A1261" s="2029">
        <v>211</v>
      </c>
      <c r="B1261" s="4995"/>
      <c r="C1261" s="65"/>
      <c r="D1261" s="68"/>
      <c r="E1261" s="594" t="s">
        <v>386</v>
      </c>
      <c r="F1261" s="601">
        <v>22</v>
      </c>
      <c r="G1261" s="593" t="s">
        <v>2037</v>
      </c>
      <c r="H1261" s="413"/>
      <c r="I1261" s="65"/>
      <c r="J1261" s="68"/>
      <c r="K1261" s="594" t="s">
        <v>248</v>
      </c>
      <c r="L1261" s="595" t="s">
        <v>117</v>
      </c>
      <c r="M1261" s="593">
        <v>2</v>
      </c>
      <c r="N1261" s="413"/>
      <c r="P1261" s="1766" t="str">
        <f t="shared" si="101"/>
        <v>Suzaku: El elegido del sol</v>
      </c>
      <c r="Q1261" s="2453">
        <f t="shared" si="102"/>
        <v>5</v>
      </c>
      <c r="R1261" s="421" t="s">
        <v>1023</v>
      </c>
      <c r="S1261" s="263">
        <v>400</v>
      </c>
      <c r="T1261" s="284">
        <v>800</v>
      </c>
      <c r="AB1261" s="413"/>
      <c r="AC1261" s="2795"/>
    </row>
    <row r="1262" spans="1:29" ht="12.75" customHeight="1" x14ac:dyDescent="0.2">
      <c r="A1262" s="2029">
        <v>211</v>
      </c>
      <c r="B1262" s="4995"/>
      <c r="C1262" s="65"/>
      <c r="D1262" s="68"/>
      <c r="E1262" s="594" t="s">
        <v>387</v>
      </c>
      <c r="F1262" s="601">
        <v>26</v>
      </c>
      <c r="G1262" s="593" t="s">
        <v>2037</v>
      </c>
      <c r="H1262" s="413"/>
      <c r="I1262" s="65"/>
      <c r="J1262" s="68"/>
      <c r="K1262" s="594" t="s">
        <v>249</v>
      </c>
      <c r="L1262" s="595" t="s">
        <v>117</v>
      </c>
      <c r="M1262" s="593">
        <v>3</v>
      </c>
      <c r="N1262" s="413"/>
      <c r="P1262" s="1766" t="str">
        <f t="shared" si="101"/>
        <v>Suzaku: Señor del sur</v>
      </c>
      <c r="Q1262" s="2453">
        <f t="shared" si="102"/>
        <v>8</v>
      </c>
      <c r="R1262" s="421" t="s">
        <v>1024</v>
      </c>
      <c r="S1262" s="263">
        <v>220</v>
      </c>
      <c r="T1262" s="284">
        <v>300</v>
      </c>
      <c r="AB1262" s="413"/>
      <c r="AC1262" s="2795"/>
    </row>
    <row r="1263" spans="1:29" ht="12.75" customHeight="1" x14ac:dyDescent="0.2">
      <c r="A1263" s="2029">
        <v>211</v>
      </c>
      <c r="B1263" s="4995"/>
      <c r="C1263" s="65"/>
      <c r="D1263" s="68"/>
      <c r="E1263" s="594" t="s">
        <v>388</v>
      </c>
      <c r="F1263" s="601">
        <v>28</v>
      </c>
      <c r="G1263" s="593" t="s">
        <v>2037</v>
      </c>
      <c r="H1263" s="413"/>
      <c r="I1263" s="65"/>
      <c r="J1263" s="68"/>
      <c r="K1263" s="594" t="s">
        <v>250</v>
      </c>
      <c r="L1263" s="595"/>
      <c r="M1263" s="593"/>
      <c r="N1263" s="413"/>
      <c r="P1263" s="1766" t="str">
        <f t="shared" si="101"/>
        <v>Suzaku: uena fortuna</v>
      </c>
      <c r="Q1263" s="2453">
        <f t="shared" si="102"/>
        <v>7</v>
      </c>
      <c r="R1263" s="421" t="s">
        <v>1025</v>
      </c>
      <c r="S1263" s="263">
        <v>280</v>
      </c>
      <c r="T1263" s="284">
        <v>500</v>
      </c>
      <c r="AB1263" s="413"/>
      <c r="AC1263" s="2795"/>
    </row>
    <row r="1264" spans="1:29" ht="12.75" customHeight="1" x14ac:dyDescent="0.2">
      <c r="A1264" s="2029">
        <v>211</v>
      </c>
      <c r="B1264" s="4995"/>
      <c r="C1264" s="65"/>
      <c r="D1264" s="68"/>
      <c r="E1264" s="594" t="s">
        <v>389</v>
      </c>
      <c r="F1264" s="601">
        <v>30</v>
      </c>
      <c r="G1264" s="593" t="s">
        <v>2037</v>
      </c>
      <c r="H1264" s="413"/>
      <c r="I1264" s="65"/>
      <c r="J1264" s="68"/>
      <c r="K1264" s="594" t="s">
        <v>251</v>
      </c>
      <c r="L1264" s="595" t="str">
        <f>""</f>
        <v/>
      </c>
      <c r="M1264" s="593" t="s">
        <v>1769</v>
      </c>
      <c r="N1264" s="413"/>
      <c r="P1264" s="1766" t="str">
        <f t="shared" si="101"/>
        <v>Tawil At-U'mr, Señor de las Puertas</v>
      </c>
      <c r="Q1264" s="2453">
        <f t="shared" si="102"/>
        <v>9</v>
      </c>
      <c r="R1264" s="421" t="s">
        <v>1026</v>
      </c>
      <c r="S1264" s="263">
        <v>340</v>
      </c>
      <c r="T1264" s="284">
        <v>660</v>
      </c>
      <c r="AB1264" s="413"/>
      <c r="AC1264" s="2795"/>
    </row>
    <row r="1265" spans="1:29" ht="12.75" customHeight="1" x14ac:dyDescent="0.2">
      <c r="A1265" s="2029">
        <v>211</v>
      </c>
      <c r="B1265" s="4995"/>
      <c r="C1265" s="65"/>
      <c r="D1265" s="68"/>
      <c r="E1265" s="594" t="s">
        <v>390</v>
      </c>
      <c r="F1265" s="601">
        <v>32</v>
      </c>
      <c r="G1265" s="593" t="s">
        <v>2037</v>
      </c>
      <c r="H1265" s="413"/>
      <c r="I1265" s="65"/>
      <c r="J1265" s="68"/>
      <c r="K1265" s="594" t="s">
        <v>252</v>
      </c>
      <c r="L1265" s="595" t="str">
        <f>""</f>
        <v/>
      </c>
      <c r="M1265" s="593" t="s">
        <v>1769</v>
      </c>
      <c r="N1265" s="413"/>
      <c r="P1265" s="1766" t="str">
        <f t="shared" si="101"/>
        <v>Tawil At-U'mr: Compresión del tiempo</v>
      </c>
      <c r="Q1265" s="2453">
        <f t="shared" si="102"/>
        <v>6</v>
      </c>
      <c r="R1265" s="421" t="s">
        <v>1027</v>
      </c>
      <c r="S1265" s="263">
        <v>400</v>
      </c>
      <c r="T1265" s="284">
        <v>880</v>
      </c>
      <c r="AB1265" s="413"/>
      <c r="AC1265" s="2795"/>
    </row>
    <row r="1266" spans="1:29" ht="12.75" customHeight="1" x14ac:dyDescent="0.2">
      <c r="A1266" s="2029">
        <v>211</v>
      </c>
      <c r="B1266" s="4995"/>
      <c r="C1266" s="65"/>
      <c r="D1266" s="68"/>
      <c r="E1266" s="594" t="s">
        <v>391</v>
      </c>
      <c r="F1266" s="601">
        <v>36</v>
      </c>
      <c r="G1266" s="593" t="s">
        <v>2037</v>
      </c>
      <c r="H1266" s="413"/>
      <c r="I1266" s="65"/>
      <c r="J1266" s="68"/>
      <c r="K1266" s="594" t="s">
        <v>253</v>
      </c>
      <c r="L1266" s="595" t="str">
        <f>""</f>
        <v/>
      </c>
      <c r="M1266" s="593" t="s">
        <v>1769</v>
      </c>
      <c r="N1266" s="413"/>
      <c r="P1266" s="1766" t="str">
        <f t="shared" ref="P1266:P1272" si="103">VLOOKUP(A65,$Q$1202:$R$1272,2,0)</f>
        <v>Tawil At-U'mr: La puerta</v>
      </c>
      <c r="Q1266" s="2453">
        <f t="shared" ref="Q1266:Q1272" si="104">COUNTIF($R$1202:$R$1272,"&lt;="&amp;R1266)</f>
        <v>42</v>
      </c>
      <c r="R1266" s="421" t="s">
        <v>1028</v>
      </c>
      <c r="S1266" s="263">
        <v>440</v>
      </c>
      <c r="T1266" s="284">
        <v>800</v>
      </c>
      <c r="AB1266" s="413"/>
      <c r="AC1266" s="2795"/>
    </row>
    <row r="1267" spans="1:29" ht="12.75" customHeight="1" thickBot="1" x14ac:dyDescent="0.25">
      <c r="A1267" s="2029">
        <v>211</v>
      </c>
      <c r="B1267" s="4995"/>
      <c r="C1267" s="65"/>
      <c r="D1267" s="68"/>
      <c r="E1267" s="594" t="s">
        <v>392</v>
      </c>
      <c r="F1267" s="601">
        <v>38</v>
      </c>
      <c r="G1267" s="593" t="s">
        <v>2037</v>
      </c>
      <c r="H1267" s="413"/>
      <c r="I1267" s="198"/>
      <c r="J1267" s="199"/>
      <c r="K1267" s="598" t="s">
        <v>254</v>
      </c>
      <c r="L1267" s="599" t="str">
        <f>""</f>
        <v/>
      </c>
      <c r="M1267" s="600" t="s">
        <v>1769</v>
      </c>
      <c r="N1267" s="413"/>
      <c r="P1267" s="1766" t="str">
        <f t="shared" si="103"/>
        <v>Tawil At-U'mr: Más allá del tiempo y el espacio</v>
      </c>
      <c r="Q1267" s="2453">
        <f t="shared" si="104"/>
        <v>43</v>
      </c>
      <c r="R1267" s="421" t="s">
        <v>1029</v>
      </c>
      <c r="S1267" s="263">
        <v>440</v>
      </c>
      <c r="T1267" s="284">
        <v>1000</v>
      </c>
      <c r="AB1267" s="413"/>
      <c r="AC1267" s="2795"/>
    </row>
    <row r="1268" spans="1:29" ht="12.75" customHeight="1" x14ac:dyDescent="0.2">
      <c r="A1268" s="2029">
        <v>211</v>
      </c>
      <c r="B1268" s="4995"/>
      <c r="C1268" s="65"/>
      <c r="D1268" s="68"/>
      <c r="E1268" s="594" t="s">
        <v>393</v>
      </c>
      <c r="F1268" s="601">
        <v>40</v>
      </c>
      <c r="G1268" s="593" t="s">
        <v>2037</v>
      </c>
      <c r="H1268" s="413"/>
      <c r="I1268" s="2112"/>
      <c r="N1268" s="413"/>
      <c r="P1268" s="1766" t="str">
        <f t="shared" si="103"/>
        <v>Thanathos</v>
      </c>
      <c r="Q1268" s="2453">
        <f t="shared" si="104"/>
        <v>17</v>
      </c>
      <c r="R1268" s="421" t="s">
        <v>1030</v>
      </c>
      <c r="S1268" s="263">
        <v>240</v>
      </c>
      <c r="T1268" s="284">
        <v>800</v>
      </c>
      <c r="AB1268" s="413"/>
      <c r="AC1268" s="2795"/>
    </row>
    <row r="1269" spans="1:29" ht="12.75" customHeight="1" x14ac:dyDescent="0.2">
      <c r="A1269" s="2029">
        <v>211</v>
      </c>
      <c r="B1269" s="4995"/>
      <c r="C1269" s="65"/>
      <c r="D1269" s="68"/>
      <c r="E1269" s="594" t="s">
        <v>394</v>
      </c>
      <c r="F1269" s="601">
        <v>42</v>
      </c>
      <c r="G1269" s="593" t="s">
        <v>2037</v>
      </c>
      <c r="H1269" s="413"/>
      <c r="I1269" s="2112"/>
      <c r="N1269" s="413"/>
      <c r="P1269" s="1766" t="str">
        <f t="shared" si="103"/>
        <v>Veles, el Poder de la Magia</v>
      </c>
      <c r="Q1269" s="2453">
        <f t="shared" si="104"/>
        <v>63</v>
      </c>
      <c r="R1269" s="421" t="s">
        <v>1031</v>
      </c>
      <c r="S1269" s="263">
        <v>400</v>
      </c>
      <c r="T1269" s="284">
        <v>800</v>
      </c>
      <c r="AB1269" s="413"/>
      <c r="AC1269" s="2795"/>
    </row>
    <row r="1270" spans="1:29" ht="12.75" customHeight="1" x14ac:dyDescent="0.2">
      <c r="A1270" s="2029">
        <v>211</v>
      </c>
      <c r="B1270" s="4995"/>
      <c r="C1270" s="65"/>
      <c r="D1270" s="68"/>
      <c r="E1270" s="594" t="s">
        <v>395</v>
      </c>
      <c r="F1270" s="601">
        <v>46</v>
      </c>
      <c r="G1270" s="593" t="s">
        <v>2037</v>
      </c>
      <c r="H1270" s="413"/>
      <c r="I1270" s="2112"/>
      <c r="N1270" s="413"/>
      <c r="P1270" s="1766" t="str">
        <f t="shared" si="103"/>
        <v>Ziz, Señor de los Cielos</v>
      </c>
      <c r="Q1270" s="2453">
        <f t="shared" si="104"/>
        <v>64</v>
      </c>
      <c r="R1270" s="421" t="s">
        <v>1032</v>
      </c>
      <c r="S1270" s="263">
        <v>280</v>
      </c>
      <c r="T1270" s="284">
        <v>500</v>
      </c>
      <c r="AB1270" s="413"/>
      <c r="AC1270" s="2795"/>
    </row>
    <row r="1271" spans="1:29" ht="12.75" customHeight="1" x14ac:dyDescent="0.2">
      <c r="A1271" s="2029">
        <v>211</v>
      </c>
      <c r="B1271" s="4995"/>
      <c r="C1271" s="65"/>
      <c r="D1271" s="68"/>
      <c r="E1271" s="594" t="s">
        <v>396</v>
      </c>
      <c r="F1271" s="601">
        <v>48</v>
      </c>
      <c r="G1271" s="593" t="s">
        <v>2037</v>
      </c>
      <c r="H1271" s="413"/>
      <c r="I1271" s="2112"/>
      <c r="N1271" s="413"/>
      <c r="P1271" s="1766" t="str">
        <f t="shared" si="103"/>
        <v>Ziz: Comunión con el viento</v>
      </c>
      <c r="Q1271" s="2453">
        <f t="shared" si="104"/>
        <v>65</v>
      </c>
      <c r="R1271" s="421" t="s">
        <v>1033</v>
      </c>
      <c r="S1271" s="263">
        <v>400</v>
      </c>
      <c r="T1271" s="284">
        <v>900</v>
      </c>
      <c r="AB1271" s="413"/>
      <c r="AC1271" s="2795"/>
    </row>
    <row r="1272" spans="1:29" ht="12.75" customHeight="1" x14ac:dyDescent="0.2">
      <c r="A1272" s="2029">
        <v>211</v>
      </c>
      <c r="B1272" s="4995"/>
      <c r="C1272" s="65"/>
      <c r="D1272" s="68"/>
      <c r="E1272" s="594" t="s">
        <v>397</v>
      </c>
      <c r="F1272" s="601">
        <v>50</v>
      </c>
      <c r="G1272" s="593" t="s">
        <v>2037</v>
      </c>
      <c r="H1272" s="413"/>
      <c r="I1272" s="2112"/>
      <c r="N1272" s="413"/>
      <c r="P1272" s="1766" t="str">
        <f t="shared" si="103"/>
        <v>Ziz: Señor del viento</v>
      </c>
      <c r="Q1272" s="2453">
        <f t="shared" si="104"/>
        <v>66</v>
      </c>
      <c r="R1272" s="421" t="s">
        <v>1034</v>
      </c>
      <c r="S1272" s="263">
        <v>500</v>
      </c>
      <c r="T1272" s="284">
        <v>1200</v>
      </c>
      <c r="AB1272" s="413"/>
      <c r="AC1272" s="2795"/>
    </row>
    <row r="1273" spans="1:29" ht="12.75" customHeight="1" x14ac:dyDescent="0.2">
      <c r="A1273" s="2029">
        <v>211</v>
      </c>
      <c r="B1273" s="4995"/>
      <c r="C1273" s="65"/>
      <c r="D1273" s="68"/>
      <c r="E1273" s="594" t="s">
        <v>398</v>
      </c>
      <c r="F1273" s="601">
        <v>52</v>
      </c>
      <c r="G1273" s="593" t="s">
        <v>2037</v>
      </c>
      <c r="H1273" s="413"/>
      <c r="I1273" s="2112"/>
      <c r="N1273" s="413"/>
      <c r="P1273" s="1766" t="str">
        <f t="shared" ref="P1273:P1318" si="105">VLOOKUP(A1,$Q$1273:$R$1318,2,0)</f>
        <v>&gt; ENCARNACIONES</v>
      </c>
      <c r="Q1273" s="2453">
        <f t="shared" ref="Q1273:Q1318" si="106">COUNTIF($R$1273:$R$1318,"&lt;="&amp;R1273)</f>
        <v>1</v>
      </c>
      <c r="R1273" s="421" t="s">
        <v>1035</v>
      </c>
      <c r="S1273" s="263"/>
      <c r="T1273" s="284"/>
      <c r="AB1273" s="413"/>
      <c r="AC1273" s="2795"/>
    </row>
    <row r="1274" spans="1:29" ht="12.75" customHeight="1" x14ac:dyDescent="0.2">
      <c r="A1274" s="2029">
        <v>211</v>
      </c>
      <c r="B1274" s="4995"/>
      <c r="C1274" s="65"/>
      <c r="D1274" s="68"/>
      <c r="E1274" s="594" t="s">
        <v>399</v>
      </c>
      <c r="F1274" s="601">
        <v>56</v>
      </c>
      <c r="G1274" s="593" t="s">
        <v>2037</v>
      </c>
      <c r="H1274" s="413"/>
      <c r="I1274" s="2112"/>
      <c r="N1274" s="413"/>
      <c r="P1274" s="1766" t="str">
        <f t="shared" si="105"/>
        <v>Aeriel, el Caballero de Argenta (Nv 12)</v>
      </c>
      <c r="Q1274" s="2453">
        <f t="shared" si="106"/>
        <v>30</v>
      </c>
      <c r="R1274" s="421" t="s">
        <v>1036</v>
      </c>
      <c r="S1274" s="263">
        <v>260</v>
      </c>
      <c r="T1274" s="284">
        <v>400</v>
      </c>
      <c r="AB1274" s="413"/>
      <c r="AC1274" s="2795"/>
    </row>
    <row r="1275" spans="1:29" ht="12.75" customHeight="1" x14ac:dyDescent="0.2">
      <c r="A1275" s="2029">
        <v>211</v>
      </c>
      <c r="B1275" s="4995"/>
      <c r="C1275" s="65"/>
      <c r="D1275" s="68"/>
      <c r="E1275" s="594" t="s">
        <v>400</v>
      </c>
      <c r="F1275" s="601">
        <v>58</v>
      </c>
      <c r="G1275" s="593" t="s">
        <v>2037</v>
      </c>
      <c r="H1275" s="413"/>
      <c r="I1275" s="2112"/>
      <c r="N1275" s="413"/>
      <c r="P1275" s="1766" t="str">
        <f t="shared" si="105"/>
        <v>Aeriel, el Caballero de Argenta (Nv 6)</v>
      </c>
      <c r="Q1275" s="2453">
        <f t="shared" si="106"/>
        <v>31</v>
      </c>
      <c r="R1275" s="421" t="s">
        <v>1037</v>
      </c>
      <c r="S1275" s="263">
        <v>300</v>
      </c>
      <c r="T1275" s="284">
        <v>600</v>
      </c>
      <c r="AB1275" s="413"/>
      <c r="AC1275" s="2795"/>
    </row>
    <row r="1276" spans="1:29" ht="12.75" customHeight="1" x14ac:dyDescent="0.2">
      <c r="A1276" s="2029">
        <v>211</v>
      </c>
      <c r="B1276" s="4995"/>
      <c r="C1276" s="65"/>
      <c r="D1276" s="68"/>
      <c r="E1276" s="594" t="s">
        <v>401</v>
      </c>
      <c r="F1276" s="601">
        <v>60</v>
      </c>
      <c r="G1276" s="593" t="s">
        <v>2037</v>
      </c>
      <c r="H1276" s="413"/>
      <c r="I1276" s="2112"/>
      <c r="N1276" s="413"/>
      <c r="P1276" s="1766" t="str">
        <f t="shared" si="105"/>
        <v>Aeriel, el Caballero de Argenta (Nv 9)</v>
      </c>
      <c r="Q1276" s="2453">
        <f t="shared" si="106"/>
        <v>29</v>
      </c>
      <c r="R1276" s="421" t="s">
        <v>1038</v>
      </c>
      <c r="S1276" s="263">
        <v>380</v>
      </c>
      <c r="T1276" s="284">
        <v>900</v>
      </c>
      <c r="AB1276" s="413"/>
      <c r="AC1276" s="2795"/>
    </row>
    <row r="1277" spans="1:29" ht="12.75" customHeight="1" x14ac:dyDescent="0.2">
      <c r="A1277" s="2029">
        <v>211</v>
      </c>
      <c r="B1277" s="4995"/>
      <c r="C1277" s="65"/>
      <c r="D1277" s="68"/>
      <c r="E1277" s="594" t="s">
        <v>402</v>
      </c>
      <c r="F1277" s="601">
        <v>62</v>
      </c>
      <c r="G1277" s="593" t="s">
        <v>2037</v>
      </c>
      <c r="H1277" s="413"/>
      <c r="I1277" s="2112"/>
      <c r="N1277" s="413"/>
      <c r="P1277" s="1766" t="str">
        <f t="shared" si="105"/>
        <v>Ambrose Magus, el Hechicero (Nv 4)</v>
      </c>
      <c r="Q1277" s="2453">
        <f t="shared" si="106"/>
        <v>36</v>
      </c>
      <c r="R1277" s="421" t="s">
        <v>1039</v>
      </c>
      <c r="S1277" s="263">
        <v>280</v>
      </c>
      <c r="T1277" s="284">
        <v>350</v>
      </c>
      <c r="AB1277" s="413"/>
      <c r="AC1277" s="2795"/>
    </row>
    <row r="1278" spans="1:29" ht="12.75" customHeight="1" x14ac:dyDescent="0.2">
      <c r="A1278" s="2029">
        <v>211</v>
      </c>
      <c r="B1278" s="4995"/>
      <c r="C1278" s="65"/>
      <c r="D1278" s="68"/>
      <c r="E1278" s="594" t="s">
        <v>403</v>
      </c>
      <c r="F1278" s="601">
        <v>66</v>
      </c>
      <c r="G1278" s="593" t="s">
        <v>2037</v>
      </c>
      <c r="H1278" s="413"/>
      <c r="I1278" s="2112"/>
      <c r="N1278" s="413"/>
      <c r="P1278" s="1766" t="str">
        <f t="shared" si="105"/>
        <v>Ambrose Magus, el Hechicero (Nv 6)</v>
      </c>
      <c r="Q1278" s="2453">
        <f t="shared" si="106"/>
        <v>37</v>
      </c>
      <c r="R1278" s="421" t="s">
        <v>1040</v>
      </c>
      <c r="S1278" s="263">
        <v>340</v>
      </c>
      <c r="T1278" s="284">
        <v>700</v>
      </c>
      <c r="AB1278" s="413"/>
      <c r="AC1278" s="2795"/>
    </row>
    <row r="1279" spans="1:29" ht="12.75" customHeight="1" x14ac:dyDescent="0.2">
      <c r="A1279" s="2029">
        <v>211</v>
      </c>
      <c r="B1279" s="4995"/>
      <c r="C1279" s="65"/>
      <c r="D1279" s="68"/>
      <c r="E1279" s="594" t="s">
        <v>404</v>
      </c>
      <c r="F1279" s="601">
        <v>68</v>
      </c>
      <c r="G1279" s="593" t="s">
        <v>2037</v>
      </c>
      <c r="H1279" s="413"/>
      <c r="I1279" s="2112"/>
      <c r="N1279" s="413"/>
      <c r="P1279" s="1766" t="str">
        <f t="shared" si="105"/>
        <v>Ambrose Magus, el Hechicero (Nv 8)</v>
      </c>
      <c r="Q1279" s="2453">
        <f t="shared" si="106"/>
        <v>35</v>
      </c>
      <c r="R1279" s="421" t="s">
        <v>1041</v>
      </c>
      <c r="S1279" s="263">
        <v>400</v>
      </c>
      <c r="T1279" s="284">
        <v>900</v>
      </c>
      <c r="AB1279" s="413"/>
      <c r="AC1279" s="2795"/>
    </row>
    <row r="1280" spans="1:29" ht="12.75" customHeight="1" x14ac:dyDescent="0.2">
      <c r="A1280" s="2029">
        <v>211</v>
      </c>
      <c r="B1280" s="4995"/>
      <c r="C1280" s="65"/>
      <c r="D1280" s="68"/>
      <c r="E1280" s="594" t="s">
        <v>405</v>
      </c>
      <c r="F1280" s="601">
        <v>70</v>
      </c>
      <c r="G1280" s="593" t="s">
        <v>2037</v>
      </c>
      <c r="H1280" s="413"/>
      <c r="I1280" s="2112"/>
      <c r="N1280" s="413"/>
      <c r="P1280" s="1766" t="str">
        <f t="shared" si="105"/>
        <v>Anassilish, el Sin Rostro (Nv 2)</v>
      </c>
      <c r="Q1280" s="2453">
        <f t="shared" si="106"/>
        <v>14</v>
      </c>
      <c r="R1280" s="421" t="s">
        <v>1042</v>
      </c>
      <c r="S1280" s="263">
        <v>220</v>
      </c>
      <c r="T1280" s="284">
        <v>200</v>
      </c>
      <c r="AB1280" s="413"/>
      <c r="AC1280" s="2795"/>
    </row>
    <row r="1281" spans="1:29" ht="12.75" customHeight="1" x14ac:dyDescent="0.2">
      <c r="A1281" s="2029">
        <v>211</v>
      </c>
      <c r="B1281" s="4995"/>
      <c r="C1281" s="65"/>
      <c r="D1281" s="68"/>
      <c r="E1281" s="594" t="s">
        <v>406</v>
      </c>
      <c r="F1281" s="601">
        <v>72</v>
      </c>
      <c r="G1281" s="593" t="s">
        <v>2037</v>
      </c>
      <c r="H1281" s="413"/>
      <c r="I1281" s="2112"/>
      <c r="N1281" s="413"/>
      <c r="P1281" s="1766" t="str">
        <f t="shared" si="105"/>
        <v>Anassilish, el Sin Rostro (Nv 5)</v>
      </c>
      <c r="Q1281" s="2453">
        <f t="shared" si="106"/>
        <v>15</v>
      </c>
      <c r="R1281" s="421" t="s">
        <v>1043</v>
      </c>
      <c r="S1281" s="263">
        <v>300</v>
      </c>
      <c r="T1281" s="284">
        <v>480</v>
      </c>
      <c r="AB1281" s="413"/>
      <c r="AC1281" s="2795"/>
    </row>
    <row r="1282" spans="1:29" ht="12.75" customHeight="1" x14ac:dyDescent="0.2">
      <c r="A1282" s="2029">
        <v>211</v>
      </c>
      <c r="B1282" s="4995"/>
      <c r="C1282" s="65"/>
      <c r="D1282" s="68"/>
      <c r="E1282" s="594" t="s">
        <v>407</v>
      </c>
      <c r="F1282" s="601">
        <v>76</v>
      </c>
      <c r="G1282" s="593" t="s">
        <v>2037</v>
      </c>
      <c r="H1282" s="413"/>
      <c r="I1282" s="2112"/>
      <c r="N1282" s="413"/>
      <c r="P1282" s="1766" t="str">
        <f t="shared" si="105"/>
        <v>Anassilish, el Sin Rostro (Nv 8)</v>
      </c>
      <c r="Q1282" s="2453">
        <f t="shared" si="106"/>
        <v>16</v>
      </c>
      <c r="R1282" s="421" t="s">
        <v>1044</v>
      </c>
      <c r="S1282" s="263">
        <v>360</v>
      </c>
      <c r="T1282" s="284">
        <v>600</v>
      </c>
      <c r="AB1282" s="413"/>
      <c r="AC1282" s="2795"/>
    </row>
    <row r="1283" spans="1:29" ht="12.75" customHeight="1" x14ac:dyDescent="0.2">
      <c r="A1283" s="2029">
        <v>211</v>
      </c>
      <c r="B1283" s="4995"/>
      <c r="C1283" s="65"/>
      <c r="D1283" s="68"/>
      <c r="E1283" s="594" t="s">
        <v>408</v>
      </c>
      <c r="F1283" s="601">
        <v>78</v>
      </c>
      <c r="G1283" s="593" t="s">
        <v>2037</v>
      </c>
      <c r="H1283" s="413"/>
      <c r="I1283" s="2112"/>
      <c r="N1283" s="413"/>
      <c r="P1283" s="1766" t="str">
        <f t="shared" si="105"/>
        <v>Arturia, el León Blanco (Nv 1)</v>
      </c>
      <c r="Q1283" s="2453">
        <f t="shared" si="106"/>
        <v>38</v>
      </c>
      <c r="R1283" s="421" t="s">
        <v>1045</v>
      </c>
      <c r="S1283" s="263">
        <v>200</v>
      </c>
      <c r="T1283" s="284">
        <v>150</v>
      </c>
      <c r="AB1283" s="413"/>
      <c r="AC1283" s="2795"/>
    </row>
    <row r="1284" spans="1:29" ht="12.75" customHeight="1" x14ac:dyDescent="0.2">
      <c r="A1284" s="2029">
        <v>211</v>
      </c>
      <c r="B1284" s="4995"/>
      <c r="C1284" s="65"/>
      <c r="D1284" s="68"/>
      <c r="E1284" s="594" t="s">
        <v>409</v>
      </c>
      <c r="F1284" s="601">
        <v>80</v>
      </c>
      <c r="G1284" s="593" t="s">
        <v>2037</v>
      </c>
      <c r="H1284" s="413"/>
      <c r="I1284" s="2112"/>
      <c r="N1284" s="413"/>
      <c r="P1284" s="1766" t="str">
        <f t="shared" si="105"/>
        <v>Arturia, el León Blanco (Nv 3)</v>
      </c>
      <c r="Q1284" s="2453">
        <f t="shared" si="106"/>
        <v>39</v>
      </c>
      <c r="R1284" s="421" t="s">
        <v>1046</v>
      </c>
      <c r="S1284" s="263">
        <v>240</v>
      </c>
      <c r="T1284" s="284">
        <v>300</v>
      </c>
      <c r="AB1284" s="413"/>
      <c r="AC1284" s="2795"/>
    </row>
    <row r="1285" spans="1:29" ht="12.75" customHeight="1" x14ac:dyDescent="0.2">
      <c r="A1285" s="2029">
        <v>211</v>
      </c>
      <c r="B1285" s="4995"/>
      <c r="C1285" s="65"/>
      <c r="D1285" s="68"/>
      <c r="E1285" s="594" t="s">
        <v>410</v>
      </c>
      <c r="F1285" s="601">
        <v>82</v>
      </c>
      <c r="G1285" s="593" t="s">
        <v>2037</v>
      </c>
      <c r="H1285" s="413"/>
      <c r="I1285" s="2112"/>
      <c r="N1285" s="413"/>
      <c r="P1285" s="1766" t="str">
        <f t="shared" si="105"/>
        <v>Arturia, el León Blanco (Nv 6)</v>
      </c>
      <c r="Q1285" s="2453">
        <f t="shared" si="106"/>
        <v>40</v>
      </c>
      <c r="R1285" s="421" t="s">
        <v>1047</v>
      </c>
      <c r="S1285" s="263">
        <v>260</v>
      </c>
      <c r="T1285" s="284">
        <v>450</v>
      </c>
      <c r="AB1285" s="413"/>
      <c r="AC1285" s="2795"/>
    </row>
    <row r="1286" spans="1:29" ht="12.75" customHeight="1" x14ac:dyDescent="0.2">
      <c r="A1286" s="2029">
        <v>211</v>
      </c>
      <c r="B1286" s="4995"/>
      <c r="C1286" s="65"/>
      <c r="D1286" s="68"/>
      <c r="E1286" s="594" t="s">
        <v>411</v>
      </c>
      <c r="F1286" s="601">
        <v>86</v>
      </c>
      <c r="G1286" s="593" t="s">
        <v>2037</v>
      </c>
      <c r="H1286" s="413"/>
      <c r="I1286" s="2112"/>
      <c r="N1286" s="413"/>
      <c r="P1286" s="1766" t="str">
        <f t="shared" si="105"/>
        <v>Eiko, la princesa Oni (Nv 3)</v>
      </c>
      <c r="Q1286" s="2453">
        <f t="shared" si="106"/>
        <v>18</v>
      </c>
      <c r="R1286" s="421" t="s">
        <v>1048</v>
      </c>
      <c r="S1286" s="263">
        <v>270</v>
      </c>
      <c r="T1286" s="284">
        <v>390</v>
      </c>
      <c r="AB1286" s="413"/>
      <c r="AC1286" s="2795"/>
    </row>
    <row r="1287" spans="1:29" ht="12.75" customHeight="1" x14ac:dyDescent="0.2">
      <c r="A1287" s="2029">
        <v>211</v>
      </c>
      <c r="B1287" s="4995"/>
      <c r="C1287" s="65"/>
      <c r="D1287" s="68"/>
      <c r="E1287" s="594" t="s">
        <v>412</v>
      </c>
      <c r="F1287" s="601">
        <v>88</v>
      </c>
      <c r="G1287" s="593" t="s">
        <v>2037</v>
      </c>
      <c r="H1287" s="413"/>
      <c r="I1287" s="2112"/>
      <c r="N1287" s="413"/>
      <c r="P1287" s="1766" t="str">
        <f t="shared" si="105"/>
        <v>Eiko, la princesa Oni (Nv 6)</v>
      </c>
      <c r="Q1287" s="2453">
        <f t="shared" si="106"/>
        <v>19</v>
      </c>
      <c r="R1287" s="421" t="s">
        <v>1049</v>
      </c>
      <c r="S1287" s="263">
        <v>380</v>
      </c>
      <c r="T1287" s="284">
        <v>750</v>
      </c>
      <c r="AB1287" s="413"/>
      <c r="AC1287" s="2795"/>
    </row>
    <row r="1288" spans="1:29" ht="12.75" customHeight="1" x14ac:dyDescent="0.2">
      <c r="A1288" s="2029">
        <v>211</v>
      </c>
      <c r="B1288" s="4995"/>
      <c r="C1288" s="65"/>
      <c r="D1288" s="68"/>
      <c r="E1288" s="594" t="s">
        <v>413</v>
      </c>
      <c r="F1288" s="601">
        <v>90</v>
      </c>
      <c r="G1288" s="593" t="s">
        <v>2037</v>
      </c>
      <c r="H1288" s="413"/>
      <c r="I1288" s="2112"/>
      <c r="N1288" s="413"/>
      <c r="P1288" s="1766" t="str">
        <f t="shared" si="105"/>
        <v>Eiko, la princesa Oni (Nv 9)</v>
      </c>
      <c r="Q1288" s="2453">
        <f t="shared" si="106"/>
        <v>17</v>
      </c>
      <c r="R1288" s="421" t="s">
        <v>1050</v>
      </c>
      <c r="S1288" s="263">
        <v>490</v>
      </c>
      <c r="T1288" s="284">
        <v>1400</v>
      </c>
      <c r="AB1288" s="413"/>
      <c r="AC1288" s="2795"/>
    </row>
    <row r="1289" spans="1:29" ht="12.75" customHeight="1" x14ac:dyDescent="0.2">
      <c r="A1289" s="2029">
        <v>211</v>
      </c>
      <c r="B1289" s="4995"/>
      <c r="C1289" s="65"/>
      <c r="D1289" s="68"/>
      <c r="E1289" s="594" t="s">
        <v>414</v>
      </c>
      <c r="F1289" s="601">
        <v>92</v>
      </c>
      <c r="G1289" s="593" t="s">
        <v>2037</v>
      </c>
      <c r="H1289" s="413"/>
      <c r="I1289" s="2112"/>
      <c r="N1289" s="413"/>
      <c r="P1289" s="1766" t="str">
        <f t="shared" si="105"/>
        <v>Gygjur, Asesino de Dragones (Nv 13)</v>
      </c>
      <c r="Q1289" s="2453">
        <f t="shared" si="106"/>
        <v>11</v>
      </c>
      <c r="R1289" s="421" t="s">
        <v>1051</v>
      </c>
      <c r="S1289" s="263">
        <v>160</v>
      </c>
      <c r="T1289" s="284">
        <v>180</v>
      </c>
      <c r="AB1289" s="413"/>
      <c r="AC1289" s="2795"/>
    </row>
    <row r="1290" spans="1:29" ht="12.75" customHeight="1" x14ac:dyDescent="0.2">
      <c r="A1290" s="2029">
        <v>211</v>
      </c>
      <c r="B1290" s="4995"/>
      <c r="C1290" s="65"/>
      <c r="D1290" s="68"/>
      <c r="E1290" s="594" t="s">
        <v>415</v>
      </c>
      <c r="F1290" s="601">
        <v>96</v>
      </c>
      <c r="G1290" s="593" t="s">
        <v>2037</v>
      </c>
      <c r="H1290" s="413"/>
      <c r="I1290" s="2112"/>
      <c r="N1290" s="413"/>
      <c r="P1290" s="1766" t="str">
        <f t="shared" si="105"/>
        <v>Gygjur, Asesino de Dragones (Nv 5)</v>
      </c>
      <c r="Q1290" s="2453">
        <f t="shared" si="106"/>
        <v>12</v>
      </c>
      <c r="R1290" s="421" t="s">
        <v>1052</v>
      </c>
      <c r="S1290" s="263">
        <v>200</v>
      </c>
      <c r="T1290" s="284">
        <v>300</v>
      </c>
      <c r="AB1290" s="413"/>
      <c r="AC1290" s="2795"/>
    </row>
    <row r="1291" spans="1:29" ht="12.75" customHeight="1" x14ac:dyDescent="0.2">
      <c r="A1291" s="2029">
        <v>211</v>
      </c>
      <c r="B1291" s="4995"/>
      <c r="C1291" s="65"/>
      <c r="D1291" s="68"/>
      <c r="E1291" s="594" t="s">
        <v>416</v>
      </c>
      <c r="F1291" s="601">
        <v>98</v>
      </c>
      <c r="G1291" s="593" t="s">
        <v>2037</v>
      </c>
      <c r="H1291" s="413"/>
      <c r="I1291" s="2112"/>
      <c r="N1291" s="413"/>
      <c r="P1291" s="1766" t="str">
        <f t="shared" si="105"/>
        <v>Gygjur, Asesino de Dragones (Nv 9)</v>
      </c>
      <c r="Q1291" s="2453">
        <f t="shared" si="106"/>
        <v>13</v>
      </c>
      <c r="R1291" s="421" t="s">
        <v>1053</v>
      </c>
      <c r="S1291" s="263">
        <v>280</v>
      </c>
      <c r="T1291" s="284">
        <v>400</v>
      </c>
      <c r="AB1291" s="413"/>
      <c r="AC1291" s="2795"/>
    </row>
    <row r="1292" spans="1:29" ht="12.75" customHeight="1" x14ac:dyDescent="0.2">
      <c r="A1292" s="2029">
        <v>211</v>
      </c>
      <c r="B1292" s="4995"/>
      <c r="C1292" s="65"/>
      <c r="D1292" s="68"/>
      <c r="E1292" s="594" t="s">
        <v>417</v>
      </c>
      <c r="F1292" s="601">
        <v>100</v>
      </c>
      <c r="G1292" s="593" t="s">
        <v>2037</v>
      </c>
      <c r="H1292" s="413"/>
      <c r="I1292" s="2112"/>
      <c r="N1292" s="413"/>
      <c r="P1292" s="1766" t="str">
        <f t="shared" si="105"/>
        <v>Holst, Rey de Héroes (Nv 12)</v>
      </c>
      <c r="Q1292" s="2453">
        <f t="shared" si="106"/>
        <v>23</v>
      </c>
      <c r="R1292" s="421" t="s">
        <v>1054</v>
      </c>
      <c r="S1292" s="263">
        <v>230</v>
      </c>
      <c r="T1292" s="284">
        <v>200</v>
      </c>
      <c r="AB1292" s="413"/>
      <c r="AC1292" s="2795"/>
    </row>
    <row r="1293" spans="1:29" ht="12.75" customHeight="1" x14ac:dyDescent="0.2">
      <c r="A1293" s="2029">
        <v>211</v>
      </c>
      <c r="B1293" s="4995"/>
      <c r="C1293" s="65"/>
      <c r="D1293" s="68"/>
      <c r="E1293" s="594" t="s">
        <v>418</v>
      </c>
      <c r="F1293" s="601"/>
      <c r="G1293" s="593"/>
      <c r="H1293" s="413"/>
      <c r="I1293" s="2112"/>
      <c r="N1293" s="413"/>
      <c r="P1293" s="1766" t="str">
        <f t="shared" si="105"/>
        <v>Holst, Rey de Héroes (Nv 15)</v>
      </c>
      <c r="Q1293" s="2453">
        <f t="shared" si="106"/>
        <v>24</v>
      </c>
      <c r="R1293" s="421" t="s">
        <v>1055</v>
      </c>
      <c r="S1293" s="263">
        <v>280</v>
      </c>
      <c r="T1293" s="284">
        <v>450</v>
      </c>
      <c r="AB1293" s="413"/>
      <c r="AC1293" s="2795"/>
    </row>
    <row r="1294" spans="1:29" ht="12.75" customHeight="1" x14ac:dyDescent="0.2">
      <c r="A1294" s="2029">
        <v>211</v>
      </c>
      <c r="B1294" s="4995"/>
      <c r="C1294" s="65"/>
      <c r="D1294" s="68"/>
      <c r="E1294" s="594" t="s">
        <v>419</v>
      </c>
      <c r="F1294" s="601">
        <v>2</v>
      </c>
      <c r="G1294" s="593" t="s">
        <v>1931</v>
      </c>
      <c r="H1294" s="413"/>
      <c r="I1294" s="2112"/>
      <c r="N1294" s="413"/>
      <c r="P1294" s="1766" t="str">
        <f t="shared" si="105"/>
        <v>Holst, Rey de Héroes (Nv 8)</v>
      </c>
      <c r="Q1294" s="2453">
        <f t="shared" si="106"/>
        <v>25</v>
      </c>
      <c r="R1294" s="421" t="s">
        <v>1056</v>
      </c>
      <c r="S1294" s="263">
        <v>320</v>
      </c>
      <c r="T1294" s="284">
        <v>550</v>
      </c>
      <c r="AB1294" s="413"/>
      <c r="AC1294" s="2795"/>
    </row>
    <row r="1295" spans="1:29" ht="12.75" customHeight="1" x14ac:dyDescent="0.2">
      <c r="A1295" s="2029">
        <v>211</v>
      </c>
      <c r="B1295" s="4995"/>
      <c r="C1295" s="65"/>
      <c r="D1295" s="68"/>
      <c r="E1295" s="594" t="s">
        <v>420</v>
      </c>
      <c r="F1295" s="601">
        <v>6</v>
      </c>
      <c r="G1295" s="593" t="s">
        <v>1931</v>
      </c>
      <c r="H1295" s="413"/>
      <c r="I1295" s="2112"/>
      <c r="N1295" s="413"/>
      <c r="P1295" s="1766" t="str">
        <f t="shared" si="105"/>
        <v>Kha-nefer, el Sacerdote Impío (Nv 3)</v>
      </c>
      <c r="Q1295" s="2453">
        <f t="shared" si="106"/>
        <v>8</v>
      </c>
      <c r="R1295" s="421" t="s">
        <v>1057</v>
      </c>
      <c r="S1295" s="263">
        <v>180</v>
      </c>
      <c r="T1295" s="284">
        <v>150</v>
      </c>
      <c r="AB1295" s="413"/>
      <c r="AC1295" s="2795"/>
    </row>
    <row r="1296" spans="1:29" ht="12.75" customHeight="1" x14ac:dyDescent="0.2">
      <c r="A1296" s="2029">
        <v>211</v>
      </c>
      <c r="B1296" s="4995"/>
      <c r="C1296" s="65"/>
      <c r="D1296" s="68"/>
      <c r="E1296" s="594" t="s">
        <v>421</v>
      </c>
      <c r="F1296" s="601">
        <v>10</v>
      </c>
      <c r="G1296" s="593" t="s">
        <v>1931</v>
      </c>
      <c r="H1296" s="413"/>
      <c r="I1296" s="2112"/>
      <c r="N1296" s="413"/>
      <c r="P1296" s="1766" t="str">
        <f t="shared" si="105"/>
        <v>Kha-nefer, el Sacerdote Impío (Nv 6)</v>
      </c>
      <c r="Q1296" s="2453">
        <f t="shared" si="106"/>
        <v>9</v>
      </c>
      <c r="R1296" s="421" t="s">
        <v>1058</v>
      </c>
      <c r="S1296" s="263">
        <v>280</v>
      </c>
      <c r="T1296" s="284">
        <v>400</v>
      </c>
      <c r="AB1296" s="413"/>
      <c r="AC1296" s="2795"/>
    </row>
    <row r="1297" spans="1:29" ht="12.75" customHeight="1" x14ac:dyDescent="0.2">
      <c r="A1297" s="2029">
        <v>211</v>
      </c>
      <c r="B1297" s="4995"/>
      <c r="C1297" s="65"/>
      <c r="D1297" s="68"/>
      <c r="E1297" s="594" t="s">
        <v>422</v>
      </c>
      <c r="F1297" s="601">
        <v>12</v>
      </c>
      <c r="G1297" s="593" t="s">
        <v>1931</v>
      </c>
      <c r="H1297" s="413"/>
      <c r="I1297" s="2112"/>
      <c r="N1297" s="413"/>
      <c r="P1297" s="1766" t="str">
        <f t="shared" si="105"/>
        <v>Kha-nefer, el Sacerdote Impío (Nv 9)</v>
      </c>
      <c r="Q1297" s="2453">
        <f t="shared" si="106"/>
        <v>10</v>
      </c>
      <c r="R1297" s="421" t="s">
        <v>1059</v>
      </c>
      <c r="S1297" s="263">
        <v>300</v>
      </c>
      <c r="T1297" s="284">
        <v>600</v>
      </c>
      <c r="AB1297" s="413"/>
      <c r="AC1297" s="2795"/>
    </row>
    <row r="1298" spans="1:29" ht="12.75" customHeight="1" x14ac:dyDescent="0.2">
      <c r="A1298" s="2029">
        <v>211</v>
      </c>
      <c r="B1298" s="4995"/>
      <c r="C1298" s="65"/>
      <c r="D1298" s="68"/>
      <c r="E1298" s="594" t="s">
        <v>423</v>
      </c>
      <c r="F1298" s="601">
        <v>16</v>
      </c>
      <c r="G1298" s="593" t="s">
        <v>1931</v>
      </c>
      <c r="H1298" s="413"/>
      <c r="I1298" s="2112"/>
      <c r="N1298" s="413"/>
      <c r="P1298" s="1766" t="str">
        <f t="shared" si="105"/>
        <v>Kristoff, el Rey Pirata (Nv 11)</v>
      </c>
      <c r="Q1298" s="2453">
        <f t="shared" si="106"/>
        <v>5</v>
      </c>
      <c r="R1298" s="421" t="s">
        <v>1060</v>
      </c>
      <c r="S1298" s="263">
        <v>240</v>
      </c>
      <c r="T1298" s="284">
        <v>200</v>
      </c>
      <c r="AB1298" s="413"/>
      <c r="AC1298" s="2795"/>
    </row>
    <row r="1299" spans="1:29" ht="12.75" customHeight="1" x14ac:dyDescent="0.2">
      <c r="A1299" s="2029">
        <v>211</v>
      </c>
      <c r="B1299" s="4995"/>
      <c r="C1299" s="65"/>
      <c r="D1299" s="68"/>
      <c r="E1299" s="594" t="s">
        <v>424</v>
      </c>
      <c r="F1299" s="601">
        <v>20</v>
      </c>
      <c r="G1299" s="593" t="s">
        <v>1931</v>
      </c>
      <c r="H1299" s="413"/>
      <c r="I1299" s="2112"/>
      <c r="N1299" s="413"/>
      <c r="P1299" s="1766" t="str">
        <f t="shared" si="105"/>
        <v>Kristoff, el Rey Pirata (Nv 4)</v>
      </c>
      <c r="Q1299" s="2453">
        <f t="shared" si="106"/>
        <v>6</v>
      </c>
      <c r="R1299" s="421" t="s">
        <v>1061</v>
      </c>
      <c r="S1299" s="263">
        <v>260</v>
      </c>
      <c r="T1299" s="284">
        <v>350</v>
      </c>
      <c r="AB1299" s="413"/>
      <c r="AC1299" s="2795"/>
    </row>
    <row r="1300" spans="1:29" ht="12.75" customHeight="1" x14ac:dyDescent="0.2">
      <c r="A1300" s="2029">
        <v>211</v>
      </c>
      <c r="B1300" s="4995"/>
      <c r="C1300" s="65"/>
      <c r="D1300" s="68"/>
      <c r="E1300" s="594" t="s">
        <v>425</v>
      </c>
      <c r="F1300" s="601">
        <v>22</v>
      </c>
      <c r="G1300" s="593" t="s">
        <v>1931</v>
      </c>
      <c r="H1300" s="413"/>
      <c r="I1300" s="2112"/>
      <c r="N1300" s="413"/>
      <c r="P1300" s="1766" t="str">
        <f t="shared" si="105"/>
        <v>Kristoff, el Rey Pirata (Nv 8)</v>
      </c>
      <c r="Q1300" s="2453">
        <f t="shared" si="106"/>
        <v>7</v>
      </c>
      <c r="R1300" s="421" t="s">
        <v>1062</v>
      </c>
      <c r="S1300" s="263">
        <v>280</v>
      </c>
      <c r="T1300" s="284">
        <v>500</v>
      </c>
      <c r="AB1300" s="413"/>
      <c r="AC1300" s="2795"/>
    </row>
    <row r="1301" spans="1:29" ht="12.75" customHeight="1" x14ac:dyDescent="0.2">
      <c r="A1301" s="2029">
        <v>211</v>
      </c>
      <c r="B1301" s="4995"/>
      <c r="C1301" s="65"/>
      <c r="D1301" s="68"/>
      <c r="E1301" s="594" t="s">
        <v>426</v>
      </c>
      <c r="F1301" s="601">
        <v>26</v>
      </c>
      <c r="G1301" s="593" t="s">
        <v>1931</v>
      </c>
      <c r="H1301" s="413"/>
      <c r="I1301" s="2112"/>
      <c r="N1301" s="413"/>
      <c r="P1301" s="1766" t="str">
        <f t="shared" si="105"/>
        <v>Linx Kazte Hex, la Sombra de la Muerte (Nv 12)</v>
      </c>
      <c r="Q1301" s="2453">
        <f t="shared" si="106"/>
        <v>42</v>
      </c>
      <c r="R1301" s="421" t="s">
        <v>1063</v>
      </c>
      <c r="S1301" s="263">
        <v>280</v>
      </c>
      <c r="T1301" s="284">
        <v>450</v>
      </c>
      <c r="AB1301" s="413"/>
      <c r="AC1301" s="2795"/>
    </row>
    <row r="1302" spans="1:29" ht="12.75" customHeight="1" x14ac:dyDescent="0.2">
      <c r="A1302" s="2029">
        <v>211</v>
      </c>
      <c r="B1302" s="4995"/>
      <c r="C1302" s="65"/>
      <c r="D1302" s="68"/>
      <c r="E1302" s="594" t="s">
        <v>427</v>
      </c>
      <c r="F1302" s="601">
        <v>30</v>
      </c>
      <c r="G1302" s="593" t="s">
        <v>1931</v>
      </c>
      <c r="H1302" s="413"/>
      <c r="I1302" s="2112"/>
      <c r="N1302" s="413"/>
      <c r="P1302" s="1766" t="str">
        <f t="shared" si="105"/>
        <v>Linx Kazte Hex, la Sombra de la Muerte (Nv 4)</v>
      </c>
      <c r="Q1302" s="2453">
        <f t="shared" si="106"/>
        <v>43</v>
      </c>
      <c r="R1302" s="421" t="s">
        <v>1064</v>
      </c>
      <c r="S1302" s="263">
        <v>360</v>
      </c>
      <c r="T1302" s="284">
        <v>750</v>
      </c>
      <c r="AB1302" s="413"/>
      <c r="AC1302" s="2795"/>
    </row>
    <row r="1303" spans="1:29" ht="12.75" customHeight="1" x14ac:dyDescent="0.2">
      <c r="A1303" s="2029">
        <v>211</v>
      </c>
      <c r="B1303" s="4995"/>
      <c r="C1303" s="65"/>
      <c r="D1303" s="68"/>
      <c r="E1303" s="594" t="s">
        <v>428</v>
      </c>
      <c r="F1303" s="601">
        <v>32</v>
      </c>
      <c r="G1303" s="593" t="s">
        <v>1931</v>
      </c>
      <c r="H1303" s="413"/>
      <c r="I1303" s="2112"/>
      <c r="N1303" s="413"/>
      <c r="P1303" s="1766" t="str">
        <f t="shared" si="105"/>
        <v>Linx Kazte Hex, la Sombra de la Muerte (Nv 8)</v>
      </c>
      <c r="Q1303" s="2453">
        <f t="shared" si="106"/>
        <v>41</v>
      </c>
      <c r="R1303" s="421" t="s">
        <v>1065</v>
      </c>
      <c r="S1303" s="263">
        <v>460</v>
      </c>
      <c r="T1303" s="284">
        <v>1000</v>
      </c>
      <c r="AB1303" s="413"/>
      <c r="AC1303" s="2795"/>
    </row>
    <row r="1304" spans="1:29" ht="12.75" customHeight="1" x14ac:dyDescent="0.2">
      <c r="A1304" s="2029">
        <v>211</v>
      </c>
      <c r="B1304" s="4995"/>
      <c r="C1304" s="65"/>
      <c r="D1304" s="68"/>
      <c r="E1304" s="594" t="s">
        <v>429</v>
      </c>
      <c r="F1304" s="601">
        <v>36</v>
      </c>
      <c r="G1304" s="593" t="s">
        <v>1931</v>
      </c>
      <c r="H1304" s="413"/>
      <c r="I1304" s="2112"/>
      <c r="N1304" s="413"/>
      <c r="P1304" s="1766" t="str">
        <f t="shared" si="105"/>
        <v>Loly Ann (Nv 1)</v>
      </c>
      <c r="Q1304" s="2453">
        <f t="shared" si="106"/>
        <v>27</v>
      </c>
      <c r="R1304" s="421" t="s">
        <v>1066</v>
      </c>
      <c r="S1304" s="263">
        <v>250</v>
      </c>
      <c r="T1304" s="284">
        <v>350</v>
      </c>
      <c r="AB1304" s="413"/>
      <c r="AC1304" s="2795"/>
    </row>
    <row r="1305" spans="1:29" ht="12.75" customHeight="1" x14ac:dyDescent="0.2">
      <c r="A1305" s="2029">
        <v>211</v>
      </c>
      <c r="B1305" s="4995"/>
      <c r="C1305" s="65"/>
      <c r="D1305" s="68"/>
      <c r="E1305" s="594" t="s">
        <v>430</v>
      </c>
      <c r="F1305" s="601">
        <v>40</v>
      </c>
      <c r="G1305" s="593" t="s">
        <v>1931</v>
      </c>
      <c r="H1305" s="413"/>
      <c r="I1305" s="2112"/>
      <c r="N1305" s="413"/>
      <c r="P1305" s="1766" t="str">
        <f t="shared" si="105"/>
        <v>Loly Ann (Nv 3)</v>
      </c>
      <c r="Q1305" s="2453">
        <f t="shared" si="106"/>
        <v>28</v>
      </c>
      <c r="R1305" s="421" t="s">
        <v>1067</v>
      </c>
      <c r="S1305" s="263">
        <v>300</v>
      </c>
      <c r="T1305" s="284">
        <v>500</v>
      </c>
      <c r="AB1305" s="413"/>
      <c r="AC1305" s="2795"/>
    </row>
    <row r="1306" spans="1:29" ht="12.75" customHeight="1" x14ac:dyDescent="0.2">
      <c r="A1306" s="2029">
        <v>211</v>
      </c>
      <c r="B1306" s="4995"/>
      <c r="C1306" s="65"/>
      <c r="D1306" s="68"/>
      <c r="E1306" s="594" t="s">
        <v>431</v>
      </c>
      <c r="F1306" s="601">
        <v>42</v>
      </c>
      <c r="G1306" s="593" t="s">
        <v>1931</v>
      </c>
      <c r="H1306" s="413"/>
      <c r="I1306" s="2112"/>
      <c r="N1306" s="413"/>
      <c r="P1306" s="1766" t="str">
        <f t="shared" si="105"/>
        <v>Loly Ann (Nv 5)</v>
      </c>
      <c r="Q1306" s="2453">
        <f t="shared" si="106"/>
        <v>26</v>
      </c>
      <c r="R1306" s="421" t="s">
        <v>1068</v>
      </c>
      <c r="S1306" s="263">
        <v>380</v>
      </c>
      <c r="T1306" s="284">
        <v>800</v>
      </c>
      <c r="AB1306" s="413"/>
      <c r="AC1306" s="2795"/>
    </row>
    <row r="1307" spans="1:29" ht="12.75" customHeight="1" x14ac:dyDescent="0.2">
      <c r="A1307" s="2029">
        <v>211</v>
      </c>
      <c r="B1307" s="4995"/>
      <c r="C1307" s="65"/>
      <c r="D1307" s="68"/>
      <c r="E1307" s="594" t="s">
        <v>432</v>
      </c>
      <c r="F1307" s="601">
        <v>46</v>
      </c>
      <c r="G1307" s="593" t="s">
        <v>1931</v>
      </c>
      <c r="H1307" s="413"/>
      <c r="I1307" s="2112"/>
      <c r="N1307" s="413"/>
      <c r="P1307" s="1766" t="str">
        <f t="shared" si="105"/>
        <v>Nerval, Defensor de los Perdidos (Nv 11)</v>
      </c>
      <c r="Q1307" s="2453">
        <f t="shared" si="106"/>
        <v>32</v>
      </c>
      <c r="R1307" s="421" t="s">
        <v>1069</v>
      </c>
      <c r="S1307" s="263">
        <v>180</v>
      </c>
      <c r="T1307" s="284">
        <v>150</v>
      </c>
      <c r="AB1307" s="413"/>
      <c r="AC1307" s="2795"/>
    </row>
    <row r="1308" spans="1:29" ht="12.75" customHeight="1" x14ac:dyDescent="0.2">
      <c r="A1308" s="2029">
        <v>211</v>
      </c>
      <c r="B1308" s="4995"/>
      <c r="C1308" s="65"/>
      <c r="D1308" s="68"/>
      <c r="E1308" s="594" t="s">
        <v>433</v>
      </c>
      <c r="F1308" s="601">
        <v>50</v>
      </c>
      <c r="G1308" s="593" t="s">
        <v>1931</v>
      </c>
      <c r="H1308" s="413"/>
      <c r="I1308" s="2112"/>
      <c r="N1308" s="413"/>
      <c r="P1308" s="1766" t="str">
        <f t="shared" si="105"/>
        <v>Nerval, Defensor de los Perdidos (Nv 4)</v>
      </c>
      <c r="Q1308" s="2453">
        <f t="shared" si="106"/>
        <v>33</v>
      </c>
      <c r="R1308" s="421" t="s">
        <v>1070</v>
      </c>
      <c r="S1308" s="263">
        <v>220</v>
      </c>
      <c r="T1308" s="284">
        <v>250</v>
      </c>
      <c r="AB1308" s="413"/>
      <c r="AC1308" s="2795"/>
    </row>
    <row r="1309" spans="1:29" ht="12.75" customHeight="1" x14ac:dyDescent="0.2">
      <c r="A1309" s="2029">
        <v>211</v>
      </c>
      <c r="B1309" s="4995"/>
      <c r="C1309" s="65"/>
      <c r="D1309" s="68"/>
      <c r="E1309" s="594" t="s">
        <v>434</v>
      </c>
      <c r="F1309" s="601">
        <v>52</v>
      </c>
      <c r="G1309" s="593" t="s">
        <v>1931</v>
      </c>
      <c r="H1309" s="413"/>
      <c r="I1309" s="2112"/>
      <c r="N1309" s="413"/>
      <c r="P1309" s="1766" t="str">
        <f t="shared" si="105"/>
        <v>Nerval, Defensor de los Perdidos (Nv 7)</v>
      </c>
      <c r="Q1309" s="2453">
        <f t="shared" si="106"/>
        <v>34</v>
      </c>
      <c r="R1309" s="421" t="s">
        <v>1071</v>
      </c>
      <c r="S1309" s="263">
        <v>280</v>
      </c>
      <c r="T1309" s="284">
        <v>400</v>
      </c>
      <c r="AB1309" s="413"/>
      <c r="AC1309" s="2795"/>
    </row>
    <row r="1310" spans="1:29" ht="12.75" customHeight="1" x14ac:dyDescent="0.2">
      <c r="A1310" s="2029">
        <v>211</v>
      </c>
      <c r="B1310" s="4995"/>
      <c r="C1310" s="65"/>
      <c r="D1310" s="68"/>
      <c r="E1310" s="594" t="s">
        <v>435</v>
      </c>
      <c r="F1310" s="601">
        <v>56</v>
      </c>
      <c r="G1310" s="593" t="s">
        <v>1931</v>
      </c>
      <c r="H1310" s="413"/>
      <c r="I1310" s="2112"/>
      <c r="N1310" s="413"/>
      <c r="P1310" s="1766" t="str">
        <f t="shared" si="105"/>
        <v>Quezcatli, Hijo del Sol (Nv 2)</v>
      </c>
      <c r="Q1310" s="2453">
        <f t="shared" si="106"/>
        <v>3</v>
      </c>
      <c r="R1310" s="421" t="s">
        <v>1072</v>
      </c>
      <c r="S1310" s="263">
        <v>290</v>
      </c>
      <c r="T1310" s="284">
        <v>450</v>
      </c>
      <c r="AB1310" s="413"/>
      <c r="AC1310" s="2795"/>
    </row>
    <row r="1311" spans="1:29" ht="12.75" customHeight="1" x14ac:dyDescent="0.2">
      <c r="A1311" s="2029">
        <v>211</v>
      </c>
      <c r="B1311" s="4995"/>
      <c r="C1311" s="65"/>
      <c r="D1311" s="68"/>
      <c r="E1311" s="594" t="s">
        <v>436</v>
      </c>
      <c r="F1311" s="601">
        <v>60</v>
      </c>
      <c r="G1311" s="593" t="s">
        <v>1931</v>
      </c>
      <c r="H1311" s="413"/>
      <c r="I1311" s="2112"/>
      <c r="N1311" s="413"/>
      <c r="P1311" s="1766" t="str">
        <f t="shared" si="105"/>
        <v>Quezcatli, Hijo del Sol (Nv 4)</v>
      </c>
      <c r="Q1311" s="2453">
        <f t="shared" si="106"/>
        <v>4</v>
      </c>
      <c r="R1311" s="421" t="s">
        <v>1073</v>
      </c>
      <c r="S1311" s="263">
        <v>380</v>
      </c>
      <c r="T1311" s="284">
        <v>750</v>
      </c>
      <c r="AB1311" s="413"/>
      <c r="AC1311" s="2795"/>
    </row>
    <row r="1312" spans="1:29" ht="12.75" customHeight="1" x14ac:dyDescent="0.2">
      <c r="A1312" s="2029">
        <v>211</v>
      </c>
      <c r="B1312" s="4995"/>
      <c r="C1312" s="65"/>
      <c r="D1312" s="68"/>
      <c r="E1312" s="594" t="s">
        <v>437</v>
      </c>
      <c r="F1312" s="601">
        <v>62</v>
      </c>
      <c r="G1312" s="593" t="s">
        <v>1931</v>
      </c>
      <c r="H1312" s="413"/>
      <c r="I1312" s="2112"/>
      <c r="N1312" s="413"/>
      <c r="P1312" s="1766" t="str">
        <f t="shared" si="105"/>
        <v>Quezcatli, Hijo del Sol (Nv 6)</v>
      </c>
      <c r="Q1312" s="2453">
        <f t="shared" si="106"/>
        <v>2</v>
      </c>
      <c r="R1312" s="421" t="s">
        <v>1074</v>
      </c>
      <c r="S1312" s="263">
        <v>460</v>
      </c>
      <c r="T1312" s="284">
        <v>1250</v>
      </c>
      <c r="AB1312" s="413"/>
      <c r="AC1312" s="2795"/>
    </row>
    <row r="1313" spans="1:29" ht="12.75" customHeight="1" x14ac:dyDescent="0.2">
      <c r="A1313" s="2029">
        <v>211</v>
      </c>
      <c r="B1313" s="4995"/>
      <c r="C1313" s="65"/>
      <c r="D1313" s="68"/>
      <c r="E1313" s="594" t="s">
        <v>438</v>
      </c>
      <c r="F1313" s="601">
        <v>66</v>
      </c>
      <c r="G1313" s="593" t="s">
        <v>1931</v>
      </c>
      <c r="H1313" s="413"/>
      <c r="I1313" s="2112"/>
      <c r="N1313" s="413"/>
      <c r="P1313" s="1766" t="str">
        <f t="shared" si="105"/>
        <v>Ruatha Synn (Nv 12)</v>
      </c>
      <c r="Q1313" s="2453">
        <f t="shared" si="106"/>
        <v>45</v>
      </c>
      <c r="R1313" s="421" t="s">
        <v>1075</v>
      </c>
      <c r="S1313" s="263">
        <v>260</v>
      </c>
      <c r="T1313" s="284">
        <v>400</v>
      </c>
      <c r="AB1313" s="413"/>
      <c r="AC1313" s="2795"/>
    </row>
    <row r="1314" spans="1:29" ht="12.75" customHeight="1" x14ac:dyDescent="0.2">
      <c r="A1314" s="2029">
        <v>211</v>
      </c>
      <c r="B1314" s="4995"/>
      <c r="C1314" s="65"/>
      <c r="D1314" s="68"/>
      <c r="E1314" s="594" t="s">
        <v>439</v>
      </c>
      <c r="F1314" s="601">
        <v>70</v>
      </c>
      <c r="G1314" s="593" t="s">
        <v>1931</v>
      </c>
      <c r="H1314" s="413"/>
      <c r="I1314" s="2112"/>
      <c r="N1314" s="413"/>
      <c r="P1314" s="1766" t="str">
        <f t="shared" si="105"/>
        <v>Ruatha Synn (Nv 4)</v>
      </c>
      <c r="Q1314" s="2453">
        <f t="shared" si="106"/>
        <v>46</v>
      </c>
      <c r="R1314" s="421" t="s">
        <v>1076</v>
      </c>
      <c r="S1314" s="263">
        <v>300</v>
      </c>
      <c r="T1314" s="284">
        <v>600</v>
      </c>
      <c r="AB1314" s="413"/>
      <c r="AC1314" s="2795"/>
    </row>
    <row r="1315" spans="1:29" ht="12.75" customHeight="1" x14ac:dyDescent="0.2">
      <c r="A1315" s="2029">
        <v>211</v>
      </c>
      <c r="B1315" s="4995"/>
      <c r="C1315" s="65"/>
      <c r="D1315" s="68"/>
      <c r="E1315" s="594" t="s">
        <v>440</v>
      </c>
      <c r="F1315" s="601">
        <v>72</v>
      </c>
      <c r="G1315" s="593" t="s">
        <v>1931</v>
      </c>
      <c r="H1315" s="413"/>
      <c r="I1315" s="2112"/>
      <c r="N1315" s="413"/>
      <c r="P1315" s="1766" t="str">
        <f t="shared" si="105"/>
        <v>Ruatha Synn (Nv 8)</v>
      </c>
      <c r="Q1315" s="2453">
        <f t="shared" si="106"/>
        <v>44</v>
      </c>
      <c r="R1315" s="421" t="s">
        <v>1077</v>
      </c>
      <c r="S1315" s="263">
        <v>500</v>
      </c>
      <c r="T1315" s="284">
        <v>1200</v>
      </c>
      <c r="AB1315" s="413"/>
      <c r="AC1315" s="2795"/>
    </row>
    <row r="1316" spans="1:29" ht="12.75" customHeight="1" x14ac:dyDescent="0.2">
      <c r="A1316" s="2029">
        <v>211</v>
      </c>
      <c r="B1316" s="4995"/>
      <c r="C1316" s="65"/>
      <c r="D1316" s="68"/>
      <c r="E1316" s="594" t="s">
        <v>441</v>
      </c>
      <c r="F1316" s="601">
        <v>76</v>
      </c>
      <c r="G1316" s="593" t="s">
        <v>1931</v>
      </c>
      <c r="H1316" s="413"/>
      <c r="I1316" s="2112"/>
      <c r="N1316" s="413"/>
      <c r="P1316" s="1766" t="str">
        <f t="shared" si="105"/>
        <v>Wang Shou Bo (Nv 13)</v>
      </c>
      <c r="Q1316" s="2453">
        <f t="shared" si="106"/>
        <v>22</v>
      </c>
      <c r="R1316" s="421" t="s">
        <v>1078</v>
      </c>
      <c r="S1316" s="263">
        <v>360</v>
      </c>
      <c r="T1316" s="284">
        <v>750</v>
      </c>
      <c r="AB1316" s="413"/>
      <c r="AC1316" s="2795"/>
    </row>
    <row r="1317" spans="1:29" ht="12.75" customHeight="1" x14ac:dyDescent="0.2">
      <c r="A1317" s="2029">
        <v>211</v>
      </c>
      <c r="B1317" s="4995"/>
      <c r="C1317" s="65"/>
      <c r="D1317" s="68"/>
      <c r="E1317" s="594" t="s">
        <v>442</v>
      </c>
      <c r="F1317" s="601">
        <v>80</v>
      </c>
      <c r="G1317" s="593" t="s">
        <v>1931</v>
      </c>
      <c r="H1317" s="413"/>
      <c r="I1317" s="2112"/>
      <c r="N1317" s="413"/>
      <c r="P1317" s="1766" t="str">
        <f t="shared" si="105"/>
        <v>Wang Shou Bo (Nv 5)</v>
      </c>
      <c r="Q1317" s="2453">
        <f t="shared" si="106"/>
        <v>20</v>
      </c>
      <c r="R1317" s="421" t="s">
        <v>1079</v>
      </c>
      <c r="S1317" s="263">
        <v>440</v>
      </c>
      <c r="T1317" s="284">
        <v>1200</v>
      </c>
      <c r="AB1317" s="413"/>
      <c r="AC1317" s="2795"/>
    </row>
    <row r="1318" spans="1:29" ht="12.75" customHeight="1" x14ac:dyDescent="0.2">
      <c r="A1318" s="2029">
        <v>211</v>
      </c>
      <c r="B1318" s="4995"/>
      <c r="C1318" s="65"/>
      <c r="D1318" s="68"/>
      <c r="E1318" s="594" t="s">
        <v>443</v>
      </c>
      <c r="F1318" s="601">
        <v>82</v>
      </c>
      <c r="G1318" s="593" t="s">
        <v>1931</v>
      </c>
      <c r="H1318" s="413"/>
      <c r="I1318" s="2112"/>
      <c r="N1318" s="413"/>
      <c r="P1318" s="1766" t="str">
        <f t="shared" si="105"/>
        <v>Wang Shou Bo (Nv 9)</v>
      </c>
      <c r="Q1318" s="2453">
        <f t="shared" si="106"/>
        <v>21</v>
      </c>
      <c r="R1318" s="421" t="s">
        <v>1080</v>
      </c>
      <c r="S1318" s="263">
        <v>520</v>
      </c>
      <c r="T1318" s="284">
        <v>1500</v>
      </c>
      <c r="AB1318" s="413"/>
      <c r="AC1318" s="2795"/>
    </row>
    <row r="1319" spans="1:29" ht="12.75" customHeight="1" x14ac:dyDescent="0.2">
      <c r="A1319" s="2029">
        <v>211</v>
      </c>
      <c r="B1319" s="4995"/>
      <c r="C1319" s="65"/>
      <c r="D1319" s="68"/>
      <c r="E1319" s="594" t="s">
        <v>444</v>
      </c>
      <c r="F1319" s="601">
        <v>86</v>
      </c>
      <c r="G1319" s="593" t="s">
        <v>1931</v>
      </c>
      <c r="H1319" s="413"/>
      <c r="I1319" s="2112"/>
      <c r="N1319" s="413"/>
      <c r="P1319" s="1766" t="str">
        <f>R1319</f>
        <v>&gt; INVOCACIONES PERSONALIZADAS</v>
      </c>
      <c r="Q1319" s="2453"/>
      <c r="R1319" s="421" t="s">
        <v>1081</v>
      </c>
      <c r="S1319" s="263"/>
      <c r="T1319" s="284"/>
      <c r="AB1319" s="413"/>
      <c r="AC1319" s="2795"/>
    </row>
    <row r="1320" spans="1:29" ht="12.75" customHeight="1" x14ac:dyDescent="0.2">
      <c r="A1320" s="2029">
        <v>211</v>
      </c>
      <c r="B1320" s="4995"/>
      <c r="C1320" s="65"/>
      <c r="D1320" s="68"/>
      <c r="E1320" s="594" t="s">
        <v>445</v>
      </c>
      <c r="F1320" s="601">
        <v>90</v>
      </c>
      <c r="G1320" s="593" t="s">
        <v>1931</v>
      </c>
      <c r="H1320" s="413"/>
      <c r="I1320" s="2112"/>
      <c r="N1320" s="413"/>
      <c r="P1320" s="1766" t="str">
        <f t="shared" ref="P1320:P1325" si="107">R1320</f>
        <v>Invocación personalizada #1</v>
      </c>
      <c r="Q1320" s="2453"/>
      <c r="R1320" s="421" t="str">
        <f>IF(Personalización!V50=0,"Invocación personalizada #1",Personalización!V50)</f>
        <v>Invocación personalizada #1</v>
      </c>
      <c r="S1320" s="263">
        <f>Personalización!AB50</f>
        <v>0</v>
      </c>
      <c r="T1320" s="284">
        <f>Personalización!AC50</f>
        <v>0</v>
      </c>
      <c r="AB1320" s="413"/>
      <c r="AC1320" s="2795"/>
    </row>
    <row r="1321" spans="1:29" ht="12.75" customHeight="1" x14ac:dyDescent="0.2">
      <c r="A1321" s="2029">
        <v>211</v>
      </c>
      <c r="B1321" s="4995"/>
      <c r="C1321" s="65"/>
      <c r="D1321" s="68"/>
      <c r="E1321" s="594" t="s">
        <v>446</v>
      </c>
      <c r="F1321" s="601">
        <v>92</v>
      </c>
      <c r="G1321" s="593" t="s">
        <v>1931</v>
      </c>
      <c r="H1321" s="413"/>
      <c r="I1321" s="2112"/>
      <c r="N1321" s="413"/>
      <c r="P1321" s="1766" t="str">
        <f t="shared" si="107"/>
        <v>Invocación personalizada #2</v>
      </c>
      <c r="Q1321" s="2453"/>
      <c r="R1321" s="421" t="str">
        <f>IF(Personalización!V51=0,"Invocación personalizada #2",Personalización!V51)</f>
        <v>Invocación personalizada #2</v>
      </c>
      <c r="S1321" s="263">
        <f>Personalización!AB51</f>
        <v>0</v>
      </c>
      <c r="T1321" s="284">
        <f>Personalización!AC51</f>
        <v>0</v>
      </c>
      <c r="AB1321" s="413"/>
      <c r="AC1321" s="2795"/>
    </row>
    <row r="1322" spans="1:29" ht="12.75" customHeight="1" x14ac:dyDescent="0.2">
      <c r="A1322" s="2029">
        <v>211</v>
      </c>
      <c r="B1322" s="4995"/>
      <c r="C1322" s="65"/>
      <c r="D1322" s="68"/>
      <c r="E1322" s="594" t="s">
        <v>447</v>
      </c>
      <c r="F1322" s="601">
        <v>96</v>
      </c>
      <c r="G1322" s="593" t="s">
        <v>1931</v>
      </c>
      <c r="H1322" s="413"/>
      <c r="I1322" s="2112"/>
      <c r="N1322" s="413"/>
      <c r="P1322" s="1766" t="str">
        <f t="shared" si="107"/>
        <v>Invocación personalizada #3</v>
      </c>
      <c r="Q1322" s="2453"/>
      <c r="R1322" s="421" t="str">
        <f>IF(Personalización!V52=0,"Invocación personalizada #3",Personalización!V52)</f>
        <v>Invocación personalizada #3</v>
      </c>
      <c r="S1322" s="263">
        <f>Personalización!AB52</f>
        <v>0</v>
      </c>
      <c r="T1322" s="284">
        <f>Personalización!AC52</f>
        <v>0</v>
      </c>
      <c r="AB1322" s="413"/>
      <c r="AC1322" s="2795"/>
    </row>
    <row r="1323" spans="1:29" ht="12.75" customHeight="1" x14ac:dyDescent="0.2">
      <c r="A1323" s="2029">
        <v>211</v>
      </c>
      <c r="B1323" s="4995"/>
      <c r="C1323" s="65"/>
      <c r="D1323" s="68"/>
      <c r="E1323" s="594" t="s">
        <v>448</v>
      </c>
      <c r="F1323" s="601">
        <v>100</v>
      </c>
      <c r="G1323" s="593" t="s">
        <v>1931</v>
      </c>
      <c r="H1323" s="413"/>
      <c r="I1323" s="2112"/>
      <c r="N1323" s="413"/>
      <c r="P1323" s="1766" t="str">
        <f t="shared" si="107"/>
        <v>Invocación personalizada #4</v>
      </c>
      <c r="Q1323" s="2453"/>
      <c r="R1323" s="421" t="str">
        <f>IF(Personalización!V53=0,"Invocación personalizada #4",Personalización!V53)</f>
        <v>Invocación personalizada #4</v>
      </c>
      <c r="S1323" s="263">
        <f>Personalización!AB53</f>
        <v>0</v>
      </c>
      <c r="T1323" s="284">
        <f>Personalización!AC53</f>
        <v>0</v>
      </c>
      <c r="AB1323" s="413"/>
      <c r="AC1323" s="2795"/>
    </row>
    <row r="1324" spans="1:29" ht="12.75" customHeight="1" x14ac:dyDescent="0.2">
      <c r="A1324" s="2029">
        <v>211</v>
      </c>
      <c r="B1324" s="4995"/>
      <c r="C1324" s="65"/>
      <c r="D1324" s="68"/>
      <c r="E1324" s="594" t="s">
        <v>449</v>
      </c>
      <c r="F1324" s="601"/>
      <c r="G1324" s="593"/>
      <c r="H1324" s="413"/>
      <c r="I1324" s="2112"/>
      <c r="N1324" s="413"/>
      <c r="P1324" s="1766" t="str">
        <f t="shared" si="107"/>
        <v>Invocación personalizada #5</v>
      </c>
      <c r="Q1324" s="2453"/>
      <c r="R1324" s="421" t="str">
        <f>IF(Personalización!V54=0,"Invocación personalizada #5",Personalización!V54)</f>
        <v>Invocación personalizada #5</v>
      </c>
      <c r="S1324" s="263">
        <f>Personalización!AB54</f>
        <v>0</v>
      </c>
      <c r="T1324" s="284">
        <f>Personalización!AC54</f>
        <v>0</v>
      </c>
      <c r="AB1324" s="413"/>
      <c r="AC1324" s="2795"/>
    </row>
    <row r="1325" spans="1:29" ht="12.75" customHeight="1" x14ac:dyDescent="0.2">
      <c r="A1325" s="2029">
        <v>211</v>
      </c>
      <c r="B1325" s="4995"/>
      <c r="C1325" s="65"/>
      <c r="D1325" s="68"/>
      <c r="E1325" s="594" t="s">
        <v>450</v>
      </c>
      <c r="F1325" s="601">
        <v>2</v>
      </c>
      <c r="G1325" s="593" t="s">
        <v>1934</v>
      </c>
      <c r="H1325" s="413"/>
      <c r="I1325" s="2112"/>
      <c r="N1325" s="413"/>
      <c r="P1325" s="1766" t="str">
        <f t="shared" si="107"/>
        <v>Invocación personalizada #6</v>
      </c>
      <c r="Q1325" s="2453"/>
      <c r="R1325" s="421" t="str">
        <f>IF(Personalización!V55=0,"Invocación personalizada #6",Personalización!V55)</f>
        <v>Invocación personalizada #6</v>
      </c>
      <c r="S1325" s="263">
        <f>Personalización!AB55</f>
        <v>0</v>
      </c>
      <c r="T1325" s="284">
        <f>Personalización!AC55</f>
        <v>0</v>
      </c>
      <c r="AB1325" s="413"/>
      <c r="AC1325" s="2795"/>
    </row>
    <row r="1326" spans="1:29" ht="12.75" customHeight="1" thickBot="1" x14ac:dyDescent="0.25">
      <c r="A1326" s="2029">
        <v>211</v>
      </c>
      <c r="B1326" s="4995"/>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5"/>
    </row>
    <row r="1327" spans="1:29" ht="12.75" customHeight="1" x14ac:dyDescent="0.2">
      <c r="A1327" s="2029">
        <v>211</v>
      </c>
      <c r="B1327" s="4995"/>
      <c r="C1327" s="65"/>
      <c r="D1327" s="68"/>
      <c r="E1327" s="594" t="s">
        <v>452</v>
      </c>
      <c r="F1327" s="601">
        <v>10</v>
      </c>
      <c r="G1327" s="593" t="s">
        <v>1934</v>
      </c>
      <c r="H1327" s="413"/>
      <c r="I1327" s="2112"/>
      <c r="N1327" s="413"/>
      <c r="T1327" s="2028"/>
      <c r="AB1327" s="413"/>
      <c r="AC1327" s="2795"/>
    </row>
    <row r="1328" spans="1:29" ht="12.75" customHeight="1" x14ac:dyDescent="0.2">
      <c r="A1328" s="2029">
        <v>211</v>
      </c>
      <c r="B1328" s="4995"/>
      <c r="C1328" s="65"/>
      <c r="D1328" s="68"/>
      <c r="E1328" s="594" t="s">
        <v>453</v>
      </c>
      <c r="F1328" s="601">
        <v>12</v>
      </c>
      <c r="G1328" s="593" t="s">
        <v>1934</v>
      </c>
      <c r="H1328" s="413"/>
      <c r="I1328" s="2112"/>
      <c r="N1328" s="413"/>
      <c r="T1328" s="2028"/>
      <c r="AB1328" s="413"/>
      <c r="AC1328" s="2795"/>
    </row>
    <row r="1329" spans="1:29" ht="12.75" customHeight="1" x14ac:dyDescent="0.2">
      <c r="A1329" s="2029">
        <v>211</v>
      </c>
      <c r="B1329" s="4995"/>
      <c r="C1329" s="65"/>
      <c r="D1329" s="68"/>
      <c r="E1329" s="594" t="s">
        <v>454</v>
      </c>
      <c r="F1329" s="601">
        <v>16</v>
      </c>
      <c r="G1329" s="593" t="s">
        <v>1934</v>
      </c>
      <c r="H1329" s="413"/>
      <c r="I1329" s="2112"/>
      <c r="N1329" s="413"/>
      <c r="T1329" s="2028"/>
      <c r="AB1329" s="413"/>
      <c r="AC1329" s="2795"/>
    </row>
    <row r="1330" spans="1:29" ht="12.75" customHeight="1" x14ac:dyDescent="0.2">
      <c r="A1330" s="2029">
        <v>211</v>
      </c>
      <c r="B1330" s="4995"/>
      <c r="C1330" s="65"/>
      <c r="D1330" s="68"/>
      <c r="E1330" s="594" t="s">
        <v>455</v>
      </c>
      <c r="F1330" s="601">
        <v>20</v>
      </c>
      <c r="G1330" s="593" t="s">
        <v>1934</v>
      </c>
      <c r="H1330" s="413"/>
      <c r="I1330" s="2112"/>
      <c r="N1330" s="413"/>
      <c r="T1330" s="2028"/>
      <c r="AB1330" s="413"/>
      <c r="AC1330" s="2795"/>
    </row>
    <row r="1331" spans="1:29" ht="12.75" customHeight="1" x14ac:dyDescent="0.2">
      <c r="A1331" s="2029">
        <v>211</v>
      </c>
      <c r="B1331" s="4995"/>
      <c r="C1331" s="65"/>
      <c r="D1331" s="68"/>
      <c r="E1331" s="594" t="s">
        <v>456</v>
      </c>
      <c r="F1331" s="601">
        <v>22</v>
      </c>
      <c r="G1331" s="593" t="s">
        <v>1934</v>
      </c>
      <c r="H1331" s="413"/>
      <c r="I1331" s="2112"/>
      <c r="N1331" s="413"/>
      <c r="T1331" s="2028"/>
      <c r="AB1331" s="413"/>
      <c r="AC1331" s="2795"/>
    </row>
    <row r="1332" spans="1:29" ht="12.75" customHeight="1" x14ac:dyDescent="0.2">
      <c r="A1332" s="2029">
        <v>211</v>
      </c>
      <c r="B1332" s="4995"/>
      <c r="C1332" s="65"/>
      <c r="D1332" s="68"/>
      <c r="E1332" s="594" t="s">
        <v>457</v>
      </c>
      <c r="F1332" s="601">
        <v>26</v>
      </c>
      <c r="G1332" s="593" t="s">
        <v>1934</v>
      </c>
      <c r="H1332" s="413"/>
      <c r="I1332" s="2112"/>
      <c r="N1332" s="413"/>
      <c r="T1332" s="2028"/>
      <c r="AB1332" s="413"/>
      <c r="AC1332" s="2795"/>
    </row>
    <row r="1333" spans="1:29" ht="12.75" customHeight="1" x14ac:dyDescent="0.2">
      <c r="A1333" s="2029">
        <v>211</v>
      </c>
      <c r="B1333" s="4995"/>
      <c r="C1333" s="65"/>
      <c r="D1333" s="68"/>
      <c r="E1333" s="594" t="s">
        <v>458</v>
      </c>
      <c r="F1333" s="601">
        <v>30</v>
      </c>
      <c r="G1333" s="593" t="s">
        <v>1934</v>
      </c>
      <c r="H1333" s="413"/>
      <c r="I1333" s="2112"/>
      <c r="N1333" s="413"/>
      <c r="T1333" s="2028"/>
      <c r="AB1333" s="413"/>
      <c r="AC1333" s="2795"/>
    </row>
    <row r="1334" spans="1:29" ht="12.75" customHeight="1" x14ac:dyDescent="0.2">
      <c r="A1334" s="2029">
        <v>211</v>
      </c>
      <c r="B1334" s="4995"/>
      <c r="C1334" s="65"/>
      <c r="D1334" s="68"/>
      <c r="E1334" s="594" t="s">
        <v>459</v>
      </c>
      <c r="F1334" s="601">
        <v>32</v>
      </c>
      <c r="G1334" s="593" t="s">
        <v>1934</v>
      </c>
      <c r="H1334" s="413"/>
      <c r="I1334" s="2112"/>
      <c r="N1334" s="413"/>
      <c r="T1334" s="2028"/>
      <c r="AB1334" s="413"/>
      <c r="AC1334" s="2795"/>
    </row>
    <row r="1335" spans="1:29" ht="12.75" customHeight="1" x14ac:dyDescent="0.2">
      <c r="A1335" s="2029">
        <v>211</v>
      </c>
      <c r="B1335" s="4995"/>
      <c r="C1335" s="65"/>
      <c r="D1335" s="68"/>
      <c r="E1335" s="594" t="s">
        <v>460</v>
      </c>
      <c r="F1335" s="601">
        <v>36</v>
      </c>
      <c r="G1335" s="593" t="s">
        <v>1934</v>
      </c>
      <c r="H1335" s="413"/>
      <c r="I1335" s="2112"/>
      <c r="N1335" s="413"/>
      <c r="T1335" s="2028"/>
      <c r="AB1335" s="413"/>
      <c r="AC1335" s="2795"/>
    </row>
    <row r="1336" spans="1:29" ht="12.75" customHeight="1" x14ac:dyDescent="0.2">
      <c r="A1336" s="2029">
        <v>211</v>
      </c>
      <c r="B1336" s="4995"/>
      <c r="C1336" s="65"/>
      <c r="D1336" s="68"/>
      <c r="E1336" s="594" t="s">
        <v>461</v>
      </c>
      <c r="F1336" s="601">
        <v>40</v>
      </c>
      <c r="G1336" s="593" t="s">
        <v>1934</v>
      </c>
      <c r="H1336" s="413"/>
      <c r="I1336" s="2112"/>
      <c r="N1336" s="413"/>
      <c r="T1336" s="2028"/>
      <c r="AB1336" s="413"/>
      <c r="AC1336" s="2795"/>
    </row>
    <row r="1337" spans="1:29" ht="12.75" customHeight="1" x14ac:dyDescent="0.2">
      <c r="A1337" s="2029">
        <v>211</v>
      </c>
      <c r="B1337" s="4995"/>
      <c r="C1337" s="65"/>
      <c r="D1337" s="68"/>
      <c r="E1337" s="594" t="s">
        <v>462</v>
      </c>
      <c r="F1337" s="601">
        <v>42</v>
      </c>
      <c r="G1337" s="593" t="s">
        <v>1934</v>
      </c>
      <c r="H1337" s="413"/>
      <c r="I1337" s="2112"/>
      <c r="N1337" s="413"/>
      <c r="T1337" s="2028"/>
      <c r="AB1337" s="413"/>
      <c r="AC1337" s="2795"/>
    </row>
    <row r="1338" spans="1:29" ht="12.75" customHeight="1" x14ac:dyDescent="0.2">
      <c r="A1338" s="2029">
        <v>211</v>
      </c>
      <c r="B1338" s="4995"/>
      <c r="C1338" s="65"/>
      <c r="D1338" s="68"/>
      <c r="E1338" s="594" t="s">
        <v>463</v>
      </c>
      <c r="F1338" s="601">
        <v>46</v>
      </c>
      <c r="G1338" s="593" t="s">
        <v>1934</v>
      </c>
      <c r="H1338" s="413"/>
      <c r="I1338" s="2112"/>
      <c r="N1338" s="413"/>
      <c r="T1338" s="2028"/>
      <c r="AB1338" s="413"/>
      <c r="AC1338" s="2795"/>
    </row>
    <row r="1339" spans="1:29" ht="12.75" customHeight="1" x14ac:dyDescent="0.2">
      <c r="A1339" s="2029">
        <v>211</v>
      </c>
      <c r="B1339" s="4995"/>
      <c r="C1339" s="65"/>
      <c r="D1339" s="68"/>
      <c r="E1339" s="594" t="s">
        <v>464</v>
      </c>
      <c r="F1339" s="601">
        <v>50</v>
      </c>
      <c r="G1339" s="593" t="s">
        <v>1934</v>
      </c>
      <c r="H1339" s="413"/>
      <c r="I1339" s="2112"/>
      <c r="N1339" s="413"/>
      <c r="T1339" s="2028"/>
      <c r="AB1339" s="413"/>
      <c r="AC1339" s="2795"/>
    </row>
    <row r="1340" spans="1:29" ht="12.75" customHeight="1" x14ac:dyDescent="0.2">
      <c r="A1340" s="2029">
        <v>211</v>
      </c>
      <c r="B1340" s="4995"/>
      <c r="C1340" s="65"/>
      <c r="D1340" s="68"/>
      <c r="E1340" s="594" t="s">
        <v>465</v>
      </c>
      <c r="F1340" s="601">
        <v>52</v>
      </c>
      <c r="G1340" s="593" t="s">
        <v>1934</v>
      </c>
      <c r="H1340" s="413"/>
      <c r="I1340" s="2112"/>
      <c r="N1340" s="413"/>
      <c r="T1340" s="2028"/>
      <c r="AB1340" s="413"/>
      <c r="AC1340" s="2795"/>
    </row>
    <row r="1341" spans="1:29" ht="12.75" customHeight="1" x14ac:dyDescent="0.2">
      <c r="A1341" s="2029">
        <v>211</v>
      </c>
      <c r="B1341" s="4995"/>
      <c r="C1341" s="65"/>
      <c r="D1341" s="68"/>
      <c r="E1341" s="594" t="s">
        <v>466</v>
      </c>
      <c r="F1341" s="601">
        <v>56</v>
      </c>
      <c r="G1341" s="593" t="s">
        <v>1934</v>
      </c>
      <c r="H1341" s="413"/>
      <c r="I1341" s="2112"/>
      <c r="N1341" s="413"/>
      <c r="T1341" s="2028"/>
      <c r="AB1341" s="413"/>
      <c r="AC1341" s="2795"/>
    </row>
    <row r="1342" spans="1:29" ht="12.75" customHeight="1" x14ac:dyDescent="0.2">
      <c r="A1342" s="2029">
        <v>211</v>
      </c>
      <c r="B1342" s="4995"/>
      <c r="C1342" s="65"/>
      <c r="D1342" s="68"/>
      <c r="E1342" s="594" t="s">
        <v>467</v>
      </c>
      <c r="F1342" s="601">
        <v>60</v>
      </c>
      <c r="G1342" s="593" t="s">
        <v>1934</v>
      </c>
      <c r="H1342" s="413"/>
      <c r="I1342" s="2112"/>
      <c r="N1342" s="413"/>
      <c r="T1342" s="2028"/>
      <c r="AB1342" s="413"/>
      <c r="AC1342" s="2795"/>
    </row>
    <row r="1343" spans="1:29" ht="12.75" customHeight="1" x14ac:dyDescent="0.2">
      <c r="A1343" s="2029">
        <v>211</v>
      </c>
      <c r="B1343" s="4995"/>
      <c r="C1343" s="65"/>
      <c r="D1343" s="68"/>
      <c r="E1343" s="594" t="s">
        <v>468</v>
      </c>
      <c r="F1343" s="601">
        <v>62</v>
      </c>
      <c r="G1343" s="593" t="s">
        <v>1934</v>
      </c>
      <c r="H1343" s="413"/>
      <c r="I1343" s="2112"/>
      <c r="N1343" s="413"/>
      <c r="T1343" s="2028"/>
      <c r="AB1343" s="413"/>
      <c r="AC1343" s="2795"/>
    </row>
    <row r="1344" spans="1:29" ht="12.75" customHeight="1" x14ac:dyDescent="0.2">
      <c r="A1344" s="2029">
        <v>211</v>
      </c>
      <c r="B1344" s="4995"/>
      <c r="C1344" s="65"/>
      <c r="D1344" s="68"/>
      <c r="E1344" s="594" t="s">
        <v>469</v>
      </c>
      <c r="F1344" s="601">
        <v>66</v>
      </c>
      <c r="G1344" s="593" t="s">
        <v>1934</v>
      </c>
      <c r="H1344" s="413"/>
      <c r="I1344" s="2112"/>
      <c r="N1344" s="413"/>
      <c r="T1344" s="2028"/>
      <c r="AB1344" s="413"/>
      <c r="AC1344" s="2795"/>
    </row>
    <row r="1345" spans="1:29" ht="12.75" customHeight="1" x14ac:dyDescent="0.2">
      <c r="A1345" s="2029">
        <v>211</v>
      </c>
      <c r="B1345" s="4995"/>
      <c r="C1345" s="65"/>
      <c r="D1345" s="68"/>
      <c r="E1345" s="594" t="s">
        <v>470</v>
      </c>
      <c r="F1345" s="601">
        <v>70</v>
      </c>
      <c r="G1345" s="593" t="s">
        <v>1934</v>
      </c>
      <c r="H1345" s="413"/>
      <c r="I1345" s="2112"/>
      <c r="N1345" s="413"/>
      <c r="T1345" s="2028"/>
      <c r="AB1345" s="413"/>
      <c r="AC1345" s="2795"/>
    </row>
    <row r="1346" spans="1:29" ht="12.75" customHeight="1" x14ac:dyDescent="0.2">
      <c r="A1346" s="2029">
        <v>211</v>
      </c>
      <c r="B1346" s="4995"/>
      <c r="C1346" s="65"/>
      <c r="D1346" s="68"/>
      <c r="E1346" s="594" t="s">
        <v>471</v>
      </c>
      <c r="F1346" s="601">
        <v>72</v>
      </c>
      <c r="G1346" s="593" t="s">
        <v>1934</v>
      </c>
      <c r="H1346" s="413"/>
      <c r="I1346" s="2112"/>
      <c r="N1346" s="413"/>
      <c r="T1346" s="2028"/>
      <c r="AB1346" s="413"/>
      <c r="AC1346" s="2795"/>
    </row>
    <row r="1347" spans="1:29" ht="12.75" customHeight="1" x14ac:dyDescent="0.2">
      <c r="A1347" s="2029">
        <v>211</v>
      </c>
      <c r="B1347" s="4995"/>
      <c r="C1347" s="65"/>
      <c r="D1347" s="68"/>
      <c r="E1347" s="594" t="s">
        <v>472</v>
      </c>
      <c r="F1347" s="601">
        <v>76</v>
      </c>
      <c r="G1347" s="593" t="s">
        <v>1934</v>
      </c>
      <c r="H1347" s="413"/>
      <c r="I1347" s="2112"/>
      <c r="N1347" s="413"/>
      <c r="T1347" s="2028"/>
      <c r="AB1347" s="413"/>
      <c r="AC1347" s="2795"/>
    </row>
    <row r="1348" spans="1:29" ht="12.75" customHeight="1" x14ac:dyDescent="0.2">
      <c r="A1348" s="2029">
        <v>211</v>
      </c>
      <c r="B1348" s="4995"/>
      <c r="C1348" s="65"/>
      <c r="D1348" s="68"/>
      <c r="E1348" s="594" t="s">
        <v>473</v>
      </c>
      <c r="F1348" s="601">
        <v>80</v>
      </c>
      <c r="G1348" s="593" t="s">
        <v>1934</v>
      </c>
      <c r="H1348" s="413"/>
      <c r="I1348" s="2112"/>
      <c r="N1348" s="413"/>
      <c r="T1348" s="2028"/>
      <c r="AB1348" s="413"/>
      <c r="AC1348" s="2795"/>
    </row>
    <row r="1349" spans="1:29" ht="12.75" customHeight="1" x14ac:dyDescent="0.2">
      <c r="A1349" s="2029">
        <v>211</v>
      </c>
      <c r="B1349" s="4995"/>
      <c r="C1349" s="65"/>
      <c r="D1349" s="68"/>
      <c r="E1349" s="594" t="s">
        <v>474</v>
      </c>
      <c r="F1349" s="601">
        <v>82</v>
      </c>
      <c r="G1349" s="593" t="s">
        <v>1934</v>
      </c>
      <c r="H1349" s="413"/>
      <c r="I1349" s="2112"/>
      <c r="N1349" s="413"/>
      <c r="T1349" s="2028"/>
      <c r="AB1349" s="413"/>
      <c r="AC1349" s="2795"/>
    </row>
    <row r="1350" spans="1:29" ht="12.75" customHeight="1" x14ac:dyDescent="0.2">
      <c r="A1350" s="2029">
        <v>211</v>
      </c>
      <c r="B1350" s="4995"/>
      <c r="C1350" s="65"/>
      <c r="D1350" s="68"/>
      <c r="E1350" s="594" t="s">
        <v>475</v>
      </c>
      <c r="F1350" s="601">
        <v>86</v>
      </c>
      <c r="G1350" s="593" t="s">
        <v>1934</v>
      </c>
      <c r="H1350" s="413"/>
      <c r="I1350" s="2112"/>
      <c r="N1350" s="413"/>
      <c r="T1350" s="2028"/>
      <c r="AB1350" s="413"/>
      <c r="AC1350" s="2795"/>
    </row>
    <row r="1351" spans="1:29" ht="12.75" customHeight="1" x14ac:dyDescent="0.2">
      <c r="A1351" s="2029">
        <v>211</v>
      </c>
      <c r="B1351" s="4995"/>
      <c r="C1351" s="65"/>
      <c r="D1351" s="68"/>
      <c r="E1351" s="594" t="s">
        <v>476</v>
      </c>
      <c r="F1351" s="601">
        <v>90</v>
      </c>
      <c r="G1351" s="593" t="s">
        <v>1934</v>
      </c>
      <c r="H1351" s="413"/>
      <c r="I1351" s="2112"/>
      <c r="N1351" s="413"/>
      <c r="T1351" s="2028"/>
      <c r="AB1351" s="413"/>
      <c r="AC1351" s="2795"/>
    </row>
    <row r="1352" spans="1:29" ht="12.75" customHeight="1" x14ac:dyDescent="0.2">
      <c r="A1352" s="2029">
        <v>211</v>
      </c>
      <c r="B1352" s="4995"/>
      <c r="C1352" s="65"/>
      <c r="D1352" s="68"/>
      <c r="E1352" s="594" t="s">
        <v>477</v>
      </c>
      <c r="F1352" s="601">
        <v>92</v>
      </c>
      <c r="G1352" s="593" t="s">
        <v>1934</v>
      </c>
      <c r="H1352" s="413"/>
      <c r="I1352" s="2112"/>
      <c r="N1352" s="413"/>
      <c r="T1352" s="2028"/>
      <c r="AB1352" s="413"/>
      <c r="AC1352" s="2795"/>
    </row>
    <row r="1353" spans="1:29" ht="12.75" customHeight="1" x14ac:dyDescent="0.2">
      <c r="A1353" s="2029">
        <v>211</v>
      </c>
      <c r="B1353" s="4995"/>
      <c r="C1353" s="65"/>
      <c r="D1353" s="68"/>
      <c r="E1353" s="594" t="s">
        <v>478</v>
      </c>
      <c r="F1353" s="601">
        <v>96</v>
      </c>
      <c r="G1353" s="593" t="s">
        <v>1934</v>
      </c>
      <c r="H1353" s="413"/>
      <c r="I1353" s="2112"/>
      <c r="N1353" s="413"/>
      <c r="T1353" s="2028"/>
      <c r="AB1353" s="413"/>
      <c r="AC1353" s="2795"/>
    </row>
    <row r="1354" spans="1:29" ht="12.75" customHeight="1" x14ac:dyDescent="0.2">
      <c r="A1354" s="2029">
        <v>211</v>
      </c>
      <c r="B1354" s="4995"/>
      <c r="C1354" s="65"/>
      <c r="D1354" s="68"/>
      <c r="E1354" s="594" t="s">
        <v>479</v>
      </c>
      <c r="F1354" s="601">
        <v>100</v>
      </c>
      <c r="G1354" s="593" t="s">
        <v>1934</v>
      </c>
      <c r="H1354" s="413"/>
      <c r="I1354" s="2112"/>
      <c r="N1354" s="413"/>
      <c r="T1354" s="2028"/>
      <c r="AB1354" s="413"/>
      <c r="AC1354" s="2795"/>
    </row>
    <row r="1355" spans="1:29" ht="12.75" customHeight="1" x14ac:dyDescent="0.2">
      <c r="A1355" s="2029">
        <v>211</v>
      </c>
      <c r="B1355" s="4995"/>
      <c r="C1355" s="65"/>
      <c r="D1355" s="68"/>
      <c r="E1355" s="594" t="s">
        <v>480</v>
      </c>
      <c r="F1355" s="601"/>
      <c r="G1355" s="593"/>
      <c r="H1355" s="413"/>
      <c r="I1355" s="2112"/>
      <c r="N1355" s="413"/>
      <c r="T1355" s="2028"/>
      <c r="AB1355" s="413"/>
      <c r="AC1355" s="2795"/>
    </row>
    <row r="1356" spans="1:29" ht="12.75" customHeight="1" x14ac:dyDescent="0.2">
      <c r="A1356" s="2029">
        <v>211</v>
      </c>
      <c r="B1356" s="4995"/>
      <c r="C1356" s="65"/>
      <c r="D1356" s="68"/>
      <c r="E1356" s="594" t="s">
        <v>481</v>
      </c>
      <c r="F1356" s="601">
        <v>2</v>
      </c>
      <c r="G1356" s="593" t="s">
        <v>1938</v>
      </c>
      <c r="H1356" s="413"/>
      <c r="I1356" s="2112"/>
      <c r="N1356" s="413"/>
      <c r="T1356" s="2028"/>
      <c r="AB1356" s="413"/>
      <c r="AC1356" s="2795"/>
    </row>
    <row r="1357" spans="1:29" ht="12.75" customHeight="1" x14ac:dyDescent="0.2">
      <c r="A1357" s="2029">
        <v>211</v>
      </c>
      <c r="B1357" s="4995"/>
      <c r="C1357" s="65"/>
      <c r="D1357" s="68"/>
      <c r="E1357" s="594" t="s">
        <v>482</v>
      </c>
      <c r="F1357" s="601">
        <v>6</v>
      </c>
      <c r="G1357" s="593" t="s">
        <v>1938</v>
      </c>
      <c r="H1357" s="413"/>
      <c r="I1357" s="2112"/>
      <c r="N1357" s="413"/>
      <c r="T1357" s="2028"/>
      <c r="AB1357" s="413"/>
      <c r="AC1357" s="2795"/>
    </row>
    <row r="1358" spans="1:29" ht="12.75" customHeight="1" x14ac:dyDescent="0.2">
      <c r="A1358" s="2029">
        <v>211</v>
      </c>
      <c r="B1358" s="4995"/>
      <c r="C1358" s="65"/>
      <c r="D1358" s="68"/>
      <c r="E1358" s="594" t="s">
        <v>483</v>
      </c>
      <c r="F1358" s="601">
        <v>10</v>
      </c>
      <c r="G1358" s="593" t="s">
        <v>1938</v>
      </c>
      <c r="H1358" s="413"/>
      <c r="I1358" s="2112"/>
      <c r="N1358" s="413"/>
      <c r="T1358" s="2028"/>
      <c r="AB1358" s="413"/>
      <c r="AC1358" s="2795"/>
    </row>
    <row r="1359" spans="1:29" ht="12.75" customHeight="1" x14ac:dyDescent="0.2">
      <c r="A1359" s="2029">
        <v>211</v>
      </c>
      <c r="B1359" s="4995"/>
      <c r="C1359" s="65"/>
      <c r="D1359" s="68"/>
      <c r="E1359" s="594" t="s">
        <v>484</v>
      </c>
      <c r="F1359" s="601">
        <v>12</v>
      </c>
      <c r="G1359" s="593" t="s">
        <v>1938</v>
      </c>
      <c r="H1359" s="413"/>
      <c r="I1359" s="2112"/>
      <c r="N1359" s="413"/>
      <c r="T1359" s="2028"/>
      <c r="AB1359" s="413"/>
      <c r="AC1359" s="2795"/>
    </row>
    <row r="1360" spans="1:29" ht="12.75" customHeight="1" x14ac:dyDescent="0.2">
      <c r="A1360" s="2029">
        <v>211</v>
      </c>
      <c r="B1360" s="4995"/>
      <c r="C1360" s="65"/>
      <c r="D1360" s="68"/>
      <c r="E1360" s="594" t="s">
        <v>485</v>
      </c>
      <c r="F1360" s="601">
        <v>16</v>
      </c>
      <c r="G1360" s="593" t="s">
        <v>1938</v>
      </c>
      <c r="H1360" s="413"/>
      <c r="I1360" s="2112"/>
      <c r="N1360" s="413"/>
      <c r="T1360" s="2028"/>
      <c r="AB1360" s="413"/>
      <c r="AC1360" s="2795"/>
    </row>
    <row r="1361" spans="1:29" ht="12.75" customHeight="1" x14ac:dyDescent="0.2">
      <c r="A1361" s="2029">
        <v>211</v>
      </c>
      <c r="B1361" s="4995"/>
      <c r="C1361" s="65"/>
      <c r="D1361" s="68"/>
      <c r="E1361" s="594" t="s">
        <v>486</v>
      </c>
      <c r="F1361" s="601">
        <v>20</v>
      </c>
      <c r="G1361" s="593" t="s">
        <v>1938</v>
      </c>
      <c r="H1361" s="413"/>
      <c r="I1361" s="2112"/>
      <c r="N1361" s="413"/>
      <c r="T1361" s="2028"/>
      <c r="AB1361" s="413"/>
      <c r="AC1361" s="2795"/>
    </row>
    <row r="1362" spans="1:29" ht="12.75" customHeight="1" x14ac:dyDescent="0.2">
      <c r="A1362" s="2029">
        <v>211</v>
      </c>
      <c r="B1362" s="4995"/>
      <c r="C1362" s="65"/>
      <c r="D1362" s="68"/>
      <c r="E1362" s="594" t="s">
        <v>487</v>
      </c>
      <c r="F1362" s="601">
        <v>22</v>
      </c>
      <c r="G1362" s="593" t="s">
        <v>1938</v>
      </c>
      <c r="H1362" s="413"/>
      <c r="I1362" s="2112"/>
      <c r="N1362" s="413"/>
      <c r="T1362" s="2028"/>
      <c r="AB1362" s="413"/>
      <c r="AC1362" s="2795"/>
    </row>
    <row r="1363" spans="1:29" ht="12.75" customHeight="1" x14ac:dyDescent="0.2">
      <c r="A1363" s="2029">
        <v>211</v>
      </c>
      <c r="B1363" s="4995"/>
      <c r="C1363" s="65"/>
      <c r="D1363" s="68"/>
      <c r="E1363" s="594" t="s">
        <v>488</v>
      </c>
      <c r="F1363" s="601">
        <v>26</v>
      </c>
      <c r="G1363" s="593" t="s">
        <v>1938</v>
      </c>
      <c r="H1363" s="413"/>
      <c r="I1363" s="2112"/>
      <c r="N1363" s="413"/>
      <c r="T1363" s="2028"/>
      <c r="AB1363" s="413"/>
      <c r="AC1363" s="2795"/>
    </row>
    <row r="1364" spans="1:29" ht="12.75" customHeight="1" x14ac:dyDescent="0.2">
      <c r="A1364" s="2029">
        <v>211</v>
      </c>
      <c r="B1364" s="4995"/>
      <c r="C1364" s="65"/>
      <c r="D1364" s="68"/>
      <c r="E1364" s="594" t="s">
        <v>489</v>
      </c>
      <c r="F1364" s="601">
        <v>30</v>
      </c>
      <c r="G1364" s="593" t="s">
        <v>1938</v>
      </c>
      <c r="H1364" s="413"/>
      <c r="I1364" s="2112"/>
      <c r="N1364" s="413"/>
      <c r="T1364" s="2028"/>
      <c r="AB1364" s="413"/>
      <c r="AC1364" s="2795"/>
    </row>
    <row r="1365" spans="1:29" ht="12.75" customHeight="1" x14ac:dyDescent="0.2">
      <c r="A1365" s="2029">
        <v>211</v>
      </c>
      <c r="B1365" s="4995"/>
      <c r="C1365" s="65"/>
      <c r="D1365" s="68"/>
      <c r="E1365" s="594" t="s">
        <v>490</v>
      </c>
      <c r="F1365" s="601">
        <v>32</v>
      </c>
      <c r="G1365" s="593" t="s">
        <v>1938</v>
      </c>
      <c r="H1365" s="413"/>
      <c r="I1365" s="2112"/>
      <c r="N1365" s="413"/>
      <c r="T1365" s="2028"/>
      <c r="AB1365" s="413"/>
      <c r="AC1365" s="2795"/>
    </row>
    <row r="1366" spans="1:29" ht="12.75" customHeight="1" x14ac:dyDescent="0.2">
      <c r="A1366" s="2029">
        <v>211</v>
      </c>
      <c r="B1366" s="4995"/>
      <c r="C1366" s="65"/>
      <c r="D1366" s="68"/>
      <c r="E1366" s="594" t="s">
        <v>491</v>
      </c>
      <c r="F1366" s="601">
        <v>36</v>
      </c>
      <c r="G1366" s="593" t="s">
        <v>1938</v>
      </c>
      <c r="H1366" s="413"/>
      <c r="I1366" s="2112"/>
      <c r="N1366" s="413"/>
      <c r="T1366" s="2028"/>
      <c r="AB1366" s="413"/>
      <c r="AC1366" s="2795"/>
    </row>
    <row r="1367" spans="1:29" ht="12.75" customHeight="1" x14ac:dyDescent="0.2">
      <c r="A1367" s="2029">
        <v>211</v>
      </c>
      <c r="B1367" s="4995"/>
      <c r="C1367" s="65"/>
      <c r="D1367" s="68"/>
      <c r="E1367" s="594" t="s">
        <v>492</v>
      </c>
      <c r="F1367" s="601">
        <v>40</v>
      </c>
      <c r="G1367" s="593" t="s">
        <v>1938</v>
      </c>
      <c r="H1367" s="413"/>
      <c r="I1367" s="2112"/>
      <c r="N1367" s="413"/>
      <c r="T1367" s="2028"/>
      <c r="AB1367" s="413"/>
      <c r="AC1367" s="2795"/>
    </row>
    <row r="1368" spans="1:29" ht="12.75" customHeight="1" x14ac:dyDescent="0.2">
      <c r="A1368" s="2029">
        <v>211</v>
      </c>
      <c r="B1368" s="4995"/>
      <c r="C1368" s="65"/>
      <c r="D1368" s="68"/>
      <c r="E1368" s="594" t="s">
        <v>493</v>
      </c>
      <c r="F1368" s="601">
        <v>42</v>
      </c>
      <c r="G1368" s="593" t="s">
        <v>1938</v>
      </c>
      <c r="H1368" s="413"/>
      <c r="I1368" s="2112"/>
      <c r="N1368" s="413"/>
      <c r="T1368" s="2028"/>
      <c r="AB1368" s="413"/>
      <c r="AC1368" s="2795"/>
    </row>
    <row r="1369" spans="1:29" ht="12.75" customHeight="1" x14ac:dyDescent="0.2">
      <c r="A1369" s="2029">
        <v>211</v>
      </c>
      <c r="B1369" s="4995"/>
      <c r="C1369" s="65"/>
      <c r="D1369" s="68"/>
      <c r="E1369" s="594" t="s">
        <v>494</v>
      </c>
      <c r="F1369" s="601">
        <v>46</v>
      </c>
      <c r="G1369" s="593" t="s">
        <v>1938</v>
      </c>
      <c r="H1369" s="413"/>
      <c r="I1369" s="2112"/>
      <c r="N1369" s="413"/>
      <c r="T1369" s="2028"/>
      <c r="AB1369" s="413"/>
      <c r="AC1369" s="2795"/>
    </row>
    <row r="1370" spans="1:29" ht="12.75" customHeight="1" x14ac:dyDescent="0.2">
      <c r="A1370" s="2029">
        <v>211</v>
      </c>
      <c r="B1370" s="4995"/>
      <c r="C1370" s="65"/>
      <c r="D1370" s="68"/>
      <c r="E1370" s="594" t="s">
        <v>495</v>
      </c>
      <c r="F1370" s="601">
        <v>50</v>
      </c>
      <c r="G1370" s="593" t="s">
        <v>1938</v>
      </c>
      <c r="H1370" s="413"/>
      <c r="I1370" s="2112"/>
      <c r="N1370" s="413"/>
      <c r="T1370" s="2028"/>
      <c r="AB1370" s="413"/>
      <c r="AC1370" s="2795"/>
    </row>
    <row r="1371" spans="1:29" ht="12.75" customHeight="1" x14ac:dyDescent="0.2">
      <c r="A1371" s="2029">
        <v>211</v>
      </c>
      <c r="B1371" s="4995"/>
      <c r="C1371" s="65"/>
      <c r="D1371" s="68"/>
      <c r="E1371" s="594" t="s">
        <v>496</v>
      </c>
      <c r="F1371" s="601">
        <v>52</v>
      </c>
      <c r="G1371" s="593" t="s">
        <v>1938</v>
      </c>
      <c r="H1371" s="413"/>
      <c r="I1371" s="2112"/>
      <c r="N1371" s="413"/>
      <c r="T1371" s="2028"/>
      <c r="AB1371" s="413"/>
      <c r="AC1371" s="2795"/>
    </row>
    <row r="1372" spans="1:29" ht="12.75" customHeight="1" x14ac:dyDescent="0.2">
      <c r="A1372" s="2029">
        <v>211</v>
      </c>
      <c r="B1372" s="4995"/>
      <c r="C1372" s="65"/>
      <c r="D1372" s="68"/>
      <c r="E1372" s="594" t="s">
        <v>497</v>
      </c>
      <c r="F1372" s="601">
        <v>56</v>
      </c>
      <c r="G1372" s="593" t="s">
        <v>1938</v>
      </c>
      <c r="H1372" s="413"/>
      <c r="I1372" s="2112"/>
      <c r="N1372" s="413"/>
      <c r="T1372" s="2028"/>
      <c r="AB1372" s="413"/>
      <c r="AC1372" s="2795"/>
    </row>
    <row r="1373" spans="1:29" ht="12.75" customHeight="1" x14ac:dyDescent="0.2">
      <c r="A1373" s="2029">
        <v>211</v>
      </c>
      <c r="B1373" s="4995"/>
      <c r="C1373" s="65"/>
      <c r="D1373" s="68"/>
      <c r="E1373" s="594" t="s">
        <v>498</v>
      </c>
      <c r="F1373" s="601">
        <v>60</v>
      </c>
      <c r="G1373" s="593" t="s">
        <v>1938</v>
      </c>
      <c r="H1373" s="413"/>
      <c r="I1373" s="2112"/>
      <c r="N1373" s="413"/>
      <c r="T1373" s="2028"/>
      <c r="AB1373" s="413"/>
      <c r="AC1373" s="2795"/>
    </row>
    <row r="1374" spans="1:29" ht="12.75" customHeight="1" x14ac:dyDescent="0.2">
      <c r="A1374" s="2029">
        <v>211</v>
      </c>
      <c r="B1374" s="4995"/>
      <c r="C1374" s="65"/>
      <c r="D1374" s="68"/>
      <c r="E1374" s="594" t="s">
        <v>499</v>
      </c>
      <c r="F1374" s="601">
        <v>62</v>
      </c>
      <c r="G1374" s="593" t="s">
        <v>1938</v>
      </c>
      <c r="H1374" s="413"/>
      <c r="I1374" s="2112"/>
      <c r="N1374" s="413"/>
      <c r="T1374" s="2028"/>
      <c r="AB1374" s="413"/>
      <c r="AC1374" s="2795"/>
    </row>
    <row r="1375" spans="1:29" ht="12.75" customHeight="1" x14ac:dyDescent="0.2">
      <c r="A1375" s="2029">
        <v>211</v>
      </c>
      <c r="B1375" s="4995"/>
      <c r="C1375" s="65"/>
      <c r="D1375" s="68"/>
      <c r="E1375" s="594" t="s">
        <v>500</v>
      </c>
      <c r="F1375" s="601">
        <v>66</v>
      </c>
      <c r="G1375" s="593" t="s">
        <v>1938</v>
      </c>
      <c r="H1375" s="413"/>
      <c r="I1375" s="2112"/>
      <c r="N1375" s="413"/>
      <c r="T1375" s="2028"/>
      <c r="AB1375" s="413"/>
      <c r="AC1375" s="2795"/>
    </row>
    <row r="1376" spans="1:29" ht="12.75" customHeight="1" x14ac:dyDescent="0.2">
      <c r="A1376" s="2029">
        <v>211</v>
      </c>
      <c r="B1376" s="4995"/>
      <c r="C1376" s="65"/>
      <c r="D1376" s="68"/>
      <c r="E1376" s="594" t="s">
        <v>501</v>
      </c>
      <c r="F1376" s="601">
        <v>70</v>
      </c>
      <c r="G1376" s="593" t="s">
        <v>1938</v>
      </c>
      <c r="H1376" s="413"/>
      <c r="I1376" s="2112"/>
      <c r="N1376" s="413"/>
      <c r="T1376" s="2028"/>
      <c r="AB1376" s="413"/>
      <c r="AC1376" s="2795"/>
    </row>
    <row r="1377" spans="1:29" ht="12.75" customHeight="1" x14ac:dyDescent="0.2">
      <c r="A1377" s="2029">
        <v>211</v>
      </c>
      <c r="B1377" s="4995"/>
      <c r="C1377" s="65"/>
      <c r="D1377" s="68"/>
      <c r="E1377" s="594" t="s">
        <v>502</v>
      </c>
      <c r="F1377" s="601">
        <v>72</v>
      </c>
      <c r="G1377" s="593" t="s">
        <v>1938</v>
      </c>
      <c r="H1377" s="413"/>
      <c r="I1377" s="2112"/>
      <c r="N1377" s="413"/>
      <c r="T1377" s="2028"/>
      <c r="AB1377" s="413"/>
      <c r="AC1377" s="2795"/>
    </row>
    <row r="1378" spans="1:29" ht="12.75" customHeight="1" x14ac:dyDescent="0.2">
      <c r="A1378" s="2029">
        <v>211</v>
      </c>
      <c r="B1378" s="4995"/>
      <c r="C1378" s="65"/>
      <c r="D1378" s="68"/>
      <c r="E1378" s="594" t="s">
        <v>503</v>
      </c>
      <c r="F1378" s="601">
        <v>76</v>
      </c>
      <c r="G1378" s="593" t="s">
        <v>1938</v>
      </c>
      <c r="H1378" s="413"/>
      <c r="I1378" s="2112"/>
      <c r="N1378" s="413"/>
      <c r="T1378" s="2028"/>
      <c r="AB1378" s="413"/>
      <c r="AC1378" s="2795"/>
    </row>
    <row r="1379" spans="1:29" ht="12.75" customHeight="1" x14ac:dyDescent="0.2">
      <c r="A1379" s="2029">
        <v>211</v>
      </c>
      <c r="B1379" s="4995"/>
      <c r="C1379" s="65"/>
      <c r="D1379" s="68"/>
      <c r="E1379" s="594" t="s">
        <v>504</v>
      </c>
      <c r="F1379" s="601">
        <v>80</v>
      </c>
      <c r="G1379" s="593" t="s">
        <v>1938</v>
      </c>
      <c r="H1379" s="413"/>
      <c r="I1379" s="2112"/>
      <c r="N1379" s="413"/>
      <c r="T1379" s="2028"/>
      <c r="AB1379" s="413"/>
      <c r="AC1379" s="2795"/>
    </row>
    <row r="1380" spans="1:29" ht="12.75" customHeight="1" x14ac:dyDescent="0.2">
      <c r="A1380" s="2029">
        <v>211</v>
      </c>
      <c r="B1380" s="4995"/>
      <c r="C1380" s="65"/>
      <c r="D1380" s="68"/>
      <c r="E1380" s="594" t="s">
        <v>505</v>
      </c>
      <c r="F1380" s="601">
        <v>82</v>
      </c>
      <c r="G1380" s="593" t="s">
        <v>1938</v>
      </c>
      <c r="H1380" s="413"/>
      <c r="I1380" s="2112"/>
      <c r="N1380" s="413"/>
      <c r="T1380" s="2028"/>
      <c r="AB1380" s="413"/>
      <c r="AC1380" s="2795"/>
    </row>
    <row r="1381" spans="1:29" ht="12.75" customHeight="1" x14ac:dyDescent="0.2">
      <c r="A1381" s="2029">
        <v>211</v>
      </c>
      <c r="B1381" s="4995"/>
      <c r="C1381" s="65"/>
      <c r="D1381" s="68"/>
      <c r="E1381" s="594" t="s">
        <v>506</v>
      </c>
      <c r="F1381" s="601">
        <v>86</v>
      </c>
      <c r="G1381" s="593" t="s">
        <v>1938</v>
      </c>
      <c r="H1381" s="413"/>
      <c r="I1381" s="2112"/>
      <c r="N1381" s="413"/>
      <c r="T1381" s="2028"/>
      <c r="AB1381" s="413"/>
      <c r="AC1381" s="2795"/>
    </row>
    <row r="1382" spans="1:29" ht="12.75" customHeight="1" x14ac:dyDescent="0.2">
      <c r="A1382" s="2029">
        <v>211</v>
      </c>
      <c r="B1382" s="4995"/>
      <c r="C1382" s="65"/>
      <c r="D1382" s="68"/>
      <c r="E1382" s="594" t="s">
        <v>507</v>
      </c>
      <c r="F1382" s="601">
        <v>90</v>
      </c>
      <c r="G1382" s="593" t="s">
        <v>1938</v>
      </c>
      <c r="H1382" s="413"/>
      <c r="I1382" s="2112"/>
      <c r="N1382" s="413"/>
      <c r="T1382" s="2028"/>
      <c r="AB1382" s="413"/>
      <c r="AC1382" s="2795"/>
    </row>
    <row r="1383" spans="1:29" ht="12.75" customHeight="1" x14ac:dyDescent="0.2">
      <c r="A1383" s="2029">
        <v>211</v>
      </c>
      <c r="B1383" s="4995"/>
      <c r="C1383" s="65"/>
      <c r="D1383" s="68"/>
      <c r="E1383" s="594" t="s">
        <v>508</v>
      </c>
      <c r="F1383" s="601">
        <v>92</v>
      </c>
      <c r="G1383" s="593" t="s">
        <v>1938</v>
      </c>
      <c r="H1383" s="413"/>
      <c r="I1383" s="2112"/>
      <c r="N1383" s="413"/>
      <c r="T1383" s="2028"/>
      <c r="AB1383" s="413"/>
      <c r="AC1383" s="2795"/>
    </row>
    <row r="1384" spans="1:29" ht="12.75" customHeight="1" x14ac:dyDescent="0.2">
      <c r="A1384" s="2029">
        <v>211</v>
      </c>
      <c r="B1384" s="4995"/>
      <c r="C1384" s="65"/>
      <c r="D1384" s="68"/>
      <c r="E1384" s="594" t="s">
        <v>509</v>
      </c>
      <c r="F1384" s="601">
        <v>96</v>
      </c>
      <c r="G1384" s="593" t="s">
        <v>1938</v>
      </c>
      <c r="H1384" s="413"/>
      <c r="I1384" s="2112"/>
      <c r="N1384" s="413"/>
      <c r="T1384" s="2028"/>
      <c r="AB1384" s="413"/>
      <c r="AC1384" s="2795"/>
    </row>
    <row r="1385" spans="1:29" ht="12.75" customHeight="1" x14ac:dyDescent="0.2">
      <c r="A1385" s="2029">
        <v>211</v>
      </c>
      <c r="B1385" s="4995"/>
      <c r="C1385" s="65"/>
      <c r="D1385" s="68"/>
      <c r="E1385" s="594" t="s">
        <v>510</v>
      </c>
      <c r="F1385" s="601">
        <v>100</v>
      </c>
      <c r="G1385" s="593" t="s">
        <v>1938</v>
      </c>
      <c r="H1385" s="413"/>
      <c r="I1385" s="2112"/>
      <c r="N1385" s="413"/>
      <c r="T1385" s="2028"/>
      <c r="AB1385" s="413"/>
      <c r="AC1385" s="2795"/>
    </row>
    <row r="1386" spans="1:29" ht="12.75" customHeight="1" x14ac:dyDescent="0.2">
      <c r="A1386" s="2029">
        <v>211</v>
      </c>
      <c r="B1386" s="4995"/>
      <c r="C1386" s="65"/>
      <c r="D1386" s="68"/>
      <c r="E1386" s="594" t="s">
        <v>511</v>
      </c>
      <c r="F1386" s="601"/>
      <c r="G1386" s="593"/>
      <c r="H1386" s="413"/>
      <c r="I1386" s="2112"/>
      <c r="N1386" s="413"/>
      <c r="T1386" s="2028"/>
      <c r="AB1386" s="413"/>
      <c r="AC1386" s="2795"/>
    </row>
    <row r="1387" spans="1:29" ht="12.75" customHeight="1" x14ac:dyDescent="0.2">
      <c r="A1387" s="2029">
        <v>211</v>
      </c>
      <c r="B1387" s="4995"/>
      <c r="C1387" s="65"/>
      <c r="D1387" s="68"/>
      <c r="E1387" s="594" t="s">
        <v>512</v>
      </c>
      <c r="F1387" s="601">
        <v>2</v>
      </c>
      <c r="G1387" s="593" t="s">
        <v>2034</v>
      </c>
      <c r="H1387" s="413"/>
      <c r="I1387" s="2112"/>
      <c r="N1387" s="413"/>
      <c r="T1387" s="2028"/>
      <c r="AB1387" s="413"/>
      <c r="AC1387" s="2795"/>
    </row>
    <row r="1388" spans="1:29" ht="12.75" customHeight="1" x14ac:dyDescent="0.2">
      <c r="A1388" s="2029">
        <v>211</v>
      </c>
      <c r="B1388" s="4995"/>
      <c r="C1388" s="65"/>
      <c r="D1388" s="68"/>
      <c r="E1388" s="594" t="s">
        <v>513</v>
      </c>
      <c r="F1388" s="601">
        <v>6</v>
      </c>
      <c r="G1388" s="593" t="s">
        <v>2034</v>
      </c>
      <c r="H1388" s="413"/>
      <c r="I1388" s="2112"/>
      <c r="N1388" s="413"/>
      <c r="T1388" s="2028"/>
      <c r="AB1388" s="413"/>
      <c r="AC1388" s="2795"/>
    </row>
    <row r="1389" spans="1:29" ht="12.75" customHeight="1" x14ac:dyDescent="0.2">
      <c r="A1389" s="2029">
        <v>211</v>
      </c>
      <c r="B1389" s="4995"/>
      <c r="C1389" s="65"/>
      <c r="D1389" s="68"/>
      <c r="E1389" s="594" t="s">
        <v>514</v>
      </c>
      <c r="F1389" s="601">
        <v>10</v>
      </c>
      <c r="G1389" s="593" t="s">
        <v>2034</v>
      </c>
      <c r="H1389" s="413"/>
      <c r="I1389" s="2112"/>
      <c r="N1389" s="413"/>
      <c r="T1389" s="2028"/>
      <c r="AB1389" s="413"/>
      <c r="AC1389" s="2795"/>
    </row>
    <row r="1390" spans="1:29" ht="12.75" customHeight="1" x14ac:dyDescent="0.2">
      <c r="A1390" s="2029">
        <v>211</v>
      </c>
      <c r="B1390" s="4995"/>
      <c r="C1390" s="65"/>
      <c r="D1390" s="68"/>
      <c r="E1390" s="594" t="s">
        <v>515</v>
      </c>
      <c r="F1390" s="601">
        <v>12</v>
      </c>
      <c r="G1390" s="593" t="s">
        <v>2034</v>
      </c>
      <c r="H1390" s="413"/>
      <c r="I1390" s="2112"/>
      <c r="N1390" s="413"/>
      <c r="T1390" s="2028"/>
      <c r="AB1390" s="413"/>
      <c r="AC1390" s="2795"/>
    </row>
    <row r="1391" spans="1:29" ht="12.75" customHeight="1" x14ac:dyDescent="0.2">
      <c r="A1391" s="2029">
        <v>211</v>
      </c>
      <c r="B1391" s="4995"/>
      <c r="C1391" s="65"/>
      <c r="D1391" s="68"/>
      <c r="E1391" s="594" t="s">
        <v>516</v>
      </c>
      <c r="F1391" s="601">
        <v>16</v>
      </c>
      <c r="G1391" s="593" t="s">
        <v>2034</v>
      </c>
      <c r="H1391" s="413"/>
      <c r="I1391" s="2112"/>
      <c r="N1391" s="413"/>
      <c r="T1391" s="2028"/>
      <c r="AB1391" s="413"/>
      <c r="AC1391" s="2795"/>
    </row>
    <row r="1392" spans="1:29" ht="12.75" customHeight="1" x14ac:dyDescent="0.2">
      <c r="A1392" s="2029">
        <v>211</v>
      </c>
      <c r="B1392" s="4995"/>
      <c r="C1392" s="65"/>
      <c r="D1392" s="68"/>
      <c r="E1392" s="594" t="s">
        <v>517</v>
      </c>
      <c r="F1392" s="601">
        <v>20</v>
      </c>
      <c r="G1392" s="593" t="s">
        <v>2034</v>
      </c>
      <c r="H1392" s="413"/>
      <c r="I1392" s="2112"/>
      <c r="N1392" s="413"/>
      <c r="T1392" s="2028"/>
      <c r="AB1392" s="413"/>
      <c r="AC1392" s="2795"/>
    </row>
    <row r="1393" spans="1:29" ht="12.75" customHeight="1" x14ac:dyDescent="0.2">
      <c r="A1393" s="2029">
        <v>211</v>
      </c>
      <c r="B1393" s="4995"/>
      <c r="C1393" s="65"/>
      <c r="D1393" s="68"/>
      <c r="E1393" s="594" t="s">
        <v>518</v>
      </c>
      <c r="F1393" s="601">
        <v>22</v>
      </c>
      <c r="G1393" s="593" t="s">
        <v>2034</v>
      </c>
      <c r="H1393" s="413"/>
      <c r="I1393" s="2112"/>
      <c r="N1393" s="413"/>
      <c r="T1393" s="2028"/>
      <c r="AB1393" s="413"/>
      <c r="AC1393" s="2795"/>
    </row>
    <row r="1394" spans="1:29" ht="12.75" customHeight="1" x14ac:dyDescent="0.2">
      <c r="A1394" s="2029">
        <v>211</v>
      </c>
      <c r="B1394" s="4995"/>
      <c r="C1394" s="65"/>
      <c r="D1394" s="68"/>
      <c r="E1394" s="594" t="s">
        <v>519</v>
      </c>
      <c r="F1394" s="601">
        <v>26</v>
      </c>
      <c r="G1394" s="593" t="s">
        <v>2034</v>
      </c>
      <c r="H1394" s="413"/>
      <c r="I1394" s="2112"/>
      <c r="N1394" s="413"/>
      <c r="T1394" s="2028"/>
      <c r="AB1394" s="413"/>
      <c r="AC1394" s="2795"/>
    </row>
    <row r="1395" spans="1:29" ht="12.75" customHeight="1" x14ac:dyDescent="0.2">
      <c r="A1395" s="2029">
        <v>211</v>
      </c>
      <c r="B1395" s="4995"/>
      <c r="C1395" s="65"/>
      <c r="D1395" s="68"/>
      <c r="E1395" s="594" t="s">
        <v>520</v>
      </c>
      <c r="F1395" s="601">
        <v>30</v>
      </c>
      <c r="G1395" s="593" t="s">
        <v>2034</v>
      </c>
      <c r="H1395" s="413"/>
      <c r="I1395" s="2112"/>
      <c r="N1395" s="413"/>
      <c r="T1395" s="2028"/>
      <c r="AB1395" s="413"/>
      <c r="AC1395" s="2795"/>
    </row>
    <row r="1396" spans="1:29" ht="12.75" customHeight="1" x14ac:dyDescent="0.2">
      <c r="A1396" s="2029">
        <v>211</v>
      </c>
      <c r="B1396" s="4995"/>
      <c r="C1396" s="65"/>
      <c r="D1396" s="68"/>
      <c r="E1396" s="594" t="s">
        <v>521</v>
      </c>
      <c r="F1396" s="601">
        <v>32</v>
      </c>
      <c r="G1396" s="593" t="s">
        <v>2034</v>
      </c>
      <c r="H1396" s="413"/>
      <c r="I1396" s="2112"/>
      <c r="N1396" s="413"/>
      <c r="T1396" s="2028"/>
      <c r="AB1396" s="413"/>
      <c r="AC1396" s="2795"/>
    </row>
    <row r="1397" spans="1:29" ht="12.75" customHeight="1" x14ac:dyDescent="0.2">
      <c r="A1397" s="2029">
        <v>211</v>
      </c>
      <c r="B1397" s="4995"/>
      <c r="C1397" s="65"/>
      <c r="D1397" s="68"/>
      <c r="E1397" s="594" t="s">
        <v>522</v>
      </c>
      <c r="F1397" s="601">
        <v>36</v>
      </c>
      <c r="G1397" s="593" t="s">
        <v>2034</v>
      </c>
      <c r="H1397" s="413"/>
      <c r="I1397" s="2112"/>
      <c r="N1397" s="413"/>
      <c r="T1397" s="2028"/>
      <c r="AB1397" s="413"/>
      <c r="AC1397" s="2795"/>
    </row>
    <row r="1398" spans="1:29" ht="12.75" customHeight="1" x14ac:dyDescent="0.2">
      <c r="A1398" s="2029">
        <v>211</v>
      </c>
      <c r="B1398" s="4995"/>
      <c r="C1398" s="65"/>
      <c r="D1398" s="68"/>
      <c r="E1398" s="594" t="s">
        <v>523</v>
      </c>
      <c r="F1398" s="601">
        <v>40</v>
      </c>
      <c r="G1398" s="593" t="s">
        <v>2034</v>
      </c>
      <c r="H1398" s="413"/>
      <c r="I1398" s="2112"/>
      <c r="N1398" s="413"/>
      <c r="T1398" s="2028"/>
      <c r="AB1398" s="413"/>
      <c r="AC1398" s="2795"/>
    </row>
    <row r="1399" spans="1:29" ht="12.75" customHeight="1" x14ac:dyDescent="0.2">
      <c r="A1399" s="2029">
        <v>211</v>
      </c>
      <c r="B1399" s="4995"/>
      <c r="C1399" s="65"/>
      <c r="D1399" s="68"/>
      <c r="E1399" s="594" t="s">
        <v>524</v>
      </c>
      <c r="F1399" s="601">
        <v>42</v>
      </c>
      <c r="G1399" s="593" t="s">
        <v>2034</v>
      </c>
      <c r="H1399" s="413"/>
      <c r="I1399" s="2112"/>
      <c r="N1399" s="413"/>
      <c r="T1399" s="2028"/>
      <c r="AB1399" s="413"/>
      <c r="AC1399" s="2795"/>
    </row>
    <row r="1400" spans="1:29" ht="12.75" customHeight="1" x14ac:dyDescent="0.2">
      <c r="A1400" s="2029">
        <v>211</v>
      </c>
      <c r="B1400" s="4995"/>
      <c r="C1400" s="65"/>
      <c r="D1400" s="68"/>
      <c r="E1400" s="594" t="s">
        <v>525</v>
      </c>
      <c r="F1400" s="601">
        <v>46</v>
      </c>
      <c r="G1400" s="593" t="s">
        <v>2034</v>
      </c>
      <c r="H1400" s="413"/>
      <c r="I1400" s="2112"/>
      <c r="N1400" s="413"/>
      <c r="T1400" s="2028"/>
      <c r="AB1400" s="413"/>
      <c r="AC1400" s="2795"/>
    </row>
    <row r="1401" spans="1:29" ht="12.75" customHeight="1" x14ac:dyDescent="0.2">
      <c r="A1401" s="2029">
        <v>211</v>
      </c>
      <c r="B1401" s="4995"/>
      <c r="C1401" s="65"/>
      <c r="D1401" s="68"/>
      <c r="E1401" s="594" t="s">
        <v>526</v>
      </c>
      <c r="F1401" s="601">
        <v>50</v>
      </c>
      <c r="G1401" s="593" t="s">
        <v>2034</v>
      </c>
      <c r="H1401" s="413"/>
      <c r="I1401" s="2112"/>
      <c r="N1401" s="413"/>
      <c r="T1401" s="2028"/>
      <c r="AB1401" s="413"/>
      <c r="AC1401" s="2795"/>
    </row>
    <row r="1402" spans="1:29" ht="12.75" customHeight="1" x14ac:dyDescent="0.2">
      <c r="A1402" s="2029">
        <v>211</v>
      </c>
      <c r="B1402" s="4995"/>
      <c r="C1402" s="65"/>
      <c r="D1402" s="68"/>
      <c r="E1402" s="594" t="s">
        <v>527</v>
      </c>
      <c r="F1402" s="601">
        <v>52</v>
      </c>
      <c r="G1402" s="593" t="s">
        <v>2034</v>
      </c>
      <c r="H1402" s="413"/>
      <c r="I1402" s="2112"/>
      <c r="N1402" s="413"/>
      <c r="T1402" s="2028"/>
      <c r="AB1402" s="413"/>
      <c r="AC1402" s="2795"/>
    </row>
    <row r="1403" spans="1:29" ht="12.75" customHeight="1" x14ac:dyDescent="0.2">
      <c r="A1403" s="2029">
        <v>211</v>
      </c>
      <c r="B1403" s="4995"/>
      <c r="C1403" s="65"/>
      <c r="D1403" s="68"/>
      <c r="E1403" s="594" t="s">
        <v>528</v>
      </c>
      <c r="F1403" s="601">
        <v>56</v>
      </c>
      <c r="G1403" s="593" t="s">
        <v>2034</v>
      </c>
      <c r="H1403" s="413"/>
      <c r="I1403" s="2112"/>
      <c r="N1403" s="413"/>
      <c r="T1403" s="2028"/>
      <c r="AB1403" s="413"/>
      <c r="AC1403" s="2795"/>
    </row>
    <row r="1404" spans="1:29" ht="12.75" customHeight="1" x14ac:dyDescent="0.2">
      <c r="A1404" s="2029">
        <v>211</v>
      </c>
      <c r="B1404" s="4995"/>
      <c r="C1404" s="65"/>
      <c r="D1404" s="68"/>
      <c r="E1404" s="594" t="s">
        <v>529</v>
      </c>
      <c r="F1404" s="601">
        <v>60</v>
      </c>
      <c r="G1404" s="593" t="s">
        <v>2034</v>
      </c>
      <c r="H1404" s="413"/>
      <c r="I1404" s="2112"/>
      <c r="N1404" s="413"/>
      <c r="T1404" s="2028"/>
      <c r="AB1404" s="413"/>
      <c r="AC1404" s="2795"/>
    </row>
    <row r="1405" spans="1:29" ht="12.75" customHeight="1" x14ac:dyDescent="0.2">
      <c r="A1405" s="2029">
        <v>211</v>
      </c>
      <c r="B1405" s="4995"/>
      <c r="C1405" s="65"/>
      <c r="D1405" s="68"/>
      <c r="E1405" s="594" t="s">
        <v>530</v>
      </c>
      <c r="F1405" s="601">
        <v>62</v>
      </c>
      <c r="G1405" s="593" t="s">
        <v>2034</v>
      </c>
      <c r="H1405" s="413"/>
      <c r="I1405" s="2112"/>
      <c r="N1405" s="413"/>
      <c r="T1405" s="2028"/>
      <c r="AB1405" s="413"/>
      <c r="AC1405" s="2795"/>
    </row>
    <row r="1406" spans="1:29" ht="12.75" customHeight="1" x14ac:dyDescent="0.2">
      <c r="A1406" s="2029">
        <v>211</v>
      </c>
      <c r="B1406" s="4995"/>
      <c r="C1406" s="65"/>
      <c r="D1406" s="68"/>
      <c r="E1406" s="594" t="s">
        <v>531</v>
      </c>
      <c r="F1406" s="601">
        <v>66</v>
      </c>
      <c r="G1406" s="593" t="s">
        <v>2034</v>
      </c>
      <c r="H1406" s="413"/>
      <c r="I1406" s="2112"/>
      <c r="N1406" s="413"/>
      <c r="T1406" s="2028"/>
      <c r="AB1406" s="413"/>
      <c r="AC1406" s="2795"/>
    </row>
    <row r="1407" spans="1:29" ht="12.75" customHeight="1" x14ac:dyDescent="0.2">
      <c r="A1407" s="2029">
        <v>211</v>
      </c>
      <c r="B1407" s="4995"/>
      <c r="C1407" s="65"/>
      <c r="D1407" s="68"/>
      <c r="E1407" s="594" t="s">
        <v>532</v>
      </c>
      <c r="F1407" s="601">
        <v>70</v>
      </c>
      <c r="G1407" s="593" t="s">
        <v>2034</v>
      </c>
      <c r="H1407" s="413"/>
      <c r="I1407" s="2112"/>
      <c r="N1407" s="413"/>
      <c r="T1407" s="2028"/>
      <c r="AB1407" s="413"/>
      <c r="AC1407" s="2795"/>
    </row>
    <row r="1408" spans="1:29" ht="12.75" customHeight="1" x14ac:dyDescent="0.2">
      <c r="A1408" s="2029">
        <v>211</v>
      </c>
      <c r="B1408" s="4995"/>
      <c r="C1408" s="65"/>
      <c r="D1408" s="68"/>
      <c r="E1408" s="594" t="s">
        <v>533</v>
      </c>
      <c r="F1408" s="601">
        <v>72</v>
      </c>
      <c r="G1408" s="593" t="s">
        <v>2034</v>
      </c>
      <c r="H1408" s="413"/>
      <c r="I1408" s="2112"/>
      <c r="N1408" s="413"/>
      <c r="T1408" s="2028"/>
      <c r="AB1408" s="413"/>
      <c r="AC1408" s="2795"/>
    </row>
    <row r="1409" spans="1:29" ht="12.75" customHeight="1" x14ac:dyDescent="0.2">
      <c r="A1409" s="2029">
        <v>211</v>
      </c>
      <c r="B1409" s="4995"/>
      <c r="C1409" s="65"/>
      <c r="D1409" s="68"/>
      <c r="E1409" s="594" t="s">
        <v>534</v>
      </c>
      <c r="F1409" s="601">
        <v>76</v>
      </c>
      <c r="G1409" s="593" t="s">
        <v>2034</v>
      </c>
      <c r="H1409" s="413"/>
      <c r="I1409" s="2112"/>
      <c r="N1409" s="413"/>
      <c r="T1409" s="2028"/>
      <c r="AB1409" s="413"/>
      <c r="AC1409" s="2795"/>
    </row>
    <row r="1410" spans="1:29" ht="12.75" customHeight="1" x14ac:dyDescent="0.2">
      <c r="A1410" s="2029">
        <v>211</v>
      </c>
      <c r="B1410" s="4995"/>
      <c r="C1410" s="65"/>
      <c r="D1410" s="68"/>
      <c r="E1410" s="594" t="s">
        <v>535</v>
      </c>
      <c r="F1410" s="601">
        <v>80</v>
      </c>
      <c r="G1410" s="593" t="s">
        <v>2034</v>
      </c>
      <c r="H1410" s="413"/>
      <c r="I1410" s="2112"/>
      <c r="N1410" s="413"/>
      <c r="T1410" s="2028"/>
      <c r="AB1410" s="413"/>
      <c r="AC1410" s="2795"/>
    </row>
    <row r="1411" spans="1:29" ht="12.75" customHeight="1" x14ac:dyDescent="0.2">
      <c r="A1411" s="2029">
        <v>211</v>
      </c>
      <c r="B1411" s="4995"/>
      <c r="C1411" s="65"/>
      <c r="D1411" s="68"/>
      <c r="E1411" s="594" t="s">
        <v>536</v>
      </c>
      <c r="F1411" s="601">
        <v>82</v>
      </c>
      <c r="G1411" s="593" t="s">
        <v>2034</v>
      </c>
      <c r="H1411" s="413"/>
      <c r="I1411" s="2112"/>
      <c r="N1411" s="413"/>
      <c r="T1411" s="2028"/>
      <c r="AB1411" s="413"/>
      <c r="AC1411" s="2795"/>
    </row>
    <row r="1412" spans="1:29" ht="12.75" customHeight="1" x14ac:dyDescent="0.2">
      <c r="A1412" s="2029">
        <v>211</v>
      </c>
      <c r="B1412" s="4995"/>
      <c r="C1412" s="65"/>
      <c r="D1412" s="68"/>
      <c r="E1412" s="594" t="s">
        <v>537</v>
      </c>
      <c r="F1412" s="601">
        <v>86</v>
      </c>
      <c r="G1412" s="593" t="s">
        <v>2034</v>
      </c>
      <c r="H1412" s="413"/>
      <c r="I1412" s="2112"/>
      <c r="N1412" s="413"/>
      <c r="T1412" s="2028"/>
      <c r="AB1412" s="413"/>
      <c r="AC1412" s="2795"/>
    </row>
    <row r="1413" spans="1:29" ht="12.75" customHeight="1" x14ac:dyDescent="0.2">
      <c r="A1413" s="2029">
        <v>211</v>
      </c>
      <c r="B1413" s="4995"/>
      <c r="C1413" s="65"/>
      <c r="D1413" s="68"/>
      <c r="E1413" s="594" t="s">
        <v>538</v>
      </c>
      <c r="F1413" s="601">
        <v>90</v>
      </c>
      <c r="G1413" s="593" t="s">
        <v>2034</v>
      </c>
      <c r="H1413" s="413"/>
      <c r="I1413" s="2112"/>
      <c r="N1413" s="413"/>
      <c r="T1413" s="2028"/>
      <c r="AB1413" s="413"/>
      <c r="AC1413" s="2795"/>
    </row>
    <row r="1414" spans="1:29" ht="12.75" customHeight="1" x14ac:dyDescent="0.2">
      <c r="A1414" s="2029">
        <v>211</v>
      </c>
      <c r="B1414" s="4995"/>
      <c r="C1414" s="65"/>
      <c r="D1414" s="68"/>
      <c r="E1414" s="594" t="s">
        <v>539</v>
      </c>
      <c r="F1414" s="601">
        <v>92</v>
      </c>
      <c r="G1414" s="593" t="s">
        <v>2034</v>
      </c>
      <c r="H1414" s="413"/>
      <c r="I1414" s="2112"/>
      <c r="N1414" s="413"/>
      <c r="T1414" s="2028"/>
      <c r="AB1414" s="413"/>
      <c r="AC1414" s="2795"/>
    </row>
    <row r="1415" spans="1:29" ht="12.75" customHeight="1" x14ac:dyDescent="0.2">
      <c r="A1415" s="2029">
        <v>211</v>
      </c>
      <c r="B1415" s="4995"/>
      <c r="C1415" s="65"/>
      <c r="D1415" s="68"/>
      <c r="E1415" s="594" t="s">
        <v>540</v>
      </c>
      <c r="F1415" s="601">
        <v>96</v>
      </c>
      <c r="G1415" s="593" t="s">
        <v>2034</v>
      </c>
      <c r="H1415" s="413"/>
      <c r="I1415" s="2112"/>
      <c r="N1415" s="413"/>
      <c r="T1415" s="2028"/>
      <c r="AB1415" s="413"/>
      <c r="AC1415" s="2795"/>
    </row>
    <row r="1416" spans="1:29" ht="12.75" customHeight="1" x14ac:dyDescent="0.2">
      <c r="A1416" s="2029">
        <v>211</v>
      </c>
      <c r="B1416" s="4995"/>
      <c r="C1416" s="65"/>
      <c r="D1416" s="68"/>
      <c r="E1416" s="594" t="s">
        <v>541</v>
      </c>
      <c r="F1416" s="601">
        <v>100</v>
      </c>
      <c r="G1416" s="593" t="s">
        <v>2034</v>
      </c>
      <c r="H1416" s="413"/>
      <c r="I1416" s="2112"/>
      <c r="N1416" s="413"/>
      <c r="T1416" s="2028"/>
      <c r="AB1416" s="413"/>
      <c r="AC1416" s="2795"/>
    </row>
    <row r="1417" spans="1:29" ht="12.75" customHeight="1" x14ac:dyDescent="0.2">
      <c r="A1417" s="2029">
        <v>211</v>
      </c>
      <c r="B1417" s="4995"/>
      <c r="C1417" s="65"/>
      <c r="D1417" s="68"/>
      <c r="E1417" s="594" t="s">
        <v>542</v>
      </c>
      <c r="F1417" s="601"/>
      <c r="G1417" s="593"/>
      <c r="H1417" s="413"/>
      <c r="I1417" s="2112"/>
      <c r="N1417" s="413"/>
      <c r="T1417" s="2028"/>
      <c r="AB1417" s="413"/>
      <c r="AC1417" s="2795"/>
    </row>
    <row r="1418" spans="1:29" ht="12.75" customHeight="1" x14ac:dyDescent="0.2">
      <c r="A1418" s="2029">
        <v>211</v>
      </c>
      <c r="B1418" s="4995"/>
      <c r="C1418" s="65"/>
      <c r="D1418" s="68"/>
      <c r="E1418" s="594" t="s">
        <v>543</v>
      </c>
      <c r="F1418" s="601">
        <v>2</v>
      </c>
      <c r="G1418" s="593" t="s">
        <v>2039</v>
      </c>
      <c r="H1418" s="413"/>
      <c r="I1418" s="2112"/>
      <c r="N1418" s="413"/>
      <c r="T1418" s="2028"/>
      <c r="AB1418" s="413"/>
      <c r="AC1418" s="2795"/>
    </row>
    <row r="1419" spans="1:29" ht="12.75" customHeight="1" x14ac:dyDescent="0.2">
      <c r="A1419" s="2029">
        <v>211</v>
      </c>
      <c r="B1419" s="4995"/>
      <c r="C1419" s="65"/>
      <c r="D1419" s="68"/>
      <c r="E1419" s="594" t="s">
        <v>544</v>
      </c>
      <c r="F1419" s="601">
        <v>6</v>
      </c>
      <c r="G1419" s="593" t="s">
        <v>2039</v>
      </c>
      <c r="H1419" s="413"/>
      <c r="I1419" s="2112"/>
      <c r="N1419" s="413"/>
      <c r="T1419" s="2028"/>
      <c r="AB1419" s="413"/>
      <c r="AC1419" s="2795"/>
    </row>
    <row r="1420" spans="1:29" ht="12.75" customHeight="1" x14ac:dyDescent="0.2">
      <c r="A1420" s="2029">
        <v>211</v>
      </c>
      <c r="B1420" s="4995"/>
      <c r="C1420" s="65"/>
      <c r="D1420" s="68"/>
      <c r="E1420" s="594" t="s">
        <v>545</v>
      </c>
      <c r="F1420" s="601">
        <v>10</v>
      </c>
      <c r="G1420" s="593" t="s">
        <v>2039</v>
      </c>
      <c r="H1420" s="413"/>
      <c r="I1420" s="2112"/>
      <c r="N1420" s="413"/>
      <c r="T1420" s="2028"/>
      <c r="AB1420" s="413"/>
      <c r="AC1420" s="2795"/>
    </row>
    <row r="1421" spans="1:29" ht="12.75" customHeight="1" x14ac:dyDescent="0.2">
      <c r="A1421" s="2029">
        <v>211</v>
      </c>
      <c r="B1421" s="4995"/>
      <c r="C1421" s="65"/>
      <c r="D1421" s="68"/>
      <c r="E1421" s="594" t="s">
        <v>546</v>
      </c>
      <c r="F1421" s="601">
        <v>12</v>
      </c>
      <c r="G1421" s="593" t="s">
        <v>2039</v>
      </c>
      <c r="H1421" s="413"/>
      <c r="I1421" s="2112"/>
      <c r="N1421" s="413"/>
      <c r="T1421" s="2028"/>
      <c r="AB1421" s="413"/>
      <c r="AC1421" s="2795"/>
    </row>
    <row r="1422" spans="1:29" ht="12.75" customHeight="1" x14ac:dyDescent="0.2">
      <c r="A1422" s="2029">
        <v>211</v>
      </c>
      <c r="B1422" s="4995"/>
      <c r="C1422" s="65"/>
      <c r="D1422" s="68"/>
      <c r="E1422" s="594" t="s">
        <v>547</v>
      </c>
      <c r="F1422" s="601">
        <v>16</v>
      </c>
      <c r="G1422" s="593" t="s">
        <v>2039</v>
      </c>
      <c r="H1422" s="413"/>
      <c r="I1422" s="2112"/>
      <c r="N1422" s="413"/>
      <c r="T1422" s="2028"/>
      <c r="AB1422" s="413"/>
      <c r="AC1422" s="2795"/>
    </row>
    <row r="1423" spans="1:29" ht="12.75" customHeight="1" x14ac:dyDescent="0.2">
      <c r="A1423" s="2029">
        <v>211</v>
      </c>
      <c r="B1423" s="4995"/>
      <c r="C1423" s="65"/>
      <c r="D1423" s="68"/>
      <c r="E1423" s="594" t="s">
        <v>548</v>
      </c>
      <c r="F1423" s="601">
        <v>20</v>
      </c>
      <c r="G1423" s="593" t="s">
        <v>2039</v>
      </c>
      <c r="H1423" s="413"/>
      <c r="I1423" s="2112"/>
      <c r="N1423" s="413"/>
      <c r="T1423" s="2028"/>
      <c r="AB1423" s="413"/>
      <c r="AC1423" s="2795"/>
    </row>
    <row r="1424" spans="1:29" ht="12.75" customHeight="1" x14ac:dyDescent="0.2">
      <c r="A1424" s="2029">
        <v>211</v>
      </c>
      <c r="B1424" s="4995"/>
      <c r="C1424" s="65"/>
      <c r="D1424" s="68"/>
      <c r="E1424" s="594" t="s">
        <v>549</v>
      </c>
      <c r="F1424" s="601">
        <v>22</v>
      </c>
      <c r="G1424" s="593" t="s">
        <v>2039</v>
      </c>
      <c r="H1424" s="413"/>
      <c r="I1424" s="2112"/>
      <c r="N1424" s="413"/>
      <c r="T1424" s="2028"/>
      <c r="AB1424" s="413"/>
      <c r="AC1424" s="2795"/>
    </row>
    <row r="1425" spans="1:29" ht="12.75" customHeight="1" x14ac:dyDescent="0.2">
      <c r="A1425" s="2029">
        <v>211</v>
      </c>
      <c r="B1425" s="4995"/>
      <c r="C1425" s="65"/>
      <c r="D1425" s="68"/>
      <c r="E1425" s="594" t="s">
        <v>550</v>
      </c>
      <c r="F1425" s="601">
        <v>26</v>
      </c>
      <c r="G1425" s="593" t="s">
        <v>2039</v>
      </c>
      <c r="H1425" s="413"/>
      <c r="I1425" s="2112"/>
      <c r="N1425" s="413"/>
      <c r="T1425" s="2028"/>
      <c r="AB1425" s="413"/>
      <c r="AC1425" s="2795"/>
    </row>
    <row r="1426" spans="1:29" ht="12.75" customHeight="1" x14ac:dyDescent="0.2">
      <c r="A1426" s="2029">
        <v>211</v>
      </c>
      <c r="B1426" s="4995"/>
      <c r="C1426" s="65"/>
      <c r="D1426" s="68"/>
      <c r="E1426" s="594" t="s">
        <v>551</v>
      </c>
      <c r="F1426" s="601">
        <v>30</v>
      </c>
      <c r="G1426" s="593" t="s">
        <v>2039</v>
      </c>
      <c r="H1426" s="413"/>
      <c r="I1426" s="2112"/>
      <c r="N1426" s="413"/>
      <c r="T1426" s="2028"/>
      <c r="AB1426" s="413"/>
      <c r="AC1426" s="2795"/>
    </row>
    <row r="1427" spans="1:29" ht="12.75" customHeight="1" x14ac:dyDescent="0.2">
      <c r="A1427" s="2029">
        <v>211</v>
      </c>
      <c r="B1427" s="4995"/>
      <c r="C1427" s="65"/>
      <c r="D1427" s="68"/>
      <c r="E1427" s="594" t="s">
        <v>552</v>
      </c>
      <c r="F1427" s="601">
        <v>32</v>
      </c>
      <c r="G1427" s="593" t="s">
        <v>2039</v>
      </c>
      <c r="H1427" s="413"/>
      <c r="I1427" s="2112"/>
      <c r="N1427" s="413"/>
      <c r="T1427" s="2028"/>
      <c r="AB1427" s="413"/>
      <c r="AC1427" s="2795"/>
    </row>
    <row r="1428" spans="1:29" ht="12.75" customHeight="1" x14ac:dyDescent="0.2">
      <c r="A1428" s="2029">
        <v>211</v>
      </c>
      <c r="B1428" s="4995"/>
      <c r="C1428" s="65"/>
      <c r="D1428" s="68"/>
      <c r="E1428" s="594" t="s">
        <v>553</v>
      </c>
      <c r="F1428" s="601">
        <v>36</v>
      </c>
      <c r="G1428" s="593" t="s">
        <v>2039</v>
      </c>
      <c r="H1428" s="413"/>
      <c r="I1428" s="2112"/>
      <c r="N1428" s="413"/>
      <c r="T1428" s="2028"/>
      <c r="AB1428" s="413"/>
      <c r="AC1428" s="2795"/>
    </row>
    <row r="1429" spans="1:29" ht="12.75" customHeight="1" x14ac:dyDescent="0.2">
      <c r="A1429" s="2029">
        <v>211</v>
      </c>
      <c r="B1429" s="4995"/>
      <c r="C1429" s="65"/>
      <c r="D1429" s="68"/>
      <c r="E1429" s="594" t="s">
        <v>554</v>
      </c>
      <c r="F1429" s="601">
        <v>40</v>
      </c>
      <c r="G1429" s="593" t="s">
        <v>2039</v>
      </c>
      <c r="H1429" s="413"/>
      <c r="I1429" s="2112"/>
      <c r="N1429" s="413"/>
      <c r="T1429" s="2028"/>
      <c r="AB1429" s="413"/>
      <c r="AC1429" s="2795"/>
    </row>
    <row r="1430" spans="1:29" ht="12.75" customHeight="1" x14ac:dyDescent="0.2">
      <c r="A1430" s="2029">
        <v>211</v>
      </c>
      <c r="B1430" s="4995"/>
      <c r="C1430" s="65"/>
      <c r="D1430" s="68"/>
      <c r="E1430" s="594" t="s">
        <v>555</v>
      </c>
      <c r="F1430" s="601">
        <v>42</v>
      </c>
      <c r="G1430" s="593" t="s">
        <v>2039</v>
      </c>
      <c r="H1430" s="413"/>
      <c r="I1430" s="2112"/>
      <c r="N1430" s="413"/>
      <c r="T1430" s="2028"/>
      <c r="AB1430" s="413"/>
      <c r="AC1430" s="2795"/>
    </row>
    <row r="1431" spans="1:29" ht="12.75" customHeight="1" x14ac:dyDescent="0.2">
      <c r="A1431" s="2029">
        <v>211</v>
      </c>
      <c r="B1431" s="4995"/>
      <c r="C1431" s="65"/>
      <c r="D1431" s="68"/>
      <c r="E1431" s="594" t="s">
        <v>556</v>
      </c>
      <c r="F1431" s="601">
        <v>46</v>
      </c>
      <c r="G1431" s="593" t="s">
        <v>2039</v>
      </c>
      <c r="H1431" s="413"/>
      <c r="I1431" s="2112"/>
      <c r="N1431" s="413"/>
      <c r="T1431" s="2028"/>
      <c r="AB1431" s="413"/>
      <c r="AC1431" s="2795"/>
    </row>
    <row r="1432" spans="1:29" ht="12.75" customHeight="1" x14ac:dyDescent="0.2">
      <c r="A1432" s="2029">
        <v>211</v>
      </c>
      <c r="B1432" s="4995"/>
      <c r="C1432" s="65"/>
      <c r="D1432" s="68"/>
      <c r="E1432" s="594" t="s">
        <v>557</v>
      </c>
      <c r="F1432" s="601">
        <v>50</v>
      </c>
      <c r="G1432" s="593" t="s">
        <v>2039</v>
      </c>
      <c r="H1432" s="413"/>
      <c r="I1432" s="2112"/>
      <c r="N1432" s="413"/>
      <c r="T1432" s="2028"/>
      <c r="AB1432" s="413"/>
      <c r="AC1432" s="2795"/>
    </row>
    <row r="1433" spans="1:29" ht="12.75" customHeight="1" x14ac:dyDescent="0.2">
      <c r="A1433" s="2029">
        <v>211</v>
      </c>
      <c r="B1433" s="4995"/>
      <c r="C1433" s="65"/>
      <c r="D1433" s="68"/>
      <c r="E1433" s="594" t="s">
        <v>558</v>
      </c>
      <c r="F1433" s="601">
        <v>52</v>
      </c>
      <c r="G1433" s="593" t="s">
        <v>2039</v>
      </c>
      <c r="H1433" s="413"/>
      <c r="I1433" s="2112"/>
      <c r="N1433" s="413"/>
      <c r="T1433" s="2028"/>
      <c r="AB1433" s="413"/>
      <c r="AC1433" s="2795"/>
    </row>
    <row r="1434" spans="1:29" ht="12.75" customHeight="1" x14ac:dyDescent="0.2">
      <c r="A1434" s="2029">
        <v>211</v>
      </c>
      <c r="B1434" s="4995"/>
      <c r="C1434" s="65"/>
      <c r="D1434" s="68"/>
      <c r="E1434" s="594" t="s">
        <v>559</v>
      </c>
      <c r="F1434" s="601">
        <v>56</v>
      </c>
      <c r="G1434" s="593" t="s">
        <v>2039</v>
      </c>
      <c r="H1434" s="413"/>
      <c r="I1434" s="2112"/>
      <c r="N1434" s="413"/>
      <c r="T1434" s="2028"/>
      <c r="AB1434" s="413"/>
      <c r="AC1434" s="2795"/>
    </row>
    <row r="1435" spans="1:29" ht="12.75" customHeight="1" x14ac:dyDescent="0.2">
      <c r="A1435" s="2029">
        <v>211</v>
      </c>
      <c r="B1435" s="4995"/>
      <c r="C1435" s="65"/>
      <c r="D1435" s="68"/>
      <c r="E1435" s="594" t="s">
        <v>560</v>
      </c>
      <c r="F1435" s="601">
        <v>60</v>
      </c>
      <c r="G1435" s="593" t="s">
        <v>2039</v>
      </c>
      <c r="H1435" s="413"/>
      <c r="I1435" s="2112"/>
      <c r="N1435" s="413"/>
      <c r="T1435" s="2028"/>
      <c r="AB1435" s="413"/>
      <c r="AC1435" s="2795"/>
    </row>
    <row r="1436" spans="1:29" ht="12.75" customHeight="1" x14ac:dyDescent="0.2">
      <c r="A1436" s="2029">
        <v>211</v>
      </c>
      <c r="B1436" s="4995"/>
      <c r="C1436" s="65"/>
      <c r="D1436" s="68"/>
      <c r="E1436" s="594" t="s">
        <v>561</v>
      </c>
      <c r="F1436" s="601">
        <v>62</v>
      </c>
      <c r="G1436" s="593" t="s">
        <v>2039</v>
      </c>
      <c r="H1436" s="413"/>
      <c r="I1436" s="2112"/>
      <c r="N1436" s="413"/>
      <c r="T1436" s="2028"/>
      <c r="AB1436" s="413"/>
      <c r="AC1436" s="2795"/>
    </row>
    <row r="1437" spans="1:29" ht="12.75" customHeight="1" x14ac:dyDescent="0.2">
      <c r="A1437" s="2029">
        <v>211</v>
      </c>
      <c r="B1437" s="4995"/>
      <c r="C1437" s="65"/>
      <c r="D1437" s="68"/>
      <c r="E1437" s="594" t="s">
        <v>562</v>
      </c>
      <c r="F1437" s="601">
        <v>66</v>
      </c>
      <c r="G1437" s="593" t="s">
        <v>2039</v>
      </c>
      <c r="H1437" s="413"/>
      <c r="I1437" s="2112"/>
      <c r="N1437" s="413"/>
      <c r="T1437" s="2028"/>
      <c r="AB1437" s="413"/>
      <c r="AC1437" s="2795"/>
    </row>
    <row r="1438" spans="1:29" ht="12.75" customHeight="1" x14ac:dyDescent="0.2">
      <c r="A1438" s="2029">
        <v>211</v>
      </c>
      <c r="B1438" s="4995"/>
      <c r="C1438" s="65"/>
      <c r="D1438" s="68"/>
      <c r="E1438" s="594" t="s">
        <v>563</v>
      </c>
      <c r="F1438" s="601">
        <v>70</v>
      </c>
      <c r="G1438" s="593" t="s">
        <v>2039</v>
      </c>
      <c r="H1438" s="413"/>
      <c r="I1438" s="2112"/>
      <c r="N1438" s="413"/>
      <c r="T1438" s="2028"/>
      <c r="AB1438" s="413"/>
      <c r="AC1438" s="2795"/>
    </row>
    <row r="1439" spans="1:29" ht="12.75" customHeight="1" x14ac:dyDescent="0.2">
      <c r="A1439" s="2029">
        <v>211</v>
      </c>
      <c r="B1439" s="4995"/>
      <c r="C1439" s="65"/>
      <c r="D1439" s="68"/>
      <c r="E1439" s="594" t="s">
        <v>564</v>
      </c>
      <c r="F1439" s="601">
        <v>72</v>
      </c>
      <c r="G1439" s="593" t="s">
        <v>2039</v>
      </c>
      <c r="H1439" s="413"/>
      <c r="I1439" s="2112"/>
      <c r="N1439" s="413"/>
      <c r="T1439" s="2028"/>
      <c r="AB1439" s="413"/>
      <c r="AC1439" s="2795"/>
    </row>
    <row r="1440" spans="1:29" ht="12.75" customHeight="1" x14ac:dyDescent="0.2">
      <c r="A1440" s="2029">
        <v>211</v>
      </c>
      <c r="B1440" s="4995"/>
      <c r="C1440" s="65"/>
      <c r="D1440" s="68"/>
      <c r="E1440" s="594" t="s">
        <v>565</v>
      </c>
      <c r="F1440" s="601">
        <v>76</v>
      </c>
      <c r="G1440" s="593" t="s">
        <v>2039</v>
      </c>
      <c r="H1440" s="413"/>
      <c r="I1440" s="2112"/>
      <c r="N1440" s="413"/>
      <c r="T1440" s="2028"/>
      <c r="AB1440" s="413"/>
      <c r="AC1440" s="2795"/>
    </row>
    <row r="1441" spans="1:29" ht="12.75" customHeight="1" x14ac:dyDescent="0.2">
      <c r="A1441" s="2029">
        <v>211</v>
      </c>
      <c r="B1441" s="4995"/>
      <c r="C1441" s="65"/>
      <c r="D1441" s="68"/>
      <c r="E1441" s="594" t="s">
        <v>566</v>
      </c>
      <c r="F1441" s="601">
        <v>80</v>
      </c>
      <c r="G1441" s="593" t="s">
        <v>2039</v>
      </c>
      <c r="H1441" s="413"/>
      <c r="I1441" s="2112"/>
      <c r="N1441" s="413"/>
      <c r="T1441" s="2028"/>
      <c r="AB1441" s="413"/>
      <c r="AC1441" s="2795"/>
    </row>
    <row r="1442" spans="1:29" ht="12.75" customHeight="1" x14ac:dyDescent="0.2">
      <c r="A1442" s="2029">
        <v>211</v>
      </c>
      <c r="B1442" s="4995"/>
      <c r="C1442" s="65"/>
      <c r="D1442" s="68"/>
      <c r="E1442" s="594" t="s">
        <v>567</v>
      </c>
      <c r="F1442" s="601">
        <v>82</v>
      </c>
      <c r="G1442" s="593" t="s">
        <v>2039</v>
      </c>
      <c r="H1442" s="413"/>
      <c r="I1442" s="2112"/>
      <c r="N1442" s="413"/>
      <c r="T1442" s="2028"/>
      <c r="AB1442" s="413"/>
      <c r="AC1442" s="2795"/>
    </row>
    <row r="1443" spans="1:29" ht="12.75" customHeight="1" x14ac:dyDescent="0.2">
      <c r="A1443" s="2029">
        <v>211</v>
      </c>
      <c r="B1443" s="4995"/>
      <c r="C1443" s="65"/>
      <c r="D1443" s="68"/>
      <c r="E1443" s="594" t="s">
        <v>568</v>
      </c>
      <c r="F1443" s="601">
        <v>86</v>
      </c>
      <c r="G1443" s="593" t="s">
        <v>2039</v>
      </c>
      <c r="H1443" s="413"/>
      <c r="I1443" s="2112"/>
      <c r="N1443" s="413"/>
      <c r="T1443" s="2028"/>
      <c r="AB1443" s="413"/>
      <c r="AC1443" s="2795"/>
    </row>
    <row r="1444" spans="1:29" ht="12.75" customHeight="1" x14ac:dyDescent="0.2">
      <c r="A1444" s="2029">
        <v>211</v>
      </c>
      <c r="B1444" s="4995"/>
      <c r="C1444" s="65"/>
      <c r="D1444" s="68"/>
      <c r="E1444" s="594" t="s">
        <v>569</v>
      </c>
      <c r="F1444" s="601">
        <v>90</v>
      </c>
      <c r="G1444" s="593" t="s">
        <v>2039</v>
      </c>
      <c r="H1444" s="413"/>
      <c r="I1444" s="2112"/>
      <c r="N1444" s="413"/>
      <c r="T1444" s="2028"/>
      <c r="AB1444" s="413"/>
      <c r="AC1444" s="2795"/>
    </row>
    <row r="1445" spans="1:29" ht="12.75" customHeight="1" x14ac:dyDescent="0.2">
      <c r="A1445" s="2029">
        <v>211</v>
      </c>
      <c r="B1445" s="4995"/>
      <c r="C1445" s="65"/>
      <c r="D1445" s="68"/>
      <c r="E1445" s="594" t="s">
        <v>570</v>
      </c>
      <c r="F1445" s="601">
        <v>92</v>
      </c>
      <c r="G1445" s="593" t="s">
        <v>2039</v>
      </c>
      <c r="H1445" s="413"/>
      <c r="I1445" s="2112"/>
      <c r="N1445" s="413"/>
      <c r="T1445" s="2028"/>
      <c r="AB1445" s="413"/>
      <c r="AC1445" s="2795"/>
    </row>
    <row r="1446" spans="1:29" ht="12.75" customHeight="1" x14ac:dyDescent="0.2">
      <c r="A1446" s="2029">
        <v>211</v>
      </c>
      <c r="B1446" s="4995"/>
      <c r="C1446" s="65"/>
      <c r="D1446" s="68"/>
      <c r="E1446" s="594" t="s">
        <v>571</v>
      </c>
      <c r="F1446" s="601">
        <v>96</v>
      </c>
      <c r="G1446" s="593" t="s">
        <v>2039</v>
      </c>
      <c r="H1446" s="413"/>
      <c r="I1446" s="2112"/>
      <c r="N1446" s="413"/>
      <c r="T1446" s="2028"/>
      <c r="AB1446" s="413"/>
      <c r="AC1446" s="2795"/>
    </row>
    <row r="1447" spans="1:29" ht="12.75" customHeight="1" x14ac:dyDescent="0.2">
      <c r="A1447" s="2029">
        <v>211</v>
      </c>
      <c r="B1447" s="4995"/>
      <c r="C1447" s="65"/>
      <c r="D1447" s="68"/>
      <c r="E1447" s="594" t="s">
        <v>572</v>
      </c>
      <c r="F1447" s="601">
        <v>100</v>
      </c>
      <c r="G1447" s="593" t="s">
        <v>2039</v>
      </c>
      <c r="H1447" s="413"/>
      <c r="I1447" s="2112"/>
      <c r="N1447" s="413"/>
      <c r="T1447" s="2028"/>
      <c r="AB1447" s="413"/>
      <c r="AC1447" s="2795"/>
    </row>
    <row r="1448" spans="1:29" ht="12.75" customHeight="1" x14ac:dyDescent="0.2">
      <c r="A1448" s="2029">
        <v>211</v>
      </c>
      <c r="B1448" s="4995"/>
      <c r="C1448" s="65"/>
      <c r="D1448" s="68"/>
      <c r="E1448" s="594" t="s">
        <v>573</v>
      </c>
      <c r="F1448" s="601"/>
      <c r="G1448" s="593"/>
      <c r="H1448" s="413"/>
      <c r="I1448" s="2112"/>
      <c r="N1448" s="413"/>
      <c r="T1448" s="2028"/>
      <c r="AB1448" s="413"/>
      <c r="AC1448" s="2795"/>
    </row>
    <row r="1449" spans="1:29" ht="12.75" customHeight="1" x14ac:dyDescent="0.2">
      <c r="A1449" s="2029">
        <v>211</v>
      </c>
      <c r="B1449" s="4995"/>
      <c r="C1449" s="65"/>
      <c r="D1449" s="68"/>
      <c r="E1449" s="594" t="s">
        <v>574</v>
      </c>
      <c r="F1449" s="601">
        <v>2</v>
      </c>
      <c r="G1449" s="593" t="s">
        <v>575</v>
      </c>
      <c r="H1449" s="413"/>
      <c r="I1449" s="2112"/>
      <c r="N1449" s="413"/>
      <c r="T1449" s="2028"/>
      <c r="AB1449" s="413"/>
      <c r="AC1449" s="2795"/>
    </row>
    <row r="1450" spans="1:29" ht="12.75" customHeight="1" x14ac:dyDescent="0.2">
      <c r="A1450" s="2029">
        <v>211</v>
      </c>
      <c r="B1450" s="4995"/>
      <c r="C1450" s="65"/>
      <c r="D1450" s="68"/>
      <c r="E1450" s="594" t="s">
        <v>576</v>
      </c>
      <c r="F1450" s="601">
        <v>6</v>
      </c>
      <c r="G1450" s="593" t="s">
        <v>575</v>
      </c>
      <c r="H1450" s="413"/>
      <c r="I1450" s="2112"/>
      <c r="N1450" s="413"/>
      <c r="T1450" s="2028"/>
      <c r="AB1450" s="413"/>
      <c r="AC1450" s="2795"/>
    </row>
    <row r="1451" spans="1:29" ht="12.75" customHeight="1" x14ac:dyDescent="0.2">
      <c r="A1451" s="2029">
        <v>211</v>
      </c>
      <c r="B1451" s="4995"/>
      <c r="C1451" s="65"/>
      <c r="D1451" s="68"/>
      <c r="E1451" s="594" t="s">
        <v>577</v>
      </c>
      <c r="F1451" s="601">
        <v>10</v>
      </c>
      <c r="G1451" s="593" t="s">
        <v>575</v>
      </c>
      <c r="H1451" s="413"/>
      <c r="I1451" s="2112"/>
      <c r="N1451" s="413"/>
      <c r="T1451" s="2028"/>
      <c r="AB1451" s="413"/>
      <c r="AC1451" s="2795"/>
    </row>
    <row r="1452" spans="1:29" ht="12.75" customHeight="1" x14ac:dyDescent="0.2">
      <c r="A1452" s="2029">
        <v>211</v>
      </c>
      <c r="B1452" s="4995"/>
      <c r="C1452" s="65"/>
      <c r="D1452" s="68"/>
      <c r="E1452" s="594" t="s">
        <v>578</v>
      </c>
      <c r="F1452" s="601">
        <v>12</v>
      </c>
      <c r="G1452" s="593" t="s">
        <v>575</v>
      </c>
      <c r="H1452" s="413"/>
      <c r="I1452" s="2112"/>
      <c r="N1452" s="413"/>
      <c r="T1452" s="2028"/>
      <c r="AB1452" s="413"/>
      <c r="AC1452" s="2795"/>
    </row>
    <row r="1453" spans="1:29" ht="12.75" customHeight="1" x14ac:dyDescent="0.2">
      <c r="A1453" s="2029">
        <v>211</v>
      </c>
      <c r="B1453" s="4995"/>
      <c r="C1453" s="65"/>
      <c r="D1453" s="68"/>
      <c r="E1453" s="594" t="s">
        <v>579</v>
      </c>
      <c r="F1453" s="601">
        <v>16</v>
      </c>
      <c r="G1453" s="593" t="s">
        <v>575</v>
      </c>
      <c r="H1453" s="413"/>
      <c r="I1453" s="2112"/>
      <c r="N1453" s="413"/>
      <c r="T1453" s="2028"/>
      <c r="AB1453" s="413"/>
      <c r="AC1453" s="2795"/>
    </row>
    <row r="1454" spans="1:29" ht="12.75" customHeight="1" x14ac:dyDescent="0.2">
      <c r="A1454" s="2029">
        <v>211</v>
      </c>
      <c r="B1454" s="4995"/>
      <c r="C1454" s="65"/>
      <c r="D1454" s="68"/>
      <c r="E1454" s="594" t="s">
        <v>580</v>
      </c>
      <c r="F1454" s="601">
        <v>20</v>
      </c>
      <c r="G1454" s="593" t="s">
        <v>575</v>
      </c>
      <c r="H1454" s="413"/>
      <c r="I1454" s="2112"/>
      <c r="N1454" s="413"/>
      <c r="T1454" s="2028"/>
      <c r="AB1454" s="413"/>
      <c r="AC1454" s="2795"/>
    </row>
    <row r="1455" spans="1:29" ht="12.75" customHeight="1" x14ac:dyDescent="0.2">
      <c r="A1455" s="2029">
        <v>211</v>
      </c>
      <c r="B1455" s="4995"/>
      <c r="C1455" s="65"/>
      <c r="D1455" s="68"/>
      <c r="E1455" s="594" t="s">
        <v>581</v>
      </c>
      <c r="F1455" s="601">
        <v>22</v>
      </c>
      <c r="G1455" s="593" t="s">
        <v>575</v>
      </c>
      <c r="H1455" s="413"/>
      <c r="I1455" s="2112"/>
      <c r="N1455" s="413"/>
      <c r="T1455" s="2028"/>
      <c r="AB1455" s="413"/>
      <c r="AC1455" s="2795"/>
    </row>
    <row r="1456" spans="1:29" ht="12.75" customHeight="1" x14ac:dyDescent="0.2">
      <c r="A1456" s="2029">
        <v>211</v>
      </c>
      <c r="B1456" s="4995"/>
      <c r="C1456" s="65"/>
      <c r="D1456" s="68"/>
      <c r="E1456" s="594" t="s">
        <v>582</v>
      </c>
      <c r="F1456" s="601">
        <v>26</v>
      </c>
      <c r="G1456" s="593" t="s">
        <v>575</v>
      </c>
      <c r="H1456" s="413"/>
      <c r="I1456" s="2112"/>
      <c r="N1456" s="413"/>
      <c r="T1456" s="2028"/>
      <c r="AB1456" s="413"/>
      <c r="AC1456" s="2795"/>
    </row>
    <row r="1457" spans="1:29" ht="12.75" customHeight="1" x14ac:dyDescent="0.2">
      <c r="A1457" s="2029">
        <v>211</v>
      </c>
      <c r="B1457" s="4995"/>
      <c r="C1457" s="65"/>
      <c r="D1457" s="68"/>
      <c r="E1457" s="594" t="s">
        <v>583</v>
      </c>
      <c r="F1457" s="601">
        <v>30</v>
      </c>
      <c r="G1457" s="593" t="s">
        <v>575</v>
      </c>
      <c r="H1457" s="413"/>
      <c r="I1457" s="2112"/>
      <c r="N1457" s="413"/>
      <c r="T1457" s="2028"/>
      <c r="AB1457" s="413"/>
      <c r="AC1457" s="2795"/>
    </row>
    <row r="1458" spans="1:29" ht="12.75" customHeight="1" x14ac:dyDescent="0.2">
      <c r="A1458" s="2029">
        <v>211</v>
      </c>
      <c r="B1458" s="4995"/>
      <c r="C1458" s="65"/>
      <c r="D1458" s="68"/>
      <c r="E1458" s="594" t="s">
        <v>584</v>
      </c>
      <c r="F1458" s="601">
        <v>32</v>
      </c>
      <c r="G1458" s="593" t="s">
        <v>575</v>
      </c>
      <c r="H1458" s="413"/>
      <c r="I1458" s="2112"/>
      <c r="N1458" s="413"/>
      <c r="T1458" s="2028"/>
      <c r="AB1458" s="413"/>
      <c r="AC1458" s="2795"/>
    </row>
    <row r="1459" spans="1:29" ht="12.75" customHeight="1" x14ac:dyDescent="0.2">
      <c r="A1459" s="2029">
        <v>211</v>
      </c>
      <c r="B1459" s="4995"/>
      <c r="C1459" s="65"/>
      <c r="D1459" s="68"/>
      <c r="E1459" s="594" t="s">
        <v>585</v>
      </c>
      <c r="F1459" s="601">
        <v>36</v>
      </c>
      <c r="G1459" s="593" t="s">
        <v>575</v>
      </c>
      <c r="H1459" s="413"/>
      <c r="I1459" s="2112"/>
      <c r="N1459" s="413"/>
      <c r="T1459" s="2028"/>
      <c r="AB1459" s="413"/>
      <c r="AC1459" s="2795"/>
    </row>
    <row r="1460" spans="1:29" ht="12.75" customHeight="1" x14ac:dyDescent="0.2">
      <c r="A1460" s="2029">
        <v>211</v>
      </c>
      <c r="B1460" s="4995"/>
      <c r="C1460" s="65"/>
      <c r="D1460" s="68"/>
      <c r="E1460" s="594" t="s">
        <v>586</v>
      </c>
      <c r="F1460" s="601">
        <v>40</v>
      </c>
      <c r="G1460" s="593" t="s">
        <v>575</v>
      </c>
      <c r="H1460" s="413"/>
      <c r="I1460" s="2112"/>
      <c r="N1460" s="413"/>
      <c r="T1460" s="2028"/>
      <c r="AB1460" s="413"/>
      <c r="AC1460" s="2795"/>
    </row>
    <row r="1461" spans="1:29" ht="12.75" customHeight="1" x14ac:dyDescent="0.2">
      <c r="A1461" s="2029">
        <v>211</v>
      </c>
      <c r="B1461" s="4995"/>
      <c r="C1461" s="65"/>
      <c r="D1461" s="68"/>
      <c r="E1461" s="594" t="s">
        <v>587</v>
      </c>
      <c r="F1461" s="601">
        <v>42</v>
      </c>
      <c r="G1461" s="593" t="s">
        <v>575</v>
      </c>
      <c r="H1461" s="413"/>
      <c r="I1461" s="2112"/>
      <c r="N1461" s="413"/>
      <c r="T1461" s="2028"/>
      <c r="AB1461" s="413"/>
      <c r="AC1461" s="2795"/>
    </row>
    <row r="1462" spans="1:29" ht="12.75" customHeight="1" x14ac:dyDescent="0.2">
      <c r="A1462" s="2029">
        <v>211</v>
      </c>
      <c r="B1462" s="4995"/>
      <c r="C1462" s="65"/>
      <c r="D1462" s="68"/>
      <c r="E1462" s="594" t="s">
        <v>588</v>
      </c>
      <c r="F1462" s="601">
        <v>46</v>
      </c>
      <c r="G1462" s="593" t="s">
        <v>575</v>
      </c>
      <c r="H1462" s="413"/>
      <c r="I1462" s="2112"/>
      <c r="N1462" s="413"/>
      <c r="T1462" s="2028"/>
      <c r="AB1462" s="413"/>
      <c r="AC1462" s="2795"/>
    </row>
    <row r="1463" spans="1:29" ht="12.75" customHeight="1" x14ac:dyDescent="0.2">
      <c r="A1463" s="2029">
        <v>211</v>
      </c>
      <c r="B1463" s="4995"/>
      <c r="C1463" s="65"/>
      <c r="D1463" s="68"/>
      <c r="E1463" s="594" t="s">
        <v>589</v>
      </c>
      <c r="F1463" s="601">
        <v>50</v>
      </c>
      <c r="G1463" s="593" t="s">
        <v>575</v>
      </c>
      <c r="H1463" s="413"/>
      <c r="I1463" s="2112"/>
      <c r="N1463" s="413"/>
      <c r="T1463" s="2028"/>
      <c r="AB1463" s="413"/>
      <c r="AC1463" s="2795"/>
    </row>
    <row r="1464" spans="1:29" ht="12.75" customHeight="1" x14ac:dyDescent="0.2">
      <c r="A1464" s="2029">
        <v>211</v>
      </c>
      <c r="B1464" s="4995"/>
      <c r="C1464" s="65"/>
      <c r="D1464" s="68"/>
      <c r="E1464" s="594" t="s">
        <v>590</v>
      </c>
      <c r="F1464" s="601">
        <v>52</v>
      </c>
      <c r="G1464" s="593" t="s">
        <v>575</v>
      </c>
      <c r="H1464" s="413"/>
      <c r="I1464" s="2112"/>
      <c r="N1464" s="413"/>
      <c r="T1464" s="2028"/>
      <c r="AB1464" s="413"/>
      <c r="AC1464" s="2795"/>
    </row>
    <row r="1465" spans="1:29" ht="12.75" customHeight="1" x14ac:dyDescent="0.2">
      <c r="A1465" s="2029">
        <v>211</v>
      </c>
      <c r="B1465" s="4995"/>
      <c r="C1465" s="65"/>
      <c r="D1465" s="68"/>
      <c r="E1465" s="594" t="s">
        <v>591</v>
      </c>
      <c r="F1465" s="601">
        <v>56</v>
      </c>
      <c r="G1465" s="593" t="s">
        <v>575</v>
      </c>
      <c r="H1465" s="413"/>
      <c r="I1465" s="2112"/>
      <c r="N1465" s="413"/>
      <c r="T1465" s="2028"/>
      <c r="AB1465" s="413"/>
      <c r="AC1465" s="2795"/>
    </row>
    <row r="1466" spans="1:29" ht="12.75" customHeight="1" x14ac:dyDescent="0.2">
      <c r="A1466" s="2029">
        <v>211</v>
      </c>
      <c r="B1466" s="4995"/>
      <c r="C1466" s="65"/>
      <c r="D1466" s="68"/>
      <c r="E1466" s="594" t="s">
        <v>592</v>
      </c>
      <c r="F1466" s="601">
        <v>60</v>
      </c>
      <c r="G1466" s="593" t="s">
        <v>575</v>
      </c>
      <c r="H1466" s="413"/>
      <c r="I1466" s="2112"/>
      <c r="N1466" s="413"/>
      <c r="T1466" s="2028"/>
      <c r="AB1466" s="413"/>
      <c r="AC1466" s="2795"/>
    </row>
    <row r="1467" spans="1:29" ht="12.75" customHeight="1" x14ac:dyDescent="0.2">
      <c r="A1467" s="2029">
        <v>211</v>
      </c>
      <c r="B1467" s="4995"/>
      <c r="C1467" s="65"/>
      <c r="D1467" s="68"/>
      <c r="E1467" s="594" t="s">
        <v>593</v>
      </c>
      <c r="F1467" s="601">
        <v>62</v>
      </c>
      <c r="G1467" s="593" t="s">
        <v>575</v>
      </c>
      <c r="H1467" s="413"/>
      <c r="I1467" s="2112"/>
      <c r="N1467" s="413"/>
      <c r="T1467" s="2028"/>
      <c r="AB1467" s="413"/>
      <c r="AC1467" s="2795"/>
    </row>
    <row r="1468" spans="1:29" ht="12.75" customHeight="1" x14ac:dyDescent="0.2">
      <c r="A1468" s="2029">
        <v>211</v>
      </c>
      <c r="B1468" s="4995"/>
      <c r="C1468" s="65"/>
      <c r="D1468" s="68"/>
      <c r="E1468" s="594" t="s">
        <v>594</v>
      </c>
      <c r="F1468" s="601">
        <v>66</v>
      </c>
      <c r="G1468" s="593" t="s">
        <v>575</v>
      </c>
      <c r="H1468" s="413"/>
      <c r="I1468" s="2112"/>
      <c r="N1468" s="413"/>
      <c r="T1468" s="2028"/>
      <c r="AB1468" s="413"/>
      <c r="AC1468" s="2795"/>
    </row>
    <row r="1469" spans="1:29" ht="12.75" customHeight="1" x14ac:dyDescent="0.2">
      <c r="A1469" s="2029">
        <v>211</v>
      </c>
      <c r="B1469" s="4995"/>
      <c r="C1469" s="65"/>
      <c r="D1469" s="68"/>
      <c r="E1469" s="594" t="s">
        <v>595</v>
      </c>
      <c r="F1469" s="601">
        <v>70</v>
      </c>
      <c r="G1469" s="593" t="s">
        <v>575</v>
      </c>
      <c r="H1469" s="413"/>
      <c r="I1469" s="2112"/>
      <c r="N1469" s="413"/>
      <c r="T1469" s="2028"/>
      <c r="AB1469" s="413"/>
      <c r="AC1469" s="2795"/>
    </row>
    <row r="1470" spans="1:29" ht="12.75" customHeight="1" x14ac:dyDescent="0.2">
      <c r="A1470" s="2029">
        <v>211</v>
      </c>
      <c r="B1470" s="4995"/>
      <c r="C1470" s="65"/>
      <c r="D1470" s="68"/>
      <c r="E1470" s="594" t="s">
        <v>596</v>
      </c>
      <c r="F1470" s="601">
        <v>72</v>
      </c>
      <c r="G1470" s="593" t="s">
        <v>575</v>
      </c>
      <c r="H1470" s="413"/>
      <c r="I1470" s="2112"/>
      <c r="N1470" s="413"/>
      <c r="T1470" s="2028"/>
      <c r="AB1470" s="413"/>
      <c r="AC1470" s="2795"/>
    </row>
    <row r="1471" spans="1:29" ht="12.75" customHeight="1" x14ac:dyDescent="0.2">
      <c r="A1471" s="2029">
        <v>211</v>
      </c>
      <c r="B1471" s="4995"/>
      <c r="C1471" s="65"/>
      <c r="D1471" s="68"/>
      <c r="E1471" s="594" t="s">
        <v>597</v>
      </c>
      <c r="F1471" s="601">
        <v>76</v>
      </c>
      <c r="G1471" s="593" t="s">
        <v>575</v>
      </c>
      <c r="H1471" s="413"/>
      <c r="I1471" s="2112"/>
      <c r="N1471" s="413"/>
      <c r="T1471" s="2028"/>
      <c r="AB1471" s="413"/>
      <c r="AC1471" s="2795"/>
    </row>
    <row r="1472" spans="1:29" ht="12.75" customHeight="1" x14ac:dyDescent="0.2">
      <c r="A1472" s="2029">
        <v>211</v>
      </c>
      <c r="B1472" s="4995"/>
      <c r="C1472" s="65"/>
      <c r="D1472" s="68"/>
      <c r="E1472" s="594" t="s">
        <v>598</v>
      </c>
      <c r="F1472" s="601">
        <v>80</v>
      </c>
      <c r="G1472" s="593" t="s">
        <v>575</v>
      </c>
      <c r="H1472" s="413"/>
      <c r="I1472" s="2112"/>
      <c r="N1472" s="413"/>
      <c r="T1472" s="2028"/>
      <c r="AB1472" s="413"/>
      <c r="AC1472" s="2795"/>
    </row>
    <row r="1473" spans="1:29" ht="12.75" customHeight="1" x14ac:dyDescent="0.2">
      <c r="A1473" s="2029">
        <v>211</v>
      </c>
      <c r="B1473" s="4995"/>
      <c r="C1473" s="65"/>
      <c r="D1473" s="68"/>
      <c r="E1473" s="594" t="s">
        <v>599</v>
      </c>
      <c r="F1473" s="601">
        <v>82</v>
      </c>
      <c r="G1473" s="593" t="s">
        <v>575</v>
      </c>
      <c r="H1473" s="413"/>
      <c r="I1473" s="2112"/>
      <c r="N1473" s="413"/>
      <c r="T1473" s="2028"/>
      <c r="AB1473" s="413"/>
      <c r="AC1473" s="2795"/>
    </row>
    <row r="1474" spans="1:29" ht="12.75" customHeight="1" x14ac:dyDescent="0.2">
      <c r="A1474" s="2029">
        <v>211</v>
      </c>
      <c r="B1474" s="4995"/>
      <c r="C1474" s="65"/>
      <c r="D1474" s="68"/>
      <c r="E1474" s="594" t="s">
        <v>600</v>
      </c>
      <c r="F1474" s="601">
        <v>86</v>
      </c>
      <c r="G1474" s="593" t="s">
        <v>575</v>
      </c>
      <c r="H1474" s="413"/>
      <c r="I1474" s="2112"/>
      <c r="N1474" s="413"/>
      <c r="T1474" s="2028"/>
      <c r="AB1474" s="413"/>
      <c r="AC1474" s="2795"/>
    </row>
    <row r="1475" spans="1:29" ht="12.75" customHeight="1" x14ac:dyDescent="0.2">
      <c r="A1475" s="2029">
        <v>211</v>
      </c>
      <c r="B1475" s="4995"/>
      <c r="C1475" s="65"/>
      <c r="D1475" s="68"/>
      <c r="E1475" s="594" t="s">
        <v>601</v>
      </c>
      <c r="F1475" s="601">
        <v>90</v>
      </c>
      <c r="G1475" s="593" t="s">
        <v>575</v>
      </c>
      <c r="H1475" s="413"/>
      <c r="I1475" s="2112"/>
      <c r="N1475" s="413"/>
      <c r="T1475" s="2028"/>
      <c r="AB1475" s="413"/>
      <c r="AC1475" s="2795"/>
    </row>
    <row r="1476" spans="1:29" ht="12.75" customHeight="1" x14ac:dyDescent="0.2">
      <c r="A1476" s="2029">
        <v>211</v>
      </c>
      <c r="B1476" s="4995"/>
      <c r="C1476" s="65"/>
      <c r="D1476" s="68"/>
      <c r="E1476" s="594" t="s">
        <v>602</v>
      </c>
      <c r="F1476" s="601">
        <v>92</v>
      </c>
      <c r="G1476" s="593" t="s">
        <v>575</v>
      </c>
      <c r="H1476" s="413"/>
      <c r="I1476" s="2112"/>
      <c r="N1476" s="413"/>
      <c r="T1476" s="2028"/>
      <c r="AB1476" s="413"/>
      <c r="AC1476" s="2795"/>
    </row>
    <row r="1477" spans="1:29" ht="12.75" customHeight="1" x14ac:dyDescent="0.2">
      <c r="A1477" s="2029">
        <v>211</v>
      </c>
      <c r="B1477" s="4995"/>
      <c r="C1477" s="65"/>
      <c r="D1477" s="68"/>
      <c r="E1477" s="594" t="s">
        <v>603</v>
      </c>
      <c r="F1477" s="601">
        <v>96</v>
      </c>
      <c r="G1477" s="593" t="s">
        <v>575</v>
      </c>
      <c r="H1477" s="413"/>
      <c r="I1477" s="2112"/>
      <c r="N1477" s="413"/>
      <c r="T1477" s="2028"/>
      <c r="AB1477" s="413"/>
      <c r="AC1477" s="2795"/>
    </row>
    <row r="1478" spans="1:29" ht="12.75" customHeight="1" x14ac:dyDescent="0.2">
      <c r="A1478" s="2029">
        <v>211</v>
      </c>
      <c r="B1478" s="4995"/>
      <c r="C1478" s="65"/>
      <c r="D1478" s="68"/>
      <c r="E1478" s="594" t="s">
        <v>604</v>
      </c>
      <c r="F1478" s="601">
        <v>100</v>
      </c>
      <c r="G1478" s="593" t="s">
        <v>575</v>
      </c>
      <c r="H1478" s="413"/>
      <c r="I1478" s="2112"/>
      <c r="N1478" s="413"/>
      <c r="T1478" s="2028"/>
      <c r="AB1478" s="413"/>
      <c r="AC1478" s="2795"/>
    </row>
    <row r="1479" spans="1:29" ht="12.75" customHeight="1" x14ac:dyDescent="0.2">
      <c r="A1479" s="2029">
        <v>211</v>
      </c>
      <c r="B1479" s="4995"/>
      <c r="C1479" s="65"/>
      <c r="D1479" s="68"/>
      <c r="E1479" s="594" t="s">
        <v>605</v>
      </c>
      <c r="F1479" s="601"/>
      <c r="G1479" s="593"/>
      <c r="H1479" s="413"/>
      <c r="I1479" s="2112"/>
      <c r="N1479" s="413"/>
      <c r="T1479" s="2028"/>
      <c r="AB1479" s="413"/>
      <c r="AC1479" s="2795"/>
    </row>
    <row r="1480" spans="1:29" ht="12.75" customHeight="1" x14ac:dyDescent="0.2">
      <c r="A1480" s="2029">
        <v>211</v>
      </c>
      <c r="B1480" s="4995"/>
      <c r="C1480" s="65"/>
      <c r="D1480" s="68"/>
      <c r="E1480" s="594" t="s">
        <v>606</v>
      </c>
      <c r="F1480" s="601">
        <v>2</v>
      </c>
      <c r="G1480" s="593" t="s">
        <v>2043</v>
      </c>
      <c r="H1480" s="413"/>
      <c r="I1480" s="2112"/>
      <c r="N1480" s="413"/>
      <c r="T1480" s="2028"/>
      <c r="AB1480" s="413"/>
      <c r="AC1480" s="2795"/>
    </row>
    <row r="1481" spans="1:29" ht="12.75" customHeight="1" x14ac:dyDescent="0.2">
      <c r="A1481" s="2029">
        <v>211</v>
      </c>
      <c r="B1481" s="4995"/>
      <c r="C1481" s="65"/>
      <c r="D1481" s="68"/>
      <c r="E1481" s="594" t="s">
        <v>607</v>
      </c>
      <c r="F1481" s="601">
        <v>6</v>
      </c>
      <c r="G1481" s="593" t="s">
        <v>2043</v>
      </c>
      <c r="H1481" s="413"/>
      <c r="I1481" s="2112"/>
      <c r="N1481" s="413"/>
      <c r="T1481" s="2028"/>
      <c r="AB1481" s="413"/>
      <c r="AC1481" s="2795"/>
    </row>
    <row r="1482" spans="1:29" ht="12.75" customHeight="1" x14ac:dyDescent="0.2">
      <c r="A1482" s="2029">
        <v>211</v>
      </c>
      <c r="B1482" s="4995"/>
      <c r="C1482" s="65"/>
      <c r="D1482" s="68"/>
      <c r="E1482" s="594" t="s">
        <v>608</v>
      </c>
      <c r="F1482" s="601">
        <v>8</v>
      </c>
      <c r="G1482" s="593" t="s">
        <v>2043</v>
      </c>
      <c r="H1482" s="413"/>
      <c r="I1482" s="2112"/>
      <c r="N1482" s="413"/>
      <c r="T1482" s="2028"/>
      <c r="AB1482" s="413"/>
      <c r="AC1482" s="2795"/>
    </row>
    <row r="1483" spans="1:29" ht="12.75" customHeight="1" x14ac:dyDescent="0.2">
      <c r="A1483" s="2029">
        <v>211</v>
      </c>
      <c r="B1483" s="4995"/>
      <c r="C1483" s="65"/>
      <c r="D1483" s="68"/>
      <c r="E1483" s="594" t="s">
        <v>609</v>
      </c>
      <c r="F1483" s="601">
        <v>10</v>
      </c>
      <c r="G1483" s="593" t="s">
        <v>2043</v>
      </c>
      <c r="H1483" s="413"/>
      <c r="I1483" s="2112"/>
      <c r="N1483" s="413"/>
      <c r="T1483" s="2028"/>
      <c r="AB1483" s="413"/>
      <c r="AC1483" s="2795"/>
    </row>
    <row r="1484" spans="1:29" ht="12.75" customHeight="1" x14ac:dyDescent="0.2">
      <c r="A1484" s="2029">
        <v>211</v>
      </c>
      <c r="B1484" s="4995"/>
      <c r="C1484" s="65"/>
      <c r="D1484" s="68"/>
      <c r="E1484" s="594" t="s">
        <v>610</v>
      </c>
      <c r="F1484" s="601">
        <v>12</v>
      </c>
      <c r="G1484" s="593" t="s">
        <v>2043</v>
      </c>
      <c r="H1484" s="413"/>
      <c r="I1484" s="2112"/>
      <c r="N1484" s="413"/>
      <c r="T1484" s="2028"/>
      <c r="AB1484" s="413"/>
      <c r="AC1484" s="2795"/>
    </row>
    <row r="1485" spans="1:29" ht="12.75" customHeight="1" x14ac:dyDescent="0.2">
      <c r="A1485" s="2029">
        <v>211</v>
      </c>
      <c r="B1485" s="4995"/>
      <c r="C1485" s="65"/>
      <c r="D1485" s="68"/>
      <c r="E1485" s="594" t="s">
        <v>611</v>
      </c>
      <c r="F1485" s="601">
        <v>16</v>
      </c>
      <c r="G1485" s="593" t="s">
        <v>2043</v>
      </c>
      <c r="H1485" s="413"/>
      <c r="I1485" s="2112"/>
      <c r="N1485" s="413"/>
      <c r="T1485" s="2028"/>
      <c r="AB1485" s="413"/>
      <c r="AC1485" s="2795"/>
    </row>
    <row r="1486" spans="1:29" ht="12.75" customHeight="1" x14ac:dyDescent="0.2">
      <c r="A1486" s="2029">
        <v>211</v>
      </c>
      <c r="B1486" s="4995"/>
      <c r="C1486" s="65"/>
      <c r="D1486" s="68"/>
      <c r="E1486" s="594" t="s">
        <v>612</v>
      </c>
      <c r="F1486" s="601">
        <v>18</v>
      </c>
      <c r="G1486" s="593" t="s">
        <v>2043</v>
      </c>
      <c r="H1486" s="413"/>
      <c r="I1486" s="2112"/>
      <c r="N1486" s="413"/>
      <c r="T1486" s="2028"/>
      <c r="AB1486" s="413"/>
      <c r="AC1486" s="2795"/>
    </row>
    <row r="1487" spans="1:29" ht="12.75" customHeight="1" x14ac:dyDescent="0.2">
      <c r="A1487" s="2029">
        <v>211</v>
      </c>
      <c r="B1487" s="4995"/>
      <c r="C1487" s="65"/>
      <c r="D1487" s="68"/>
      <c r="E1487" s="594" t="s">
        <v>613</v>
      </c>
      <c r="F1487" s="601">
        <v>20</v>
      </c>
      <c r="G1487" s="593" t="s">
        <v>2043</v>
      </c>
      <c r="H1487" s="413"/>
      <c r="I1487" s="2112"/>
      <c r="N1487" s="413"/>
      <c r="T1487" s="2028"/>
      <c r="AB1487" s="413"/>
      <c r="AC1487" s="2795"/>
    </row>
    <row r="1488" spans="1:29" ht="12.75" customHeight="1" x14ac:dyDescent="0.2">
      <c r="A1488" s="2029">
        <v>211</v>
      </c>
      <c r="B1488" s="4995"/>
      <c r="C1488" s="65"/>
      <c r="D1488" s="68"/>
      <c r="E1488" s="594" t="s">
        <v>614</v>
      </c>
      <c r="F1488" s="601">
        <v>22</v>
      </c>
      <c r="G1488" s="593" t="s">
        <v>2043</v>
      </c>
      <c r="H1488" s="413"/>
      <c r="I1488" s="2112"/>
      <c r="N1488" s="413"/>
      <c r="T1488" s="2028"/>
      <c r="AB1488" s="413"/>
      <c r="AC1488" s="2795"/>
    </row>
    <row r="1489" spans="1:29" ht="12.75" customHeight="1" x14ac:dyDescent="0.2">
      <c r="A1489" s="2029">
        <v>211</v>
      </c>
      <c r="B1489" s="4995"/>
      <c r="C1489" s="65"/>
      <c r="D1489" s="68"/>
      <c r="E1489" s="594" t="s">
        <v>615</v>
      </c>
      <c r="F1489" s="601">
        <v>26</v>
      </c>
      <c r="G1489" s="593" t="s">
        <v>2043</v>
      </c>
      <c r="H1489" s="413"/>
      <c r="I1489" s="2112"/>
      <c r="N1489" s="413"/>
      <c r="T1489" s="2028"/>
      <c r="AB1489" s="413"/>
      <c r="AC1489" s="2795"/>
    </row>
    <row r="1490" spans="1:29" ht="12.75" customHeight="1" x14ac:dyDescent="0.2">
      <c r="A1490" s="2029">
        <v>211</v>
      </c>
      <c r="B1490" s="4995"/>
      <c r="C1490" s="65"/>
      <c r="D1490" s="68"/>
      <c r="E1490" s="594" t="s">
        <v>616</v>
      </c>
      <c r="F1490" s="601">
        <v>28</v>
      </c>
      <c r="G1490" s="593" t="s">
        <v>2043</v>
      </c>
      <c r="H1490" s="413"/>
      <c r="I1490" s="2112"/>
      <c r="N1490" s="413"/>
      <c r="T1490" s="2028"/>
      <c r="AB1490" s="413"/>
      <c r="AC1490" s="2795"/>
    </row>
    <row r="1491" spans="1:29" ht="12.75" customHeight="1" x14ac:dyDescent="0.2">
      <c r="A1491" s="2029">
        <v>211</v>
      </c>
      <c r="B1491" s="4995"/>
      <c r="C1491" s="65"/>
      <c r="D1491" s="68"/>
      <c r="E1491" s="594" t="s">
        <v>617</v>
      </c>
      <c r="F1491" s="601">
        <v>30</v>
      </c>
      <c r="G1491" s="593" t="s">
        <v>2043</v>
      </c>
      <c r="H1491" s="413"/>
      <c r="I1491" s="2112"/>
      <c r="N1491" s="413"/>
      <c r="T1491" s="2028"/>
      <c r="AB1491" s="413"/>
      <c r="AC1491" s="2795"/>
    </row>
    <row r="1492" spans="1:29" ht="12.75" customHeight="1" x14ac:dyDescent="0.2">
      <c r="A1492" s="2029">
        <v>211</v>
      </c>
      <c r="B1492" s="4995"/>
      <c r="C1492" s="65"/>
      <c r="D1492" s="68"/>
      <c r="E1492" s="594" t="s">
        <v>618</v>
      </c>
      <c r="F1492" s="601">
        <v>32</v>
      </c>
      <c r="G1492" s="593" t="s">
        <v>2043</v>
      </c>
      <c r="H1492" s="413"/>
      <c r="I1492" s="2112"/>
      <c r="N1492" s="413"/>
      <c r="T1492" s="2028"/>
      <c r="AB1492" s="413"/>
      <c r="AC1492" s="2795"/>
    </row>
    <row r="1493" spans="1:29" ht="12.75" customHeight="1" x14ac:dyDescent="0.2">
      <c r="A1493" s="2029">
        <v>211</v>
      </c>
      <c r="B1493" s="4995"/>
      <c r="C1493" s="65"/>
      <c r="D1493" s="68"/>
      <c r="E1493" s="594" t="s">
        <v>619</v>
      </c>
      <c r="F1493" s="601">
        <v>36</v>
      </c>
      <c r="G1493" s="593" t="s">
        <v>2043</v>
      </c>
      <c r="H1493" s="413"/>
      <c r="I1493" s="2112"/>
      <c r="N1493" s="413"/>
      <c r="T1493" s="2028"/>
      <c r="AB1493" s="413"/>
      <c r="AC1493" s="2795"/>
    </row>
    <row r="1494" spans="1:29" ht="12.75" customHeight="1" x14ac:dyDescent="0.2">
      <c r="A1494" s="2029">
        <v>211</v>
      </c>
      <c r="B1494" s="4995"/>
      <c r="C1494" s="65"/>
      <c r="D1494" s="68"/>
      <c r="E1494" s="594" t="s">
        <v>620</v>
      </c>
      <c r="F1494" s="601">
        <v>38</v>
      </c>
      <c r="G1494" s="593" t="s">
        <v>2043</v>
      </c>
      <c r="H1494" s="413"/>
      <c r="I1494" s="2112"/>
      <c r="N1494" s="413"/>
      <c r="T1494" s="2028"/>
      <c r="AB1494" s="413"/>
      <c r="AC1494" s="2795"/>
    </row>
    <row r="1495" spans="1:29" ht="12.75" customHeight="1" x14ac:dyDescent="0.2">
      <c r="A1495" s="2029">
        <v>211</v>
      </c>
      <c r="B1495" s="4995"/>
      <c r="C1495" s="65"/>
      <c r="D1495" s="68"/>
      <c r="E1495" s="594" t="s">
        <v>621</v>
      </c>
      <c r="F1495" s="601">
        <v>40</v>
      </c>
      <c r="G1495" s="593" t="s">
        <v>2043</v>
      </c>
      <c r="H1495" s="413"/>
      <c r="I1495" s="2112"/>
      <c r="N1495" s="413"/>
      <c r="T1495" s="2028"/>
      <c r="AB1495" s="413"/>
      <c r="AC1495" s="2795"/>
    </row>
    <row r="1496" spans="1:29" ht="12.75" customHeight="1" x14ac:dyDescent="0.2">
      <c r="A1496" s="2029">
        <v>211</v>
      </c>
      <c r="B1496" s="4995"/>
      <c r="C1496" s="65"/>
      <c r="D1496" s="68"/>
      <c r="E1496" s="594" t="s">
        <v>622</v>
      </c>
      <c r="F1496" s="601">
        <v>42</v>
      </c>
      <c r="G1496" s="593" t="s">
        <v>2043</v>
      </c>
      <c r="H1496" s="413"/>
      <c r="I1496" s="2112"/>
      <c r="N1496" s="413"/>
      <c r="T1496" s="2028"/>
      <c r="AB1496" s="413"/>
      <c r="AC1496" s="2795"/>
    </row>
    <row r="1497" spans="1:29" ht="12.75" customHeight="1" x14ac:dyDescent="0.2">
      <c r="A1497" s="2029">
        <v>211</v>
      </c>
      <c r="B1497" s="4995"/>
      <c r="C1497" s="65"/>
      <c r="D1497" s="68"/>
      <c r="E1497" s="594" t="s">
        <v>623</v>
      </c>
      <c r="F1497" s="601">
        <v>46</v>
      </c>
      <c r="G1497" s="593" t="s">
        <v>2043</v>
      </c>
      <c r="H1497" s="413"/>
      <c r="I1497" s="2112"/>
      <c r="N1497" s="413"/>
      <c r="T1497" s="2028"/>
      <c r="AB1497" s="413"/>
      <c r="AC1497" s="2795"/>
    </row>
    <row r="1498" spans="1:29" ht="12.75" customHeight="1" x14ac:dyDescent="0.2">
      <c r="A1498" s="2029">
        <v>211</v>
      </c>
      <c r="B1498" s="4995"/>
      <c r="C1498" s="65"/>
      <c r="D1498" s="68"/>
      <c r="E1498" s="594" t="s">
        <v>624</v>
      </c>
      <c r="F1498" s="601">
        <v>48</v>
      </c>
      <c r="G1498" s="593" t="s">
        <v>2043</v>
      </c>
      <c r="H1498" s="413"/>
      <c r="I1498" s="2112"/>
      <c r="N1498" s="413"/>
      <c r="T1498" s="2028"/>
      <c r="AB1498" s="413"/>
      <c r="AC1498" s="2795"/>
    </row>
    <row r="1499" spans="1:29" ht="12.75" customHeight="1" x14ac:dyDescent="0.2">
      <c r="A1499" s="2029">
        <v>211</v>
      </c>
      <c r="B1499" s="4995"/>
      <c r="C1499" s="65"/>
      <c r="D1499" s="68"/>
      <c r="E1499" s="594" t="s">
        <v>625</v>
      </c>
      <c r="F1499" s="601">
        <v>50</v>
      </c>
      <c r="G1499" s="593" t="s">
        <v>2043</v>
      </c>
      <c r="H1499" s="413"/>
      <c r="I1499" s="2112"/>
      <c r="N1499" s="413"/>
      <c r="T1499" s="2028"/>
      <c r="AB1499" s="413"/>
      <c r="AC1499" s="2795"/>
    </row>
    <row r="1500" spans="1:29" ht="12.75" customHeight="1" x14ac:dyDescent="0.2">
      <c r="A1500" s="2029">
        <v>211</v>
      </c>
      <c r="B1500" s="4995"/>
      <c r="C1500" s="65"/>
      <c r="D1500" s="68"/>
      <c r="E1500" s="594" t="s">
        <v>626</v>
      </c>
      <c r="F1500" s="601">
        <v>52</v>
      </c>
      <c r="G1500" s="593" t="s">
        <v>2043</v>
      </c>
      <c r="H1500" s="413"/>
      <c r="I1500" s="2112"/>
      <c r="N1500" s="413"/>
      <c r="T1500" s="2028"/>
      <c r="AB1500" s="413"/>
      <c r="AC1500" s="2795"/>
    </row>
    <row r="1501" spans="1:29" ht="12.75" customHeight="1" x14ac:dyDescent="0.2">
      <c r="A1501" s="2029">
        <v>211</v>
      </c>
      <c r="B1501" s="4995"/>
      <c r="C1501" s="65"/>
      <c r="D1501" s="68"/>
      <c r="E1501" s="594" t="s">
        <v>627</v>
      </c>
      <c r="F1501" s="601">
        <v>56</v>
      </c>
      <c r="G1501" s="593" t="s">
        <v>2043</v>
      </c>
      <c r="H1501" s="413"/>
      <c r="I1501" s="2112"/>
      <c r="N1501" s="413"/>
      <c r="T1501" s="2028"/>
      <c r="AB1501" s="413"/>
      <c r="AC1501" s="2795"/>
    </row>
    <row r="1502" spans="1:29" ht="12.75" customHeight="1" x14ac:dyDescent="0.2">
      <c r="A1502" s="2029">
        <v>211</v>
      </c>
      <c r="B1502" s="4995"/>
      <c r="C1502" s="65"/>
      <c r="D1502" s="68"/>
      <c r="E1502" s="594" t="s">
        <v>628</v>
      </c>
      <c r="F1502" s="601">
        <v>58</v>
      </c>
      <c r="G1502" s="593" t="s">
        <v>2043</v>
      </c>
      <c r="H1502" s="413"/>
      <c r="I1502" s="2112"/>
      <c r="N1502" s="413"/>
      <c r="T1502" s="2028"/>
      <c r="AB1502" s="413"/>
      <c r="AC1502" s="2795"/>
    </row>
    <row r="1503" spans="1:29" ht="12.75" customHeight="1" x14ac:dyDescent="0.2">
      <c r="A1503" s="2029">
        <v>211</v>
      </c>
      <c r="B1503" s="4995"/>
      <c r="C1503" s="65"/>
      <c r="D1503" s="68"/>
      <c r="E1503" s="594" t="s">
        <v>629</v>
      </c>
      <c r="F1503" s="601">
        <v>60</v>
      </c>
      <c r="G1503" s="593" t="s">
        <v>2043</v>
      </c>
      <c r="H1503" s="413"/>
      <c r="I1503" s="2112"/>
      <c r="N1503" s="413"/>
      <c r="T1503" s="2028"/>
      <c r="AB1503" s="413"/>
      <c r="AC1503" s="2795"/>
    </row>
    <row r="1504" spans="1:29" ht="12.75" customHeight="1" x14ac:dyDescent="0.2">
      <c r="A1504" s="2029">
        <v>211</v>
      </c>
      <c r="B1504" s="4995"/>
      <c r="C1504" s="65"/>
      <c r="D1504" s="68"/>
      <c r="E1504" s="594" t="s">
        <v>630</v>
      </c>
      <c r="F1504" s="601">
        <v>62</v>
      </c>
      <c r="G1504" s="593" t="s">
        <v>2043</v>
      </c>
      <c r="H1504" s="413"/>
      <c r="I1504" s="2112"/>
      <c r="N1504" s="413"/>
      <c r="T1504" s="2028"/>
      <c r="AB1504" s="413"/>
      <c r="AC1504" s="2795"/>
    </row>
    <row r="1505" spans="1:29" ht="12.75" customHeight="1" x14ac:dyDescent="0.2">
      <c r="A1505" s="2029">
        <v>211</v>
      </c>
      <c r="B1505" s="4995"/>
      <c r="C1505" s="65"/>
      <c r="D1505" s="68"/>
      <c r="E1505" s="594" t="s">
        <v>631</v>
      </c>
      <c r="F1505" s="601">
        <v>66</v>
      </c>
      <c r="G1505" s="593" t="s">
        <v>2043</v>
      </c>
      <c r="H1505" s="413"/>
      <c r="I1505" s="2112"/>
      <c r="N1505" s="413"/>
      <c r="T1505" s="2028"/>
      <c r="AB1505" s="413"/>
      <c r="AC1505" s="2795"/>
    </row>
    <row r="1506" spans="1:29" ht="12.75" customHeight="1" x14ac:dyDescent="0.2">
      <c r="A1506" s="2029">
        <v>211</v>
      </c>
      <c r="B1506" s="4995"/>
      <c r="C1506" s="65"/>
      <c r="D1506" s="68"/>
      <c r="E1506" s="594" t="s">
        <v>632</v>
      </c>
      <c r="F1506" s="601">
        <v>68</v>
      </c>
      <c r="G1506" s="593" t="s">
        <v>2043</v>
      </c>
      <c r="H1506" s="413"/>
      <c r="I1506" s="2112"/>
      <c r="N1506" s="413"/>
      <c r="T1506" s="2028"/>
      <c r="AB1506" s="413"/>
      <c r="AC1506" s="2795"/>
    </row>
    <row r="1507" spans="1:29" ht="12.75" customHeight="1" x14ac:dyDescent="0.2">
      <c r="A1507" s="2029">
        <v>211</v>
      </c>
      <c r="B1507" s="4995"/>
      <c r="C1507" s="65"/>
      <c r="D1507" s="68"/>
      <c r="E1507" s="594" t="s">
        <v>633</v>
      </c>
      <c r="F1507" s="601">
        <v>70</v>
      </c>
      <c r="G1507" s="593" t="s">
        <v>2043</v>
      </c>
      <c r="H1507" s="413"/>
      <c r="I1507" s="2112"/>
      <c r="N1507" s="413"/>
      <c r="T1507" s="2028"/>
      <c r="AB1507" s="413"/>
      <c r="AC1507" s="2795"/>
    </row>
    <row r="1508" spans="1:29" ht="12.75" customHeight="1" x14ac:dyDescent="0.2">
      <c r="A1508" s="2029">
        <v>211</v>
      </c>
      <c r="B1508" s="4995"/>
      <c r="C1508" s="65"/>
      <c r="D1508" s="68"/>
      <c r="E1508" s="594" t="s">
        <v>634</v>
      </c>
      <c r="F1508" s="601">
        <v>72</v>
      </c>
      <c r="G1508" s="593" t="s">
        <v>2043</v>
      </c>
      <c r="H1508" s="413"/>
      <c r="I1508" s="2112"/>
      <c r="N1508" s="413"/>
      <c r="T1508" s="2028"/>
      <c r="AB1508" s="413"/>
      <c r="AC1508" s="2795"/>
    </row>
    <row r="1509" spans="1:29" ht="12.75" customHeight="1" x14ac:dyDescent="0.2">
      <c r="A1509" s="2029">
        <v>211</v>
      </c>
      <c r="B1509" s="4995"/>
      <c r="C1509" s="65"/>
      <c r="D1509" s="68"/>
      <c r="E1509" s="594" t="s">
        <v>635</v>
      </c>
      <c r="F1509" s="601">
        <v>76</v>
      </c>
      <c r="G1509" s="593" t="s">
        <v>2043</v>
      </c>
      <c r="H1509" s="413"/>
      <c r="I1509" s="2112"/>
      <c r="N1509" s="413"/>
      <c r="T1509" s="2028"/>
      <c r="AB1509" s="413"/>
      <c r="AC1509" s="2795"/>
    </row>
    <row r="1510" spans="1:29" ht="12.75" customHeight="1" x14ac:dyDescent="0.2">
      <c r="A1510" s="2029">
        <v>211</v>
      </c>
      <c r="B1510" s="4995"/>
      <c r="C1510" s="65"/>
      <c r="D1510" s="68"/>
      <c r="E1510" s="594" t="s">
        <v>636</v>
      </c>
      <c r="F1510" s="601">
        <v>78</v>
      </c>
      <c r="G1510" s="593" t="s">
        <v>2043</v>
      </c>
      <c r="H1510" s="413"/>
      <c r="I1510" s="2112"/>
      <c r="N1510" s="413"/>
      <c r="T1510" s="2028"/>
      <c r="AB1510" s="413"/>
      <c r="AC1510" s="2795"/>
    </row>
    <row r="1511" spans="1:29" ht="12.75" customHeight="1" x14ac:dyDescent="0.2">
      <c r="A1511" s="2029">
        <v>211</v>
      </c>
      <c r="B1511" s="4995"/>
      <c r="C1511" s="65"/>
      <c r="D1511" s="68"/>
      <c r="E1511" s="594" t="s">
        <v>637</v>
      </c>
      <c r="F1511" s="601">
        <v>80</v>
      </c>
      <c r="G1511" s="593" t="s">
        <v>2043</v>
      </c>
      <c r="H1511" s="413"/>
      <c r="I1511" s="2112"/>
      <c r="N1511" s="413"/>
      <c r="T1511" s="2028"/>
      <c r="AB1511" s="413"/>
      <c r="AC1511" s="2795"/>
    </row>
    <row r="1512" spans="1:29" ht="12.75" customHeight="1" x14ac:dyDescent="0.2">
      <c r="A1512" s="2029">
        <v>211</v>
      </c>
      <c r="B1512" s="4995"/>
      <c r="C1512" s="65"/>
      <c r="D1512" s="68"/>
      <c r="E1512" s="594" t="s">
        <v>638</v>
      </c>
      <c r="F1512" s="601">
        <v>82</v>
      </c>
      <c r="G1512" s="593" t="s">
        <v>2043</v>
      </c>
      <c r="H1512" s="413"/>
      <c r="I1512" s="2112"/>
      <c r="N1512" s="413"/>
      <c r="T1512" s="2028"/>
      <c r="AB1512" s="413"/>
      <c r="AC1512" s="2795"/>
    </row>
    <row r="1513" spans="1:29" ht="12.75" customHeight="1" x14ac:dyDescent="0.2">
      <c r="A1513" s="2029">
        <v>211</v>
      </c>
      <c r="B1513" s="4995"/>
      <c r="C1513" s="65"/>
      <c r="D1513" s="68"/>
      <c r="E1513" s="594" t="s">
        <v>639</v>
      </c>
      <c r="F1513" s="601">
        <v>86</v>
      </c>
      <c r="G1513" s="593" t="s">
        <v>2043</v>
      </c>
      <c r="H1513" s="413"/>
      <c r="I1513" s="2112"/>
      <c r="N1513" s="413"/>
      <c r="T1513" s="2028"/>
      <c r="AB1513" s="413"/>
      <c r="AC1513" s="2795"/>
    </row>
    <row r="1514" spans="1:29" ht="12.75" customHeight="1" x14ac:dyDescent="0.2">
      <c r="A1514" s="2029">
        <v>211</v>
      </c>
      <c r="B1514" s="4995"/>
      <c r="C1514" s="65"/>
      <c r="D1514" s="68"/>
      <c r="E1514" s="594" t="s">
        <v>640</v>
      </c>
      <c r="F1514" s="601">
        <v>88</v>
      </c>
      <c r="G1514" s="593" t="s">
        <v>2043</v>
      </c>
      <c r="H1514" s="413"/>
      <c r="I1514" s="2112"/>
      <c r="N1514" s="413"/>
      <c r="T1514" s="2028"/>
      <c r="AB1514" s="413"/>
      <c r="AC1514" s="2795"/>
    </row>
    <row r="1515" spans="1:29" ht="12.75" customHeight="1" x14ac:dyDescent="0.2">
      <c r="A1515" s="2029">
        <v>211</v>
      </c>
      <c r="B1515" s="4995"/>
      <c r="C1515" s="65"/>
      <c r="D1515" s="68"/>
      <c r="E1515" s="594" t="s">
        <v>641</v>
      </c>
      <c r="F1515" s="601">
        <v>90</v>
      </c>
      <c r="G1515" s="593" t="s">
        <v>2043</v>
      </c>
      <c r="H1515" s="413"/>
      <c r="I1515" s="2112"/>
      <c r="N1515" s="413"/>
      <c r="T1515" s="2028"/>
      <c r="AB1515" s="413"/>
      <c r="AC1515" s="2795"/>
    </row>
    <row r="1516" spans="1:29" ht="12.75" customHeight="1" x14ac:dyDescent="0.2">
      <c r="A1516" s="2029">
        <v>211</v>
      </c>
      <c r="B1516" s="4995"/>
      <c r="C1516" s="65"/>
      <c r="D1516" s="68"/>
      <c r="E1516" s="594" t="s">
        <v>642</v>
      </c>
      <c r="F1516" s="601">
        <v>92</v>
      </c>
      <c r="G1516" s="593" t="s">
        <v>2043</v>
      </c>
      <c r="H1516" s="413"/>
      <c r="I1516" s="2112"/>
      <c r="N1516" s="413"/>
      <c r="T1516" s="2028"/>
      <c r="AB1516" s="413"/>
      <c r="AC1516" s="2795"/>
    </row>
    <row r="1517" spans="1:29" ht="12.75" customHeight="1" x14ac:dyDescent="0.2">
      <c r="A1517" s="2029">
        <v>211</v>
      </c>
      <c r="B1517" s="4995"/>
      <c r="C1517" s="65"/>
      <c r="D1517" s="68"/>
      <c r="E1517" s="594" t="s">
        <v>643</v>
      </c>
      <c r="F1517" s="601">
        <v>96</v>
      </c>
      <c r="G1517" s="593" t="s">
        <v>2043</v>
      </c>
      <c r="H1517" s="413"/>
      <c r="I1517" s="2112"/>
      <c r="N1517" s="413"/>
      <c r="T1517" s="2028"/>
      <c r="AB1517" s="413"/>
      <c r="AC1517" s="2795"/>
    </row>
    <row r="1518" spans="1:29" ht="12.75" customHeight="1" x14ac:dyDescent="0.2">
      <c r="A1518" s="2029">
        <v>211</v>
      </c>
      <c r="B1518" s="4995"/>
      <c r="C1518" s="65"/>
      <c r="D1518" s="68"/>
      <c r="E1518" s="594" t="s">
        <v>644</v>
      </c>
      <c r="F1518" s="601">
        <v>98</v>
      </c>
      <c r="G1518" s="593" t="s">
        <v>2043</v>
      </c>
      <c r="H1518" s="413"/>
      <c r="I1518" s="2112"/>
      <c r="N1518" s="413"/>
      <c r="T1518" s="2028"/>
      <c r="AB1518" s="413"/>
      <c r="AC1518" s="2795"/>
    </row>
    <row r="1519" spans="1:29" ht="12.75" customHeight="1" x14ac:dyDescent="0.2">
      <c r="A1519" s="2029">
        <v>211</v>
      </c>
      <c r="B1519" s="4995"/>
      <c r="C1519" s="65"/>
      <c r="D1519" s="68"/>
      <c r="E1519" s="594" t="s">
        <v>645</v>
      </c>
      <c r="F1519" s="601">
        <v>100</v>
      </c>
      <c r="G1519" s="593" t="s">
        <v>2043</v>
      </c>
      <c r="H1519" s="413"/>
      <c r="I1519" s="2112"/>
      <c r="N1519" s="413"/>
      <c r="T1519" s="2028"/>
      <c r="AB1519" s="413"/>
      <c r="AC1519" s="2795"/>
    </row>
    <row r="1520" spans="1:29" ht="12.75" customHeight="1" x14ac:dyDescent="0.2">
      <c r="A1520" s="2029">
        <v>211</v>
      </c>
      <c r="B1520" s="4995"/>
      <c r="C1520" s="65"/>
      <c r="D1520" s="68"/>
      <c r="E1520" s="594" t="s">
        <v>646</v>
      </c>
      <c r="F1520" s="601"/>
      <c r="G1520" s="593"/>
      <c r="H1520" s="413"/>
      <c r="I1520" s="2112"/>
      <c r="N1520" s="413"/>
      <c r="T1520" s="2028"/>
      <c r="AB1520" s="413"/>
      <c r="AC1520" s="2795"/>
    </row>
    <row r="1521" spans="1:29" ht="12.75" customHeight="1" x14ac:dyDescent="0.2">
      <c r="A1521" s="2029">
        <v>211</v>
      </c>
      <c r="B1521" s="4995"/>
      <c r="C1521" s="65"/>
      <c r="D1521" s="68"/>
      <c r="E1521" s="594" t="s">
        <v>647</v>
      </c>
      <c r="F1521" s="601">
        <v>10</v>
      </c>
      <c r="G1521" s="593" t="s">
        <v>648</v>
      </c>
      <c r="H1521" s="413"/>
      <c r="I1521" s="2112"/>
      <c r="N1521" s="413"/>
      <c r="T1521" s="2028"/>
      <c r="AB1521" s="413"/>
      <c r="AC1521" s="2795"/>
    </row>
    <row r="1522" spans="1:29" ht="12.75" customHeight="1" x14ac:dyDescent="0.2">
      <c r="A1522" s="2029">
        <v>211</v>
      </c>
      <c r="B1522" s="4995"/>
      <c r="C1522" s="65"/>
      <c r="D1522" s="68"/>
      <c r="E1522" s="594" t="s">
        <v>649</v>
      </c>
      <c r="F1522" s="601">
        <v>10</v>
      </c>
      <c r="G1522" s="593" t="s">
        <v>648</v>
      </c>
      <c r="H1522" s="413"/>
      <c r="I1522" s="2112"/>
      <c r="N1522" s="413"/>
      <c r="T1522" s="2028"/>
      <c r="AB1522" s="413"/>
      <c r="AC1522" s="2795"/>
    </row>
    <row r="1523" spans="1:29" ht="12.75" customHeight="1" x14ac:dyDescent="0.2">
      <c r="A1523" s="2029">
        <v>211</v>
      </c>
      <c r="B1523" s="4995"/>
      <c r="C1523" s="65"/>
      <c r="D1523" s="68"/>
      <c r="E1523" s="594" t="s">
        <v>650</v>
      </c>
      <c r="F1523" s="601">
        <v>10</v>
      </c>
      <c r="G1523" s="593" t="s">
        <v>648</v>
      </c>
      <c r="H1523" s="413"/>
      <c r="I1523" s="2112"/>
      <c r="N1523" s="413"/>
      <c r="T1523" s="2028"/>
      <c r="AB1523" s="413"/>
      <c r="AC1523" s="2795"/>
    </row>
    <row r="1524" spans="1:29" ht="12.75" customHeight="1" x14ac:dyDescent="0.2">
      <c r="A1524" s="2029">
        <v>211</v>
      </c>
      <c r="B1524" s="4995"/>
      <c r="C1524" s="65"/>
      <c r="D1524" s="68"/>
      <c r="E1524" s="594" t="s">
        <v>651</v>
      </c>
      <c r="F1524" s="601">
        <v>10</v>
      </c>
      <c r="G1524" s="593" t="s">
        <v>648</v>
      </c>
      <c r="H1524" s="413"/>
      <c r="I1524" s="2112"/>
      <c r="N1524" s="413"/>
      <c r="T1524" s="2028"/>
      <c r="AB1524" s="413"/>
      <c r="AC1524" s="2795"/>
    </row>
    <row r="1525" spans="1:29" ht="12.75" customHeight="1" x14ac:dyDescent="0.2">
      <c r="A1525" s="2029">
        <v>211</v>
      </c>
      <c r="B1525" s="4995"/>
      <c r="C1525" s="65"/>
      <c r="D1525" s="68"/>
      <c r="E1525" s="594" t="s">
        <v>652</v>
      </c>
      <c r="F1525" s="601">
        <v>10</v>
      </c>
      <c r="G1525" s="593" t="s">
        <v>648</v>
      </c>
      <c r="H1525" s="413"/>
      <c r="I1525" s="2112"/>
      <c r="N1525" s="413"/>
      <c r="T1525" s="2028"/>
      <c r="AB1525" s="413"/>
      <c r="AC1525" s="2795"/>
    </row>
    <row r="1526" spans="1:29" ht="12.75" customHeight="1" x14ac:dyDescent="0.2">
      <c r="A1526" s="2029">
        <v>211</v>
      </c>
      <c r="B1526" s="4995"/>
      <c r="C1526" s="65"/>
      <c r="D1526" s="68"/>
      <c r="E1526" s="594" t="s">
        <v>653</v>
      </c>
      <c r="F1526" s="601">
        <v>10</v>
      </c>
      <c r="G1526" s="593" t="s">
        <v>648</v>
      </c>
      <c r="H1526" s="413"/>
      <c r="I1526" s="2112"/>
      <c r="N1526" s="413"/>
      <c r="T1526" s="2028"/>
      <c r="AB1526" s="413"/>
      <c r="AC1526" s="2795"/>
    </row>
    <row r="1527" spans="1:29" ht="12.75" customHeight="1" x14ac:dyDescent="0.2">
      <c r="A1527" s="2029">
        <v>211</v>
      </c>
      <c r="B1527" s="4995"/>
      <c r="C1527" s="65"/>
      <c r="D1527" s="68"/>
      <c r="E1527" s="594" t="s">
        <v>152</v>
      </c>
      <c r="F1527" s="601">
        <v>10</v>
      </c>
      <c r="G1527" s="593" t="s">
        <v>648</v>
      </c>
      <c r="H1527" s="413"/>
      <c r="I1527" s="2112"/>
      <c r="N1527" s="413"/>
      <c r="T1527" s="2028"/>
      <c r="AB1527" s="413"/>
      <c r="AC1527" s="2795"/>
    </row>
    <row r="1528" spans="1:29" ht="12.75" customHeight="1" x14ac:dyDescent="0.2">
      <c r="A1528" s="2029">
        <v>211</v>
      </c>
      <c r="B1528" s="4995"/>
      <c r="C1528" s="65"/>
      <c r="D1528" s="68"/>
      <c r="E1528" s="594" t="s">
        <v>654</v>
      </c>
      <c r="F1528" s="601">
        <v>10</v>
      </c>
      <c r="G1528" s="593" t="s">
        <v>648</v>
      </c>
      <c r="H1528" s="413"/>
      <c r="I1528" s="2112"/>
      <c r="N1528" s="413"/>
      <c r="T1528" s="2028"/>
      <c r="AB1528" s="413"/>
      <c r="AC1528" s="2795"/>
    </row>
    <row r="1529" spans="1:29" ht="12.75" customHeight="1" x14ac:dyDescent="0.2">
      <c r="A1529" s="2029">
        <v>211</v>
      </c>
      <c r="B1529" s="4995"/>
      <c r="C1529" s="65"/>
      <c r="D1529" s="68"/>
      <c r="E1529" s="594" t="s">
        <v>655</v>
      </c>
      <c r="F1529" s="601">
        <v>10</v>
      </c>
      <c r="G1529" s="593" t="s">
        <v>648</v>
      </c>
      <c r="H1529" s="413"/>
      <c r="I1529" s="2112"/>
      <c r="N1529" s="413"/>
      <c r="T1529" s="2028"/>
      <c r="AB1529" s="413"/>
      <c r="AC1529" s="2795"/>
    </row>
    <row r="1530" spans="1:29" ht="12.75" customHeight="1" x14ac:dyDescent="0.2">
      <c r="A1530" s="2029">
        <v>211</v>
      </c>
      <c r="B1530" s="4995"/>
      <c r="C1530" s="65"/>
      <c r="D1530" s="68"/>
      <c r="E1530" s="594" t="s">
        <v>656</v>
      </c>
      <c r="F1530" s="601">
        <v>10</v>
      </c>
      <c r="G1530" s="593" t="s">
        <v>648</v>
      </c>
      <c r="H1530" s="413"/>
      <c r="I1530" s="2112"/>
      <c r="N1530" s="413"/>
      <c r="T1530" s="2028"/>
      <c r="AB1530" s="413"/>
      <c r="AC1530" s="2795"/>
    </row>
    <row r="1531" spans="1:29" ht="12.75" customHeight="1" x14ac:dyDescent="0.2">
      <c r="A1531" s="2029">
        <v>211</v>
      </c>
      <c r="B1531" s="4995"/>
      <c r="C1531" s="65"/>
      <c r="D1531" s="68"/>
      <c r="E1531" s="594" t="s">
        <v>1732</v>
      </c>
      <c r="F1531" s="601">
        <v>10</v>
      </c>
      <c r="G1531" s="593" t="s">
        <v>648</v>
      </c>
      <c r="H1531" s="413"/>
      <c r="I1531" s="2112"/>
      <c r="N1531" s="413"/>
      <c r="T1531" s="2028"/>
      <c r="AB1531" s="413"/>
      <c r="AC1531" s="2795"/>
    </row>
    <row r="1532" spans="1:29" ht="12.75" customHeight="1" x14ac:dyDescent="0.2">
      <c r="A1532" s="2029">
        <v>211</v>
      </c>
      <c r="B1532" s="4995"/>
      <c r="C1532" s="65"/>
      <c r="D1532" s="68"/>
      <c r="E1532" s="594" t="s">
        <v>657</v>
      </c>
      <c r="F1532" s="601">
        <v>10</v>
      </c>
      <c r="G1532" s="593" t="s">
        <v>648</v>
      </c>
      <c r="H1532" s="413"/>
      <c r="I1532" s="2112"/>
      <c r="N1532" s="413"/>
      <c r="T1532" s="2028"/>
      <c r="AB1532" s="413"/>
      <c r="AC1532" s="2795"/>
    </row>
    <row r="1533" spans="1:29" ht="12.75" customHeight="1" x14ac:dyDescent="0.2">
      <c r="A1533" s="2029">
        <v>211</v>
      </c>
      <c r="B1533" s="4995"/>
      <c r="C1533" s="65"/>
      <c r="D1533" s="68"/>
      <c r="E1533" s="594" t="s">
        <v>658</v>
      </c>
      <c r="F1533" s="601"/>
      <c r="G1533" s="593"/>
      <c r="H1533" s="413"/>
      <c r="I1533" s="2112"/>
      <c r="N1533" s="413"/>
      <c r="T1533" s="2028"/>
      <c r="AB1533" s="413"/>
      <c r="AC1533" s="2795"/>
    </row>
    <row r="1534" spans="1:29" ht="12.75" customHeight="1" x14ac:dyDescent="0.2">
      <c r="A1534" s="2029">
        <v>211</v>
      </c>
      <c r="B1534" s="4995"/>
      <c r="C1534" s="65"/>
      <c r="D1534" s="68"/>
      <c r="E1534" s="594" t="s">
        <v>659</v>
      </c>
      <c r="F1534" s="601">
        <v>20</v>
      </c>
      <c r="G1534" s="593" t="s">
        <v>648</v>
      </c>
      <c r="H1534" s="413"/>
      <c r="I1534" s="2112"/>
      <c r="N1534" s="413"/>
      <c r="T1534" s="2028"/>
      <c r="AB1534" s="413"/>
      <c r="AC1534" s="2795"/>
    </row>
    <row r="1535" spans="1:29" ht="12.75" customHeight="1" x14ac:dyDescent="0.2">
      <c r="A1535" s="2029">
        <v>211</v>
      </c>
      <c r="B1535" s="4995"/>
      <c r="C1535" s="65"/>
      <c r="D1535" s="68"/>
      <c r="E1535" s="594" t="s">
        <v>660</v>
      </c>
      <c r="F1535" s="601">
        <v>20</v>
      </c>
      <c r="G1535" s="593" t="s">
        <v>648</v>
      </c>
      <c r="H1535" s="413"/>
      <c r="I1535" s="2112"/>
      <c r="N1535" s="413"/>
      <c r="T1535" s="2028"/>
      <c r="AB1535" s="413"/>
      <c r="AC1535" s="2795"/>
    </row>
    <row r="1536" spans="1:29" ht="12.75" customHeight="1" x14ac:dyDescent="0.2">
      <c r="A1536" s="2029">
        <v>211</v>
      </c>
      <c r="B1536" s="4995"/>
      <c r="C1536" s="65"/>
      <c r="D1536" s="68"/>
      <c r="E1536" s="594" t="s">
        <v>661</v>
      </c>
      <c r="F1536" s="601">
        <v>20</v>
      </c>
      <c r="G1536" s="593" t="s">
        <v>648</v>
      </c>
      <c r="H1536" s="413"/>
      <c r="I1536" s="2112"/>
      <c r="N1536" s="413"/>
      <c r="T1536" s="2028"/>
      <c r="AB1536" s="413"/>
      <c r="AC1536" s="2795"/>
    </row>
    <row r="1537" spans="1:29" ht="12.75" customHeight="1" x14ac:dyDescent="0.2">
      <c r="A1537" s="2029">
        <v>211</v>
      </c>
      <c r="B1537" s="4995"/>
      <c r="C1537" s="65"/>
      <c r="D1537" s="68"/>
      <c r="E1537" s="594" t="s">
        <v>662</v>
      </c>
      <c r="F1537" s="601">
        <v>20</v>
      </c>
      <c r="G1537" s="593" t="s">
        <v>648</v>
      </c>
      <c r="H1537" s="413"/>
      <c r="I1537" s="2112"/>
      <c r="N1537" s="413"/>
      <c r="T1537" s="2028"/>
      <c r="AB1537" s="413"/>
      <c r="AC1537" s="2795"/>
    </row>
    <row r="1538" spans="1:29" ht="12.75" customHeight="1" x14ac:dyDescent="0.2">
      <c r="A1538" s="2029">
        <v>211</v>
      </c>
      <c r="B1538" s="4995"/>
      <c r="C1538" s="65"/>
      <c r="D1538" s="68"/>
      <c r="E1538" s="594" t="s">
        <v>663</v>
      </c>
      <c r="F1538" s="601">
        <v>20</v>
      </c>
      <c r="G1538" s="593" t="s">
        <v>648</v>
      </c>
      <c r="H1538" s="413"/>
      <c r="I1538" s="2112"/>
      <c r="N1538" s="413"/>
      <c r="T1538" s="2028"/>
      <c r="AB1538" s="413"/>
      <c r="AC1538" s="2795"/>
    </row>
    <row r="1539" spans="1:29" ht="12.75" customHeight="1" x14ac:dyDescent="0.2">
      <c r="A1539" s="2029">
        <v>211</v>
      </c>
      <c r="B1539" s="4995"/>
      <c r="C1539" s="65"/>
      <c r="D1539" s="68"/>
      <c r="E1539" s="594" t="s">
        <v>1729</v>
      </c>
      <c r="F1539" s="601">
        <v>20</v>
      </c>
      <c r="G1539" s="593" t="s">
        <v>648</v>
      </c>
      <c r="H1539" s="413"/>
      <c r="I1539" s="2112"/>
      <c r="N1539" s="413"/>
      <c r="T1539" s="2028"/>
      <c r="AB1539" s="413"/>
      <c r="AC1539" s="2795"/>
    </row>
    <row r="1540" spans="1:29" ht="12.75" customHeight="1" x14ac:dyDescent="0.2">
      <c r="A1540" s="2029">
        <v>211</v>
      </c>
      <c r="B1540" s="4995"/>
      <c r="C1540" s="65"/>
      <c r="D1540" s="68"/>
      <c r="E1540" s="594" t="s">
        <v>664</v>
      </c>
      <c r="F1540" s="601">
        <v>20</v>
      </c>
      <c r="G1540" s="593" t="s">
        <v>648</v>
      </c>
      <c r="H1540" s="413"/>
      <c r="I1540" s="2112"/>
      <c r="N1540" s="413"/>
      <c r="T1540" s="2028"/>
      <c r="AB1540" s="413"/>
      <c r="AC1540" s="2795"/>
    </row>
    <row r="1541" spans="1:29" ht="12.75" customHeight="1" x14ac:dyDescent="0.2">
      <c r="A1541" s="2029">
        <v>211</v>
      </c>
      <c r="B1541" s="4995"/>
      <c r="C1541" s="65"/>
      <c r="D1541" s="68"/>
      <c r="E1541" s="594" t="s">
        <v>665</v>
      </c>
      <c r="F1541" s="601">
        <v>20</v>
      </c>
      <c r="G1541" s="593" t="s">
        <v>648</v>
      </c>
      <c r="H1541" s="413"/>
      <c r="I1541" s="2112"/>
      <c r="N1541" s="413"/>
      <c r="T1541" s="2028"/>
      <c r="AB1541" s="413"/>
      <c r="AC1541" s="2795"/>
    </row>
    <row r="1542" spans="1:29" ht="12.75" customHeight="1" x14ac:dyDescent="0.2">
      <c r="A1542" s="2029">
        <v>211</v>
      </c>
      <c r="B1542" s="4995"/>
      <c r="C1542" s="65"/>
      <c r="D1542" s="68"/>
      <c r="E1542" s="594" t="s">
        <v>666</v>
      </c>
      <c r="F1542" s="601">
        <v>20</v>
      </c>
      <c r="G1542" s="593" t="s">
        <v>648</v>
      </c>
      <c r="H1542" s="413"/>
      <c r="I1542" s="2112"/>
      <c r="N1542" s="413"/>
      <c r="T1542" s="2028"/>
      <c r="AB1542" s="413"/>
      <c r="AC1542" s="2795"/>
    </row>
    <row r="1543" spans="1:29" ht="12.75" customHeight="1" x14ac:dyDescent="0.2">
      <c r="A1543" s="2029">
        <v>211</v>
      </c>
      <c r="B1543" s="4995"/>
      <c r="C1543" s="65"/>
      <c r="D1543" s="68"/>
      <c r="E1543" s="594" t="s">
        <v>2011</v>
      </c>
      <c r="F1543" s="601">
        <v>20</v>
      </c>
      <c r="G1543" s="593" t="s">
        <v>648</v>
      </c>
      <c r="H1543" s="413"/>
      <c r="I1543" s="2112"/>
      <c r="N1543" s="413"/>
      <c r="T1543" s="2028"/>
      <c r="AB1543" s="413"/>
      <c r="AC1543" s="2795"/>
    </row>
    <row r="1544" spans="1:29" ht="12.75" customHeight="1" x14ac:dyDescent="0.2">
      <c r="A1544" s="2029">
        <v>211</v>
      </c>
      <c r="B1544" s="4995"/>
      <c r="C1544" s="65"/>
      <c r="D1544" s="68"/>
      <c r="E1544" s="594" t="s">
        <v>667</v>
      </c>
      <c r="F1544" s="601">
        <v>20</v>
      </c>
      <c r="G1544" s="593" t="s">
        <v>648</v>
      </c>
      <c r="H1544" s="413"/>
      <c r="I1544" s="2112"/>
      <c r="N1544" s="413"/>
      <c r="T1544" s="2028"/>
      <c r="AB1544" s="413"/>
      <c r="AC1544" s="2795"/>
    </row>
    <row r="1545" spans="1:29" ht="12.75" customHeight="1" x14ac:dyDescent="0.2">
      <c r="A1545" s="2029">
        <v>211</v>
      </c>
      <c r="B1545" s="4995"/>
      <c r="C1545" s="65"/>
      <c r="D1545" s="68"/>
      <c r="E1545" s="594" t="s">
        <v>668</v>
      </c>
      <c r="F1545" s="601">
        <v>20</v>
      </c>
      <c r="G1545" s="593" t="s">
        <v>648</v>
      </c>
      <c r="H1545" s="413"/>
      <c r="I1545" s="2112"/>
      <c r="N1545" s="413"/>
      <c r="T1545" s="2028"/>
      <c r="AB1545" s="413"/>
      <c r="AC1545" s="2795"/>
    </row>
    <row r="1546" spans="1:29" ht="12.75" customHeight="1" x14ac:dyDescent="0.2">
      <c r="A1546" s="2029">
        <v>211</v>
      </c>
      <c r="B1546" s="4995"/>
      <c r="C1546" s="65"/>
      <c r="D1546" s="68"/>
      <c r="E1546" s="594" t="s">
        <v>669</v>
      </c>
      <c r="F1546" s="601"/>
      <c r="G1546" s="593"/>
      <c r="H1546" s="413"/>
      <c r="I1546" s="2112"/>
      <c r="N1546" s="413"/>
      <c r="T1546" s="2028"/>
      <c r="AB1546" s="413"/>
      <c r="AC1546" s="2795"/>
    </row>
    <row r="1547" spans="1:29" ht="12.75" customHeight="1" x14ac:dyDescent="0.2">
      <c r="A1547" s="2029">
        <v>211</v>
      </c>
      <c r="B1547" s="4995"/>
      <c r="C1547" s="65"/>
      <c r="D1547" s="68"/>
      <c r="E1547" s="594" t="s">
        <v>670</v>
      </c>
      <c r="F1547" s="601">
        <v>30</v>
      </c>
      <c r="G1547" s="593" t="s">
        <v>648</v>
      </c>
      <c r="H1547" s="413"/>
      <c r="I1547" s="2112"/>
      <c r="N1547" s="413"/>
      <c r="T1547" s="2028"/>
      <c r="AB1547" s="413"/>
      <c r="AC1547" s="2795"/>
    </row>
    <row r="1548" spans="1:29" ht="12.75" customHeight="1" x14ac:dyDescent="0.2">
      <c r="A1548" s="2029">
        <v>211</v>
      </c>
      <c r="B1548" s="4995"/>
      <c r="C1548" s="65"/>
      <c r="D1548" s="68"/>
      <c r="E1548" s="594" t="s">
        <v>671</v>
      </c>
      <c r="F1548" s="601">
        <v>30</v>
      </c>
      <c r="G1548" s="593" t="s">
        <v>648</v>
      </c>
      <c r="H1548" s="413"/>
      <c r="I1548" s="2112"/>
      <c r="N1548" s="413"/>
      <c r="T1548" s="2028"/>
      <c r="AB1548" s="413"/>
      <c r="AC1548" s="2795"/>
    </row>
    <row r="1549" spans="1:29" ht="12.75" customHeight="1" x14ac:dyDescent="0.2">
      <c r="A1549" s="2029">
        <v>211</v>
      </c>
      <c r="B1549" s="4995"/>
      <c r="C1549" s="65"/>
      <c r="D1549" s="68"/>
      <c r="E1549" s="594" t="s">
        <v>672</v>
      </c>
      <c r="F1549" s="601">
        <v>30</v>
      </c>
      <c r="G1549" s="593" t="s">
        <v>648</v>
      </c>
      <c r="H1549" s="413"/>
      <c r="I1549" s="2112"/>
      <c r="N1549" s="413"/>
      <c r="T1549" s="2028"/>
      <c r="AB1549" s="413"/>
      <c r="AC1549" s="2795"/>
    </row>
    <row r="1550" spans="1:29" ht="12.75" customHeight="1" x14ac:dyDescent="0.2">
      <c r="A1550" s="2029">
        <v>211</v>
      </c>
      <c r="B1550" s="4995"/>
      <c r="C1550" s="65"/>
      <c r="D1550" s="68"/>
      <c r="E1550" s="594" t="s">
        <v>673</v>
      </c>
      <c r="F1550" s="601">
        <v>30</v>
      </c>
      <c r="G1550" s="593" t="s">
        <v>648</v>
      </c>
      <c r="H1550" s="413"/>
      <c r="I1550" s="2112"/>
      <c r="N1550" s="413"/>
      <c r="T1550" s="2028"/>
      <c r="AB1550" s="413"/>
      <c r="AC1550" s="2795"/>
    </row>
    <row r="1551" spans="1:29" ht="12.75" customHeight="1" x14ac:dyDescent="0.2">
      <c r="A1551" s="2029">
        <v>211</v>
      </c>
      <c r="B1551" s="4995"/>
      <c r="C1551" s="65"/>
      <c r="D1551" s="68"/>
      <c r="E1551" s="594" t="s">
        <v>674</v>
      </c>
      <c r="F1551" s="601">
        <v>30</v>
      </c>
      <c r="G1551" s="593" t="s">
        <v>648</v>
      </c>
      <c r="H1551" s="413"/>
      <c r="I1551" s="2112"/>
      <c r="N1551" s="413"/>
      <c r="T1551" s="2028"/>
      <c r="AB1551" s="413"/>
      <c r="AC1551" s="2795"/>
    </row>
    <row r="1552" spans="1:29" ht="12.75" customHeight="1" x14ac:dyDescent="0.2">
      <c r="A1552" s="2029">
        <v>211</v>
      </c>
      <c r="B1552" s="4995"/>
      <c r="C1552" s="65"/>
      <c r="D1552" s="68"/>
      <c r="E1552" s="594" t="s">
        <v>675</v>
      </c>
      <c r="F1552" s="601">
        <v>30</v>
      </c>
      <c r="G1552" s="593" t="s">
        <v>648</v>
      </c>
      <c r="H1552" s="413"/>
      <c r="I1552" s="2112"/>
      <c r="N1552" s="413"/>
      <c r="T1552" s="2028"/>
      <c r="AB1552" s="413"/>
      <c r="AC1552" s="2795"/>
    </row>
    <row r="1553" spans="1:29" ht="12.75" customHeight="1" x14ac:dyDescent="0.2">
      <c r="A1553" s="2029">
        <v>211</v>
      </c>
      <c r="B1553" s="4995"/>
      <c r="C1553" s="65"/>
      <c r="D1553" s="68"/>
      <c r="E1553" s="594" t="s">
        <v>676</v>
      </c>
      <c r="F1553" s="601">
        <v>30</v>
      </c>
      <c r="G1553" s="593" t="s">
        <v>648</v>
      </c>
      <c r="H1553" s="413"/>
      <c r="I1553" s="2112"/>
      <c r="N1553" s="413"/>
      <c r="T1553" s="2028"/>
      <c r="AB1553" s="413"/>
      <c r="AC1553" s="2795"/>
    </row>
    <row r="1554" spans="1:29" ht="12.75" customHeight="1" x14ac:dyDescent="0.2">
      <c r="A1554" s="2029">
        <v>211</v>
      </c>
      <c r="B1554" s="4995"/>
      <c r="C1554" s="65"/>
      <c r="D1554" s="68"/>
      <c r="E1554" s="594" t="s">
        <v>2634</v>
      </c>
      <c r="F1554" s="601">
        <v>30</v>
      </c>
      <c r="G1554" s="593" t="s">
        <v>648</v>
      </c>
      <c r="H1554" s="413"/>
      <c r="I1554" s="2112"/>
      <c r="N1554" s="413"/>
      <c r="T1554" s="2028"/>
      <c r="AB1554" s="413"/>
      <c r="AC1554" s="2795"/>
    </row>
    <row r="1555" spans="1:29" ht="12.75" customHeight="1" x14ac:dyDescent="0.2">
      <c r="A1555" s="2029">
        <v>211</v>
      </c>
      <c r="B1555" s="4995"/>
      <c r="C1555" s="65"/>
      <c r="D1555" s="68"/>
      <c r="E1555" s="594" t="s">
        <v>677</v>
      </c>
      <c r="F1555" s="601">
        <v>30</v>
      </c>
      <c r="G1555" s="593" t="s">
        <v>648</v>
      </c>
      <c r="H1555" s="413"/>
      <c r="I1555" s="2112"/>
      <c r="N1555" s="413"/>
      <c r="T1555" s="2028"/>
      <c r="AB1555" s="413"/>
      <c r="AC1555" s="2795"/>
    </row>
    <row r="1556" spans="1:29" ht="12.75" customHeight="1" x14ac:dyDescent="0.2">
      <c r="A1556" s="2029">
        <v>211</v>
      </c>
      <c r="B1556" s="4995"/>
      <c r="C1556" s="65"/>
      <c r="D1556" s="68"/>
      <c r="E1556" s="594" t="s">
        <v>678</v>
      </c>
      <c r="F1556" s="601">
        <v>30</v>
      </c>
      <c r="G1556" s="593" t="s">
        <v>648</v>
      </c>
      <c r="H1556" s="413"/>
      <c r="I1556" s="2112"/>
      <c r="N1556" s="413"/>
      <c r="T1556" s="2028"/>
      <c r="AB1556" s="413"/>
      <c r="AC1556" s="2795"/>
    </row>
    <row r="1557" spans="1:29" ht="12.75" customHeight="1" x14ac:dyDescent="0.2">
      <c r="A1557" s="2029">
        <v>211</v>
      </c>
      <c r="B1557" s="4995"/>
      <c r="C1557" s="65"/>
      <c r="D1557" s="68"/>
      <c r="E1557" s="594" t="s">
        <v>1952</v>
      </c>
      <c r="F1557" s="601">
        <v>30</v>
      </c>
      <c r="G1557" s="593" t="s">
        <v>648</v>
      </c>
      <c r="H1557" s="413"/>
      <c r="I1557" s="2112"/>
      <c r="N1557" s="413"/>
      <c r="T1557" s="2028"/>
      <c r="AB1557" s="413"/>
      <c r="AC1557" s="2795"/>
    </row>
    <row r="1558" spans="1:29" ht="12.75" customHeight="1" x14ac:dyDescent="0.2">
      <c r="A1558" s="2029">
        <v>211</v>
      </c>
      <c r="B1558" s="4995"/>
      <c r="C1558" s="65"/>
      <c r="D1558" s="68"/>
      <c r="E1558" s="594" t="s">
        <v>679</v>
      </c>
      <c r="F1558" s="601">
        <v>30</v>
      </c>
      <c r="G1558" s="593" t="s">
        <v>648</v>
      </c>
      <c r="H1558" s="413"/>
      <c r="I1558" s="2112"/>
      <c r="N1558" s="413"/>
      <c r="T1558" s="2028"/>
      <c r="AB1558" s="413"/>
      <c r="AC1558" s="2795"/>
    </row>
    <row r="1559" spans="1:29" ht="12.75" customHeight="1" x14ac:dyDescent="0.2">
      <c r="A1559" s="2029">
        <v>211</v>
      </c>
      <c r="B1559" s="4995"/>
      <c r="C1559" s="65"/>
      <c r="D1559" s="68"/>
      <c r="E1559" s="594" t="s">
        <v>680</v>
      </c>
      <c r="F1559" s="601"/>
      <c r="G1559" s="593"/>
      <c r="H1559" s="413"/>
      <c r="I1559" s="2112"/>
      <c r="N1559" s="413"/>
      <c r="T1559" s="2028"/>
      <c r="AB1559" s="413"/>
      <c r="AC1559" s="2795"/>
    </row>
    <row r="1560" spans="1:29" ht="12.75" customHeight="1" x14ac:dyDescent="0.2">
      <c r="A1560" s="2029">
        <v>211</v>
      </c>
      <c r="B1560" s="4995"/>
      <c r="C1560" s="65"/>
      <c r="D1560" s="68"/>
      <c r="E1560" s="594" t="s">
        <v>681</v>
      </c>
      <c r="F1560" s="601">
        <v>40</v>
      </c>
      <c r="G1560" s="593" t="s">
        <v>648</v>
      </c>
      <c r="H1560" s="413"/>
      <c r="I1560" s="2112"/>
      <c r="N1560" s="413"/>
      <c r="T1560" s="2028"/>
      <c r="AB1560" s="413"/>
      <c r="AC1560" s="2795"/>
    </row>
    <row r="1561" spans="1:29" ht="12.75" customHeight="1" x14ac:dyDescent="0.2">
      <c r="A1561" s="2029">
        <v>211</v>
      </c>
      <c r="B1561" s="4995"/>
      <c r="C1561" s="65"/>
      <c r="D1561" s="68"/>
      <c r="E1561" s="594" t="s">
        <v>682</v>
      </c>
      <c r="F1561" s="601">
        <v>40</v>
      </c>
      <c r="G1561" s="593" t="s">
        <v>648</v>
      </c>
      <c r="H1561" s="413"/>
      <c r="I1561" s="2112"/>
      <c r="N1561" s="413"/>
      <c r="T1561" s="2028"/>
      <c r="AB1561" s="413"/>
      <c r="AC1561" s="2795"/>
    </row>
    <row r="1562" spans="1:29" ht="12.75" customHeight="1" x14ac:dyDescent="0.2">
      <c r="A1562" s="2029">
        <v>211</v>
      </c>
      <c r="B1562" s="4995"/>
      <c r="C1562" s="65"/>
      <c r="D1562" s="68"/>
      <c r="E1562" s="594" t="s">
        <v>683</v>
      </c>
      <c r="F1562" s="601">
        <v>40</v>
      </c>
      <c r="G1562" s="593" t="s">
        <v>648</v>
      </c>
      <c r="H1562" s="413"/>
      <c r="I1562" s="2112"/>
      <c r="N1562" s="413"/>
      <c r="T1562" s="2028"/>
      <c r="AB1562" s="413"/>
      <c r="AC1562" s="2795"/>
    </row>
    <row r="1563" spans="1:29" ht="12.75" customHeight="1" x14ac:dyDescent="0.2">
      <c r="A1563" s="2029">
        <v>211</v>
      </c>
      <c r="B1563" s="4995"/>
      <c r="C1563" s="65"/>
      <c r="D1563" s="68"/>
      <c r="E1563" s="594" t="s">
        <v>684</v>
      </c>
      <c r="F1563" s="601">
        <v>40</v>
      </c>
      <c r="G1563" s="593" t="s">
        <v>648</v>
      </c>
      <c r="H1563" s="413"/>
      <c r="I1563" s="2112"/>
      <c r="N1563" s="413"/>
      <c r="T1563" s="2028"/>
      <c r="AB1563" s="413"/>
      <c r="AC1563" s="2795"/>
    </row>
    <row r="1564" spans="1:29" ht="12.75" customHeight="1" x14ac:dyDescent="0.2">
      <c r="A1564" s="2029">
        <v>211</v>
      </c>
      <c r="B1564" s="4995"/>
      <c r="C1564" s="65"/>
      <c r="D1564" s="68"/>
      <c r="E1564" s="594" t="s">
        <v>685</v>
      </c>
      <c r="F1564" s="601">
        <v>40</v>
      </c>
      <c r="G1564" s="593" t="s">
        <v>648</v>
      </c>
      <c r="H1564" s="413"/>
      <c r="I1564" s="2112"/>
      <c r="N1564" s="413"/>
      <c r="T1564" s="2028"/>
      <c r="AB1564" s="413"/>
      <c r="AC1564" s="2795"/>
    </row>
    <row r="1565" spans="1:29" ht="12.75" customHeight="1" x14ac:dyDescent="0.2">
      <c r="A1565" s="2029">
        <v>211</v>
      </c>
      <c r="B1565" s="4995"/>
      <c r="C1565" s="65"/>
      <c r="D1565" s="68"/>
      <c r="E1565" s="594" t="s">
        <v>686</v>
      </c>
      <c r="F1565" s="601">
        <v>40</v>
      </c>
      <c r="G1565" s="593" t="s">
        <v>648</v>
      </c>
      <c r="H1565" s="413"/>
      <c r="I1565" s="2112"/>
      <c r="N1565" s="413"/>
      <c r="T1565" s="2028"/>
      <c r="AB1565" s="413"/>
      <c r="AC1565" s="2795"/>
    </row>
    <row r="1566" spans="1:29" ht="12.75" customHeight="1" x14ac:dyDescent="0.2">
      <c r="A1566" s="2029">
        <v>211</v>
      </c>
      <c r="B1566" s="4995"/>
      <c r="C1566" s="65"/>
      <c r="D1566" s="68"/>
      <c r="E1566" s="594" t="s">
        <v>687</v>
      </c>
      <c r="F1566" s="601">
        <v>40</v>
      </c>
      <c r="G1566" s="593" t="s">
        <v>648</v>
      </c>
      <c r="H1566" s="413"/>
      <c r="I1566" s="2112"/>
      <c r="N1566" s="413"/>
      <c r="T1566" s="2028"/>
      <c r="AB1566" s="413"/>
      <c r="AC1566" s="2795"/>
    </row>
    <row r="1567" spans="1:29" ht="12.75" customHeight="1" x14ac:dyDescent="0.2">
      <c r="A1567" s="2029">
        <v>211</v>
      </c>
      <c r="B1567" s="4995"/>
      <c r="C1567" s="65"/>
      <c r="D1567" s="68"/>
      <c r="E1567" s="594" t="s">
        <v>688</v>
      </c>
      <c r="F1567" s="601">
        <v>40</v>
      </c>
      <c r="G1567" s="593" t="s">
        <v>648</v>
      </c>
      <c r="H1567" s="413"/>
      <c r="I1567" s="2112"/>
      <c r="N1567" s="413"/>
      <c r="T1567" s="2028"/>
      <c r="AB1567" s="413"/>
      <c r="AC1567" s="2795"/>
    </row>
    <row r="1568" spans="1:29" ht="12.75" customHeight="1" x14ac:dyDescent="0.2">
      <c r="A1568" s="2029">
        <v>211</v>
      </c>
      <c r="B1568" s="4995"/>
      <c r="C1568" s="65"/>
      <c r="D1568" s="68"/>
      <c r="E1568" s="594" t="s">
        <v>689</v>
      </c>
      <c r="F1568" s="601">
        <v>40</v>
      </c>
      <c r="G1568" s="593" t="s">
        <v>648</v>
      </c>
      <c r="H1568" s="413"/>
      <c r="I1568" s="2112"/>
      <c r="N1568" s="413"/>
      <c r="T1568" s="2028"/>
      <c r="AB1568" s="413"/>
      <c r="AC1568" s="2795"/>
    </row>
    <row r="1569" spans="1:29" ht="12.75" customHeight="1" x14ac:dyDescent="0.2">
      <c r="A1569" s="2029">
        <v>211</v>
      </c>
      <c r="B1569" s="4995"/>
      <c r="C1569" s="65"/>
      <c r="D1569" s="68"/>
      <c r="E1569" s="594" t="s">
        <v>202</v>
      </c>
      <c r="F1569" s="601">
        <v>40</v>
      </c>
      <c r="G1569" s="593" t="s">
        <v>648</v>
      </c>
      <c r="H1569" s="413"/>
      <c r="I1569" s="2112"/>
      <c r="N1569" s="413"/>
      <c r="T1569" s="2028"/>
      <c r="AB1569" s="413"/>
      <c r="AC1569" s="2795"/>
    </row>
    <row r="1570" spans="1:29" ht="12.75" customHeight="1" x14ac:dyDescent="0.2">
      <c r="A1570" s="2029">
        <v>211</v>
      </c>
      <c r="B1570" s="4995"/>
      <c r="C1570" s="65"/>
      <c r="D1570" s="68"/>
      <c r="E1570" s="594" t="s">
        <v>690</v>
      </c>
      <c r="F1570" s="601">
        <v>40</v>
      </c>
      <c r="G1570" s="593" t="s">
        <v>648</v>
      </c>
      <c r="H1570" s="413"/>
      <c r="I1570" s="2112"/>
      <c r="N1570" s="413"/>
      <c r="T1570" s="2028"/>
      <c r="AB1570" s="413"/>
      <c r="AC1570" s="2795"/>
    </row>
    <row r="1571" spans="1:29" ht="12.75" customHeight="1" x14ac:dyDescent="0.2">
      <c r="A1571" s="2029">
        <v>211</v>
      </c>
      <c r="B1571" s="4995"/>
      <c r="C1571" s="65"/>
      <c r="D1571" s="68"/>
      <c r="E1571" s="594" t="s">
        <v>691</v>
      </c>
      <c r="F1571" s="601">
        <v>40</v>
      </c>
      <c r="G1571" s="593" t="s">
        <v>648</v>
      </c>
      <c r="H1571" s="413"/>
      <c r="I1571" s="2112"/>
      <c r="N1571" s="413"/>
      <c r="T1571" s="2028"/>
      <c r="AB1571" s="413"/>
      <c r="AC1571" s="2795"/>
    </row>
    <row r="1572" spans="1:29" ht="12.75" customHeight="1" x14ac:dyDescent="0.2">
      <c r="A1572" s="2029">
        <v>211</v>
      </c>
      <c r="B1572" s="4995"/>
      <c r="C1572" s="65"/>
      <c r="D1572" s="68"/>
      <c r="E1572" s="594" t="s">
        <v>692</v>
      </c>
      <c r="F1572" s="601"/>
      <c r="G1572" s="593"/>
      <c r="H1572" s="413"/>
      <c r="I1572" s="2112"/>
      <c r="N1572" s="413"/>
      <c r="T1572" s="2028"/>
      <c r="AB1572" s="413"/>
      <c r="AC1572" s="2795"/>
    </row>
    <row r="1573" spans="1:29" ht="12.75" customHeight="1" x14ac:dyDescent="0.2">
      <c r="A1573" s="2029">
        <v>211</v>
      </c>
      <c r="B1573" s="4995"/>
      <c r="C1573" s="65"/>
      <c r="D1573" s="68"/>
      <c r="E1573" s="594" t="s">
        <v>693</v>
      </c>
      <c r="F1573" s="601">
        <v>50</v>
      </c>
      <c r="G1573" s="593" t="s">
        <v>648</v>
      </c>
      <c r="H1573" s="413"/>
      <c r="I1573" s="2112"/>
      <c r="N1573" s="413"/>
      <c r="T1573" s="2028"/>
      <c r="AB1573" s="413"/>
      <c r="AC1573" s="2795"/>
    </row>
    <row r="1574" spans="1:29" ht="12.75" customHeight="1" x14ac:dyDescent="0.2">
      <c r="A1574" s="2029">
        <v>211</v>
      </c>
      <c r="B1574" s="4995"/>
      <c r="C1574" s="65"/>
      <c r="D1574" s="68"/>
      <c r="E1574" s="594" t="s">
        <v>694</v>
      </c>
      <c r="F1574" s="601">
        <v>50</v>
      </c>
      <c r="G1574" s="593" t="s">
        <v>648</v>
      </c>
      <c r="H1574" s="413"/>
      <c r="I1574" s="2112"/>
      <c r="N1574" s="413"/>
      <c r="T1574" s="2028"/>
      <c r="AB1574" s="413"/>
      <c r="AC1574" s="2795"/>
    </row>
    <row r="1575" spans="1:29" ht="12.75" customHeight="1" x14ac:dyDescent="0.2">
      <c r="A1575" s="2029">
        <v>211</v>
      </c>
      <c r="B1575" s="4995"/>
      <c r="C1575" s="65"/>
      <c r="D1575" s="68"/>
      <c r="E1575" s="594" t="s">
        <v>695</v>
      </c>
      <c r="F1575" s="601">
        <v>50</v>
      </c>
      <c r="G1575" s="593" t="s">
        <v>648</v>
      </c>
      <c r="H1575" s="413"/>
      <c r="I1575" s="2112"/>
      <c r="N1575" s="413"/>
      <c r="T1575" s="2028"/>
      <c r="AB1575" s="413"/>
      <c r="AC1575" s="2795"/>
    </row>
    <row r="1576" spans="1:29" ht="12.75" customHeight="1" x14ac:dyDescent="0.2">
      <c r="A1576" s="2029">
        <v>211</v>
      </c>
      <c r="B1576" s="4995"/>
      <c r="C1576" s="65"/>
      <c r="D1576" s="68"/>
      <c r="E1576" s="594" t="s">
        <v>696</v>
      </c>
      <c r="F1576" s="601">
        <v>50</v>
      </c>
      <c r="G1576" s="593" t="s">
        <v>648</v>
      </c>
      <c r="H1576" s="413"/>
      <c r="I1576" s="2112"/>
      <c r="N1576" s="413"/>
      <c r="T1576" s="2028"/>
      <c r="AB1576" s="413"/>
      <c r="AC1576" s="2795"/>
    </row>
    <row r="1577" spans="1:29" ht="12.75" customHeight="1" x14ac:dyDescent="0.2">
      <c r="A1577" s="2029">
        <v>211</v>
      </c>
      <c r="B1577" s="4995"/>
      <c r="C1577" s="65"/>
      <c r="D1577" s="68"/>
      <c r="E1577" s="594" t="s">
        <v>697</v>
      </c>
      <c r="F1577" s="601">
        <v>50</v>
      </c>
      <c r="G1577" s="593" t="s">
        <v>648</v>
      </c>
      <c r="H1577" s="413"/>
      <c r="I1577" s="2112"/>
      <c r="N1577" s="413"/>
      <c r="T1577" s="2028"/>
      <c r="AB1577" s="413"/>
      <c r="AC1577" s="2795"/>
    </row>
    <row r="1578" spans="1:29" ht="12.75" customHeight="1" x14ac:dyDescent="0.2">
      <c r="A1578" s="2029">
        <v>211</v>
      </c>
      <c r="B1578" s="4995"/>
      <c r="C1578" s="65"/>
      <c r="D1578" s="68"/>
      <c r="E1578" s="594" t="s">
        <v>698</v>
      </c>
      <c r="F1578" s="601">
        <v>50</v>
      </c>
      <c r="G1578" s="593" t="s">
        <v>648</v>
      </c>
      <c r="H1578" s="413"/>
      <c r="I1578" s="2112"/>
      <c r="N1578" s="413"/>
      <c r="T1578" s="2028"/>
      <c r="AB1578" s="413"/>
      <c r="AC1578" s="2795"/>
    </row>
    <row r="1579" spans="1:29" ht="12.75" customHeight="1" x14ac:dyDescent="0.2">
      <c r="A1579" s="2029">
        <v>211</v>
      </c>
      <c r="B1579" s="4995"/>
      <c r="C1579" s="65"/>
      <c r="D1579" s="68"/>
      <c r="E1579" s="594" t="s">
        <v>699</v>
      </c>
      <c r="F1579" s="601">
        <v>50</v>
      </c>
      <c r="G1579" s="593" t="s">
        <v>648</v>
      </c>
      <c r="H1579" s="413"/>
      <c r="I1579" s="2112"/>
      <c r="N1579" s="2805"/>
      <c r="O1579" s="2805"/>
      <c r="P1579" s="2805"/>
      <c r="Q1579" s="2805"/>
      <c r="T1579" s="2028"/>
      <c r="AB1579" s="413"/>
      <c r="AC1579" s="2795"/>
    </row>
    <row r="1580" spans="1:29" ht="12.75" customHeight="1" x14ac:dyDescent="0.2">
      <c r="A1580" s="2029">
        <v>211</v>
      </c>
      <c r="B1580" s="4995"/>
      <c r="C1580" s="65"/>
      <c r="D1580" s="68"/>
      <c r="E1580" s="594" t="s">
        <v>700</v>
      </c>
      <c r="F1580" s="601">
        <v>50</v>
      </c>
      <c r="G1580" s="593" t="s">
        <v>648</v>
      </c>
      <c r="H1580" s="413"/>
      <c r="I1580" s="2112"/>
      <c r="N1580" s="2805"/>
      <c r="O1580" s="2805"/>
      <c r="P1580" s="2805"/>
      <c r="Q1580" s="2805"/>
      <c r="T1580" s="2028"/>
      <c r="AB1580" s="413"/>
      <c r="AC1580" s="2795"/>
    </row>
    <row r="1581" spans="1:29" ht="12.75" customHeight="1" x14ac:dyDescent="0.2">
      <c r="A1581" s="2029">
        <v>211</v>
      </c>
      <c r="B1581" s="4995"/>
      <c r="C1581" s="65"/>
      <c r="D1581" s="68"/>
      <c r="E1581" s="594" t="s">
        <v>701</v>
      </c>
      <c r="F1581" s="601">
        <v>50</v>
      </c>
      <c r="G1581" s="593" t="s">
        <v>648</v>
      </c>
      <c r="H1581" s="413"/>
      <c r="I1581" s="2112"/>
      <c r="N1581" s="2805"/>
      <c r="O1581" s="2805"/>
      <c r="P1581" s="2805"/>
      <c r="Q1581" s="2805"/>
      <c r="T1581" s="2028"/>
      <c r="AB1581" s="413"/>
      <c r="AC1581" s="2795"/>
    </row>
    <row r="1582" spans="1:29" ht="12.75" customHeight="1" x14ac:dyDescent="0.2">
      <c r="A1582" s="2029">
        <v>211</v>
      </c>
      <c r="B1582" s="4995"/>
      <c r="C1582" s="65"/>
      <c r="D1582" s="68"/>
      <c r="E1582" s="594" t="s">
        <v>702</v>
      </c>
      <c r="F1582" s="601">
        <v>50</v>
      </c>
      <c r="G1582" s="593" t="s">
        <v>648</v>
      </c>
      <c r="H1582" s="413"/>
      <c r="I1582" s="2112"/>
      <c r="N1582" s="413"/>
      <c r="T1582" s="2028"/>
      <c r="AB1582" s="413"/>
      <c r="AC1582" s="2795"/>
    </row>
    <row r="1583" spans="1:29" ht="12.75" customHeight="1" x14ac:dyDescent="0.2">
      <c r="A1583" s="2029">
        <v>211</v>
      </c>
      <c r="B1583" s="4995"/>
      <c r="C1583" s="65"/>
      <c r="D1583" s="68"/>
      <c r="E1583" s="594" t="s">
        <v>703</v>
      </c>
      <c r="F1583" s="601">
        <v>50</v>
      </c>
      <c r="G1583" s="593" t="s">
        <v>648</v>
      </c>
      <c r="H1583" s="413"/>
      <c r="I1583" s="2112"/>
      <c r="N1583" s="413"/>
      <c r="T1583" s="2028"/>
      <c r="AB1583" s="413"/>
      <c r="AC1583" s="2795"/>
    </row>
    <row r="1584" spans="1:29" ht="12.75" customHeight="1" x14ac:dyDescent="0.2">
      <c r="A1584" s="2029">
        <v>211</v>
      </c>
      <c r="B1584" s="4995"/>
      <c r="C1584" s="65"/>
      <c r="D1584" s="68"/>
      <c r="E1584" s="594" t="s">
        <v>704</v>
      </c>
      <c r="F1584" s="601">
        <v>50</v>
      </c>
      <c r="G1584" s="593" t="s">
        <v>648</v>
      </c>
      <c r="H1584" s="413"/>
      <c r="I1584" s="2112"/>
      <c r="N1584" s="413"/>
      <c r="T1584" s="2028"/>
      <c r="AB1584" s="413"/>
      <c r="AC1584" s="2795"/>
    </row>
    <row r="1585" spans="1:29" ht="12.75" customHeight="1" x14ac:dyDescent="0.2">
      <c r="A1585" s="2029">
        <v>211</v>
      </c>
      <c r="B1585" s="4995"/>
      <c r="C1585" s="65"/>
      <c r="D1585" s="68"/>
      <c r="E1585" s="594" t="s">
        <v>705</v>
      </c>
      <c r="F1585" s="601"/>
      <c r="G1585" s="593"/>
      <c r="H1585" s="413"/>
      <c r="I1585" s="2112"/>
      <c r="N1585" s="413"/>
      <c r="T1585" s="2028"/>
      <c r="AB1585" s="413"/>
      <c r="AC1585" s="2795"/>
    </row>
    <row r="1586" spans="1:29" ht="12.75" customHeight="1" x14ac:dyDescent="0.2">
      <c r="A1586" s="2029">
        <v>211</v>
      </c>
      <c r="B1586" s="4995"/>
      <c r="C1586" s="65"/>
      <c r="D1586" s="68"/>
      <c r="E1586" s="594" t="s">
        <v>706</v>
      </c>
      <c r="F1586" s="601">
        <v>60</v>
      </c>
      <c r="G1586" s="593" t="s">
        <v>648</v>
      </c>
      <c r="H1586" s="413"/>
      <c r="I1586" s="2112"/>
      <c r="N1586" s="413"/>
      <c r="T1586" s="2028"/>
      <c r="AB1586" s="413"/>
      <c r="AC1586" s="2795"/>
    </row>
    <row r="1587" spans="1:29" ht="12.75" customHeight="1" x14ac:dyDescent="0.2">
      <c r="A1587" s="2029">
        <v>211</v>
      </c>
      <c r="B1587" s="4995"/>
      <c r="C1587" s="65"/>
      <c r="D1587" s="68"/>
      <c r="E1587" s="594" t="s">
        <v>707</v>
      </c>
      <c r="F1587" s="601">
        <v>60</v>
      </c>
      <c r="G1587" s="593" t="s">
        <v>648</v>
      </c>
      <c r="H1587" s="413"/>
      <c r="I1587" s="2112"/>
      <c r="N1587" s="413"/>
      <c r="T1587" s="2028"/>
      <c r="AB1587" s="413"/>
      <c r="AC1587" s="2795"/>
    </row>
    <row r="1588" spans="1:29" ht="12.75" customHeight="1" x14ac:dyDescent="0.2">
      <c r="A1588" s="2029">
        <v>211</v>
      </c>
      <c r="B1588" s="4995"/>
      <c r="C1588" s="65"/>
      <c r="D1588" s="68"/>
      <c r="E1588" s="594" t="s">
        <v>708</v>
      </c>
      <c r="F1588" s="601">
        <v>60</v>
      </c>
      <c r="G1588" s="593" t="s">
        <v>648</v>
      </c>
      <c r="H1588" s="413"/>
      <c r="I1588" s="2112"/>
      <c r="N1588" s="413"/>
      <c r="T1588" s="2028"/>
      <c r="AB1588" s="413"/>
      <c r="AC1588" s="2795"/>
    </row>
    <row r="1589" spans="1:29" ht="12.75" customHeight="1" x14ac:dyDescent="0.2">
      <c r="A1589" s="2029">
        <v>211</v>
      </c>
      <c r="B1589" s="4995"/>
      <c r="C1589" s="65"/>
      <c r="D1589" s="68"/>
      <c r="E1589" s="594" t="s">
        <v>709</v>
      </c>
      <c r="F1589" s="601">
        <v>60</v>
      </c>
      <c r="G1589" s="593" t="s">
        <v>648</v>
      </c>
      <c r="H1589" s="413"/>
      <c r="I1589" s="2112"/>
      <c r="N1589" s="413"/>
      <c r="T1589" s="2028"/>
      <c r="AB1589" s="413"/>
      <c r="AC1589" s="2795"/>
    </row>
    <row r="1590" spans="1:29" ht="12.75" customHeight="1" x14ac:dyDescent="0.2">
      <c r="A1590" s="2029">
        <v>211</v>
      </c>
      <c r="B1590" s="4995"/>
      <c r="C1590" s="65"/>
      <c r="D1590" s="68"/>
      <c r="E1590" s="594" t="s">
        <v>710</v>
      </c>
      <c r="F1590" s="601">
        <v>60</v>
      </c>
      <c r="G1590" s="593" t="s">
        <v>648</v>
      </c>
      <c r="H1590" s="413"/>
      <c r="I1590" s="2112"/>
      <c r="N1590" s="413"/>
      <c r="T1590" s="2028"/>
      <c r="AB1590" s="413"/>
      <c r="AC1590" s="2795"/>
    </row>
    <row r="1591" spans="1:29" ht="12.75" customHeight="1" x14ac:dyDescent="0.2">
      <c r="A1591" s="2029">
        <v>211</v>
      </c>
      <c r="B1591" s="4995"/>
      <c r="C1591" s="65"/>
      <c r="D1591" s="68"/>
      <c r="E1591" s="594" t="s">
        <v>711</v>
      </c>
      <c r="F1591" s="601">
        <v>60</v>
      </c>
      <c r="G1591" s="593" t="s">
        <v>648</v>
      </c>
      <c r="H1591" s="413"/>
      <c r="I1591" s="2112"/>
      <c r="N1591" s="413"/>
      <c r="T1591" s="2028"/>
      <c r="AB1591" s="413"/>
      <c r="AC1591" s="2795"/>
    </row>
    <row r="1592" spans="1:29" ht="12.75" customHeight="1" x14ac:dyDescent="0.2">
      <c r="A1592" s="2029">
        <v>211</v>
      </c>
      <c r="B1592" s="4995"/>
      <c r="C1592" s="65"/>
      <c r="D1592" s="68"/>
      <c r="E1592" s="594" t="s">
        <v>712</v>
      </c>
      <c r="F1592" s="601">
        <v>60</v>
      </c>
      <c r="G1592" s="593" t="s">
        <v>648</v>
      </c>
      <c r="H1592" s="413"/>
      <c r="I1592" s="2112"/>
      <c r="N1592" s="413"/>
      <c r="T1592" s="2028"/>
      <c r="AB1592" s="413"/>
      <c r="AC1592" s="2795"/>
    </row>
    <row r="1593" spans="1:29" ht="12.75" customHeight="1" x14ac:dyDescent="0.2">
      <c r="A1593" s="2029">
        <v>211</v>
      </c>
      <c r="B1593" s="4995"/>
      <c r="C1593" s="65"/>
      <c r="D1593" s="68"/>
      <c r="E1593" s="594" t="s">
        <v>713</v>
      </c>
      <c r="F1593" s="601">
        <v>60</v>
      </c>
      <c r="G1593" s="593" t="s">
        <v>648</v>
      </c>
      <c r="H1593" s="413"/>
      <c r="I1593" s="2112"/>
      <c r="N1593" s="413"/>
      <c r="T1593" s="2028"/>
      <c r="AB1593" s="413"/>
      <c r="AC1593" s="2795"/>
    </row>
    <row r="1594" spans="1:29" ht="12.75" customHeight="1" x14ac:dyDescent="0.2">
      <c r="A1594" s="2029">
        <v>211</v>
      </c>
      <c r="B1594" s="4995"/>
      <c r="C1594" s="65"/>
      <c r="D1594" s="68"/>
      <c r="E1594" s="594" t="s">
        <v>714</v>
      </c>
      <c r="F1594" s="601">
        <v>60</v>
      </c>
      <c r="G1594" s="593" t="s">
        <v>648</v>
      </c>
      <c r="H1594" s="413"/>
      <c r="I1594" s="2112"/>
      <c r="N1594" s="413"/>
      <c r="T1594" s="2028"/>
      <c r="AB1594" s="413"/>
      <c r="AC1594" s="2795"/>
    </row>
    <row r="1595" spans="1:29" ht="12.75" customHeight="1" x14ac:dyDescent="0.2">
      <c r="A1595" s="2029">
        <v>211</v>
      </c>
      <c r="B1595" s="4995"/>
      <c r="C1595" s="65"/>
      <c r="D1595" s="68"/>
      <c r="E1595" s="594" t="s">
        <v>715</v>
      </c>
      <c r="F1595" s="601">
        <v>60</v>
      </c>
      <c r="G1595" s="593" t="s">
        <v>648</v>
      </c>
      <c r="H1595" s="413"/>
      <c r="I1595" s="2112"/>
      <c r="N1595" s="413"/>
      <c r="T1595" s="2028"/>
      <c r="AB1595" s="413"/>
      <c r="AC1595" s="2795"/>
    </row>
    <row r="1596" spans="1:29" ht="12.75" customHeight="1" x14ac:dyDescent="0.2">
      <c r="A1596" s="2029">
        <v>211</v>
      </c>
      <c r="B1596" s="4995"/>
      <c r="C1596" s="65"/>
      <c r="D1596" s="68"/>
      <c r="E1596" s="594" t="s">
        <v>716</v>
      </c>
      <c r="F1596" s="601">
        <v>60</v>
      </c>
      <c r="G1596" s="593" t="s">
        <v>648</v>
      </c>
      <c r="H1596" s="413"/>
      <c r="I1596" s="2112"/>
      <c r="N1596" s="413"/>
      <c r="T1596" s="2028"/>
      <c r="AB1596" s="413"/>
      <c r="AC1596" s="2795"/>
    </row>
    <row r="1597" spans="1:29" ht="12.75" customHeight="1" x14ac:dyDescent="0.2">
      <c r="A1597" s="2029">
        <v>211</v>
      </c>
      <c r="B1597" s="4995"/>
      <c r="C1597" s="65"/>
      <c r="D1597" s="68"/>
      <c r="E1597" s="594" t="s">
        <v>717</v>
      </c>
      <c r="F1597" s="601">
        <v>60</v>
      </c>
      <c r="G1597" s="593" t="s">
        <v>648</v>
      </c>
      <c r="H1597" s="413"/>
      <c r="I1597" s="2112"/>
      <c r="N1597" s="413"/>
      <c r="T1597" s="2028"/>
      <c r="AB1597" s="413"/>
      <c r="AC1597" s="2795"/>
    </row>
    <row r="1598" spans="1:29" ht="12.75" customHeight="1" x14ac:dyDescent="0.2">
      <c r="A1598" s="2029">
        <v>211</v>
      </c>
      <c r="B1598" s="4995"/>
      <c r="C1598" s="65"/>
      <c r="D1598" s="68"/>
      <c r="E1598" s="594" t="s">
        <v>718</v>
      </c>
      <c r="F1598" s="601"/>
      <c r="G1598" s="593"/>
      <c r="H1598" s="413"/>
      <c r="I1598" s="2112"/>
      <c r="N1598" s="413"/>
      <c r="T1598" s="2028"/>
      <c r="AB1598" s="413"/>
      <c r="AC1598" s="2795"/>
    </row>
    <row r="1599" spans="1:29" ht="12.75" customHeight="1" x14ac:dyDescent="0.2">
      <c r="A1599" s="2029">
        <v>211</v>
      </c>
      <c r="B1599" s="4995"/>
      <c r="C1599" s="65"/>
      <c r="D1599" s="68"/>
      <c r="E1599" s="594" t="s">
        <v>719</v>
      </c>
      <c r="F1599" s="601">
        <v>70</v>
      </c>
      <c r="G1599" s="593" t="s">
        <v>648</v>
      </c>
      <c r="H1599" s="413"/>
      <c r="I1599" s="2112"/>
      <c r="N1599" s="413"/>
      <c r="T1599" s="2028"/>
      <c r="AB1599" s="413"/>
      <c r="AC1599" s="2795"/>
    </row>
    <row r="1600" spans="1:29" ht="12.75" customHeight="1" x14ac:dyDescent="0.2">
      <c r="A1600" s="2029">
        <v>211</v>
      </c>
      <c r="B1600" s="4995"/>
      <c r="C1600" s="65"/>
      <c r="D1600" s="68"/>
      <c r="E1600" s="594" t="s">
        <v>720</v>
      </c>
      <c r="F1600" s="601">
        <v>70</v>
      </c>
      <c r="G1600" s="593" t="s">
        <v>648</v>
      </c>
      <c r="H1600" s="413"/>
      <c r="I1600" s="2112"/>
      <c r="N1600" s="413"/>
      <c r="T1600" s="2028"/>
      <c r="AB1600" s="413"/>
      <c r="AC1600" s="2795"/>
    </row>
    <row r="1601" spans="1:29" ht="12.75" customHeight="1" x14ac:dyDescent="0.2">
      <c r="A1601" s="2029">
        <v>211</v>
      </c>
      <c r="B1601" s="4995"/>
      <c r="C1601" s="65"/>
      <c r="D1601" s="68"/>
      <c r="E1601" s="594" t="s">
        <v>721</v>
      </c>
      <c r="F1601" s="601">
        <v>70</v>
      </c>
      <c r="G1601" s="593" t="s">
        <v>648</v>
      </c>
      <c r="H1601" s="413"/>
      <c r="I1601" s="2112"/>
      <c r="N1601" s="413"/>
      <c r="T1601" s="2028"/>
      <c r="AB1601" s="413"/>
      <c r="AC1601" s="2795"/>
    </row>
    <row r="1602" spans="1:29" ht="12.75" customHeight="1" x14ac:dyDescent="0.2">
      <c r="A1602" s="2029">
        <v>211</v>
      </c>
      <c r="B1602" s="4995"/>
      <c r="C1602" s="65"/>
      <c r="D1602" s="68"/>
      <c r="E1602" s="594" t="s">
        <v>722</v>
      </c>
      <c r="F1602" s="601">
        <v>70</v>
      </c>
      <c r="G1602" s="593" t="s">
        <v>648</v>
      </c>
      <c r="H1602" s="413"/>
      <c r="I1602" s="2112"/>
      <c r="N1602" s="413"/>
      <c r="T1602" s="2028"/>
      <c r="AB1602" s="413"/>
      <c r="AC1602" s="2795"/>
    </row>
    <row r="1603" spans="1:29" ht="12.75" customHeight="1" x14ac:dyDescent="0.2">
      <c r="A1603" s="2029">
        <v>211</v>
      </c>
      <c r="B1603" s="4995"/>
      <c r="C1603" s="65"/>
      <c r="D1603" s="68"/>
      <c r="E1603" s="594" t="s">
        <v>723</v>
      </c>
      <c r="F1603" s="601">
        <v>70</v>
      </c>
      <c r="G1603" s="593" t="s">
        <v>648</v>
      </c>
      <c r="H1603" s="413"/>
      <c r="I1603" s="2112"/>
      <c r="N1603" s="413"/>
      <c r="T1603" s="2028"/>
      <c r="AB1603" s="413"/>
      <c r="AC1603" s="2795"/>
    </row>
    <row r="1604" spans="1:29" ht="12.75" customHeight="1" x14ac:dyDescent="0.2">
      <c r="A1604" s="2029">
        <v>211</v>
      </c>
      <c r="B1604" s="4995"/>
      <c r="C1604" s="65"/>
      <c r="D1604" s="68"/>
      <c r="E1604" s="594" t="s">
        <v>724</v>
      </c>
      <c r="F1604" s="601">
        <v>70</v>
      </c>
      <c r="G1604" s="593" t="s">
        <v>648</v>
      </c>
      <c r="H1604" s="413"/>
      <c r="I1604" s="2112"/>
      <c r="N1604" s="413"/>
      <c r="T1604" s="2028"/>
      <c r="AB1604" s="413"/>
      <c r="AC1604" s="2795"/>
    </row>
    <row r="1605" spans="1:29" ht="12.75" customHeight="1" x14ac:dyDescent="0.2">
      <c r="A1605" s="2029">
        <v>211</v>
      </c>
      <c r="B1605" s="4995"/>
      <c r="C1605" s="65"/>
      <c r="D1605" s="68"/>
      <c r="E1605" s="594" t="s">
        <v>725</v>
      </c>
      <c r="F1605" s="601">
        <v>70</v>
      </c>
      <c r="G1605" s="593" t="s">
        <v>648</v>
      </c>
      <c r="H1605" s="413"/>
      <c r="I1605" s="2112"/>
      <c r="N1605" s="413"/>
      <c r="T1605" s="2028"/>
      <c r="AB1605" s="413"/>
      <c r="AC1605" s="2795"/>
    </row>
    <row r="1606" spans="1:29" ht="12.75" customHeight="1" x14ac:dyDescent="0.2">
      <c r="A1606" s="2029">
        <v>211</v>
      </c>
      <c r="B1606" s="4995"/>
      <c r="C1606" s="65"/>
      <c r="D1606" s="68"/>
      <c r="E1606" s="594" t="s">
        <v>726</v>
      </c>
      <c r="F1606" s="601">
        <v>70</v>
      </c>
      <c r="G1606" s="593" t="s">
        <v>648</v>
      </c>
      <c r="H1606" s="413"/>
      <c r="I1606" s="2112"/>
      <c r="N1606" s="413"/>
      <c r="T1606" s="2028"/>
      <c r="AB1606" s="413"/>
      <c r="AC1606" s="2795"/>
    </row>
    <row r="1607" spans="1:29" ht="12.75" customHeight="1" x14ac:dyDescent="0.2">
      <c r="A1607" s="2029">
        <v>211</v>
      </c>
      <c r="B1607" s="4995"/>
      <c r="C1607" s="65"/>
      <c r="D1607" s="68"/>
      <c r="E1607" s="594" t="s">
        <v>727</v>
      </c>
      <c r="F1607" s="601">
        <v>70</v>
      </c>
      <c r="G1607" s="593" t="s">
        <v>648</v>
      </c>
      <c r="H1607" s="413"/>
      <c r="I1607" s="2112"/>
      <c r="N1607" s="413"/>
      <c r="T1607" s="2028"/>
      <c r="AB1607" s="413"/>
      <c r="AC1607" s="2795"/>
    </row>
    <row r="1608" spans="1:29" ht="12.75" customHeight="1" x14ac:dyDescent="0.2">
      <c r="A1608" s="2029">
        <v>211</v>
      </c>
      <c r="B1608" s="4995"/>
      <c r="C1608" s="65"/>
      <c r="D1608" s="68"/>
      <c r="E1608" s="594" t="s">
        <v>2277</v>
      </c>
      <c r="F1608" s="601">
        <v>70</v>
      </c>
      <c r="G1608" s="593" t="s">
        <v>648</v>
      </c>
      <c r="H1608" s="413"/>
      <c r="I1608" s="2112"/>
      <c r="N1608" s="413"/>
      <c r="T1608" s="2028"/>
      <c r="AB1608" s="413"/>
      <c r="AC1608" s="2795"/>
    </row>
    <row r="1609" spans="1:29" ht="12.75" customHeight="1" x14ac:dyDescent="0.2">
      <c r="A1609" s="2029">
        <v>211</v>
      </c>
      <c r="B1609" s="4995"/>
      <c r="C1609" s="65"/>
      <c r="D1609" s="68"/>
      <c r="E1609" s="594" t="s">
        <v>728</v>
      </c>
      <c r="F1609" s="601">
        <v>70</v>
      </c>
      <c r="G1609" s="593" t="s">
        <v>648</v>
      </c>
      <c r="H1609" s="413"/>
      <c r="I1609" s="2112"/>
      <c r="N1609" s="413"/>
      <c r="T1609" s="2028"/>
      <c r="AB1609" s="413"/>
      <c r="AC1609" s="2795"/>
    </row>
    <row r="1610" spans="1:29" ht="12.75" customHeight="1" x14ac:dyDescent="0.2">
      <c r="A1610" s="2029">
        <v>211</v>
      </c>
      <c r="B1610" s="4995"/>
      <c r="C1610" s="65"/>
      <c r="D1610" s="68"/>
      <c r="E1610" s="594" t="s">
        <v>729</v>
      </c>
      <c r="F1610" s="601">
        <v>70</v>
      </c>
      <c r="G1610" s="593" t="s">
        <v>648</v>
      </c>
      <c r="H1610" s="413"/>
      <c r="I1610" s="2112"/>
      <c r="N1610" s="413"/>
      <c r="T1610" s="2028"/>
      <c r="AB1610" s="413"/>
      <c r="AC1610" s="2795"/>
    </row>
    <row r="1611" spans="1:29" ht="12.75" customHeight="1" x14ac:dyDescent="0.2">
      <c r="A1611" s="2029">
        <v>211</v>
      </c>
      <c r="B1611" s="4995"/>
      <c r="C1611" s="65"/>
      <c r="D1611" s="68"/>
      <c r="E1611" s="594" t="s">
        <v>730</v>
      </c>
      <c r="F1611" s="601"/>
      <c r="G1611" s="593"/>
      <c r="H1611" s="413"/>
      <c r="I1611" s="2112"/>
      <c r="N1611" s="413"/>
      <c r="T1611" s="2028"/>
      <c r="AB1611" s="413"/>
      <c r="AC1611" s="2795"/>
    </row>
    <row r="1612" spans="1:29" ht="12.75" customHeight="1" x14ac:dyDescent="0.2">
      <c r="A1612" s="2029">
        <v>211</v>
      </c>
      <c r="B1612" s="4995"/>
      <c r="C1612" s="65"/>
      <c r="D1612" s="68"/>
      <c r="E1612" s="594" t="s">
        <v>731</v>
      </c>
      <c r="F1612" s="601">
        <v>80</v>
      </c>
      <c r="G1612" s="593" t="s">
        <v>648</v>
      </c>
      <c r="H1612" s="413"/>
      <c r="I1612" s="2112"/>
      <c r="N1612" s="413"/>
      <c r="T1612" s="2028"/>
      <c r="AB1612" s="413"/>
      <c r="AC1612" s="2795"/>
    </row>
    <row r="1613" spans="1:29" ht="12.75" customHeight="1" x14ac:dyDescent="0.2">
      <c r="A1613" s="2029">
        <v>211</v>
      </c>
      <c r="B1613" s="4995"/>
      <c r="C1613" s="65"/>
      <c r="D1613" s="68"/>
      <c r="E1613" s="594" t="s">
        <v>732</v>
      </c>
      <c r="F1613" s="601">
        <v>80</v>
      </c>
      <c r="G1613" s="593" t="s">
        <v>648</v>
      </c>
      <c r="H1613" s="413"/>
      <c r="I1613" s="2112"/>
      <c r="N1613" s="413"/>
      <c r="T1613" s="2028"/>
      <c r="AB1613" s="413"/>
      <c r="AC1613" s="2795"/>
    </row>
    <row r="1614" spans="1:29" ht="12.75" customHeight="1" x14ac:dyDescent="0.2">
      <c r="A1614" s="2029">
        <v>211</v>
      </c>
      <c r="B1614" s="4995"/>
      <c r="C1614" s="65"/>
      <c r="D1614" s="68"/>
      <c r="E1614" s="594" t="s">
        <v>733</v>
      </c>
      <c r="F1614" s="601">
        <v>80</v>
      </c>
      <c r="G1614" s="593" t="s">
        <v>648</v>
      </c>
      <c r="H1614" s="413"/>
      <c r="I1614" s="2112"/>
      <c r="N1614" s="413"/>
      <c r="T1614" s="2028"/>
      <c r="AB1614" s="413"/>
      <c r="AC1614" s="2795"/>
    </row>
    <row r="1615" spans="1:29" ht="12.75" customHeight="1" x14ac:dyDescent="0.2">
      <c r="A1615" s="2029">
        <v>211</v>
      </c>
      <c r="B1615" s="4995"/>
      <c r="C1615" s="65"/>
      <c r="D1615" s="68"/>
      <c r="E1615" s="594" t="s">
        <v>734</v>
      </c>
      <c r="F1615" s="601">
        <v>80</v>
      </c>
      <c r="G1615" s="593" t="s">
        <v>648</v>
      </c>
      <c r="H1615" s="413"/>
      <c r="I1615" s="2112"/>
      <c r="N1615" s="413"/>
      <c r="T1615" s="2028"/>
      <c r="AB1615" s="413"/>
      <c r="AC1615" s="2795"/>
    </row>
    <row r="1616" spans="1:29" ht="12.75" customHeight="1" x14ac:dyDescent="0.2">
      <c r="A1616" s="2029">
        <v>211</v>
      </c>
      <c r="B1616" s="4995"/>
      <c r="C1616" s="65"/>
      <c r="D1616" s="68"/>
      <c r="E1616" s="594" t="s">
        <v>3</v>
      </c>
      <c r="F1616" s="601">
        <v>80</v>
      </c>
      <c r="G1616" s="593" t="s">
        <v>648</v>
      </c>
      <c r="H1616" s="413"/>
      <c r="I1616" s="2112"/>
      <c r="N1616" s="413"/>
      <c r="T1616" s="2028"/>
      <c r="AB1616" s="413"/>
      <c r="AC1616" s="2795"/>
    </row>
    <row r="1617" spans="1:29" ht="12.75" customHeight="1" x14ac:dyDescent="0.2">
      <c r="A1617" s="2029">
        <v>211</v>
      </c>
      <c r="B1617" s="4995"/>
      <c r="C1617" s="65"/>
      <c r="D1617" s="68"/>
      <c r="E1617" s="594" t="s">
        <v>735</v>
      </c>
      <c r="F1617" s="601">
        <v>80</v>
      </c>
      <c r="G1617" s="593" t="s">
        <v>648</v>
      </c>
      <c r="H1617" s="413"/>
      <c r="I1617" s="2112"/>
      <c r="N1617" s="413"/>
      <c r="T1617" s="2028"/>
      <c r="AB1617" s="413"/>
      <c r="AC1617" s="2795"/>
    </row>
    <row r="1618" spans="1:29" ht="12.75" customHeight="1" x14ac:dyDescent="0.2">
      <c r="A1618" s="2029">
        <v>211</v>
      </c>
      <c r="B1618" s="4995"/>
      <c r="C1618" s="65"/>
      <c r="D1618" s="68"/>
      <c r="E1618" s="594" t="s">
        <v>6857</v>
      </c>
      <c r="F1618" s="601">
        <v>80</v>
      </c>
      <c r="G1618" s="593" t="s">
        <v>648</v>
      </c>
      <c r="H1618" s="413"/>
      <c r="I1618" s="2112"/>
      <c r="N1618" s="413"/>
      <c r="T1618" s="2028"/>
      <c r="AB1618" s="413"/>
      <c r="AC1618" s="2795"/>
    </row>
    <row r="1619" spans="1:29" ht="12.75" customHeight="1" x14ac:dyDescent="0.2">
      <c r="A1619" s="2029">
        <v>211</v>
      </c>
      <c r="B1619" s="4995"/>
      <c r="C1619" s="65"/>
      <c r="D1619" s="68"/>
      <c r="E1619" s="594" t="s">
        <v>1955</v>
      </c>
      <c r="F1619" s="601">
        <v>80</v>
      </c>
      <c r="G1619" s="593" t="s">
        <v>648</v>
      </c>
      <c r="H1619" s="413"/>
      <c r="I1619" s="2112"/>
      <c r="N1619" s="413"/>
      <c r="T1619" s="2028"/>
      <c r="AB1619" s="413"/>
      <c r="AC1619" s="2795"/>
    </row>
    <row r="1620" spans="1:29" ht="12.75" customHeight="1" x14ac:dyDescent="0.2">
      <c r="A1620" s="2029">
        <v>211</v>
      </c>
      <c r="B1620" s="4995"/>
      <c r="C1620" s="65"/>
      <c r="D1620" s="68"/>
      <c r="E1620" s="594" t="s">
        <v>2091</v>
      </c>
      <c r="F1620" s="601">
        <v>80</v>
      </c>
      <c r="G1620" s="593" t="s">
        <v>648</v>
      </c>
      <c r="H1620" s="413"/>
      <c r="I1620" s="2112"/>
      <c r="N1620" s="413"/>
      <c r="T1620" s="2028"/>
      <c r="AB1620" s="413"/>
      <c r="AC1620" s="2795"/>
    </row>
    <row r="1621" spans="1:29" ht="12.75" customHeight="1" x14ac:dyDescent="0.2">
      <c r="A1621" s="2029">
        <v>211</v>
      </c>
      <c r="B1621" s="4995"/>
      <c r="C1621" s="65"/>
      <c r="D1621" s="68"/>
      <c r="E1621" s="594" t="s">
        <v>2088</v>
      </c>
      <c r="F1621" s="601">
        <v>80</v>
      </c>
      <c r="G1621" s="593" t="s">
        <v>648</v>
      </c>
      <c r="H1621" s="413"/>
      <c r="I1621" s="2112"/>
      <c r="N1621" s="413"/>
      <c r="T1621" s="2028"/>
      <c r="AB1621" s="413"/>
      <c r="AC1621" s="2795"/>
    </row>
    <row r="1622" spans="1:29" ht="12.75" customHeight="1" x14ac:dyDescent="0.2">
      <c r="A1622" s="2029">
        <v>211</v>
      </c>
      <c r="B1622" s="4995"/>
      <c r="C1622" s="65"/>
      <c r="D1622" s="68"/>
      <c r="E1622" s="594" t="s">
        <v>736</v>
      </c>
      <c r="F1622" s="601">
        <v>80</v>
      </c>
      <c r="G1622" s="593" t="s">
        <v>648</v>
      </c>
      <c r="H1622" s="413"/>
      <c r="I1622" s="2112"/>
      <c r="N1622" s="413"/>
      <c r="T1622" s="2028"/>
      <c r="AB1622" s="413"/>
      <c r="AC1622" s="2795"/>
    </row>
    <row r="1623" spans="1:29" ht="12.75" customHeight="1" x14ac:dyDescent="0.2">
      <c r="A1623" s="2029">
        <v>211</v>
      </c>
      <c r="B1623" s="4995"/>
      <c r="C1623" s="65"/>
      <c r="D1623" s="68"/>
      <c r="E1623" s="594" t="s">
        <v>737</v>
      </c>
      <c r="F1623" s="601">
        <v>80</v>
      </c>
      <c r="G1623" s="593" t="s">
        <v>648</v>
      </c>
      <c r="H1623" s="413"/>
      <c r="I1623" s="2112"/>
      <c r="N1623" s="413"/>
      <c r="T1623" s="2028"/>
      <c r="AB1623" s="413"/>
      <c r="AC1623" s="2795"/>
    </row>
    <row r="1624" spans="1:29" ht="12.75" customHeight="1" x14ac:dyDescent="0.2">
      <c r="A1624" s="2029">
        <v>211</v>
      </c>
      <c r="B1624" s="4995"/>
      <c r="C1624" s="65"/>
      <c r="D1624" s="68"/>
      <c r="E1624" s="594" t="s">
        <v>738</v>
      </c>
      <c r="F1624" s="601"/>
      <c r="G1624" s="593"/>
      <c r="H1624" s="413"/>
      <c r="I1624" s="2112"/>
      <c r="N1624" s="413"/>
      <c r="T1624" s="2028"/>
      <c r="AB1624" s="413"/>
      <c r="AC1624" s="2795"/>
    </row>
    <row r="1625" spans="1:29" ht="12.75" customHeight="1" x14ac:dyDescent="0.2">
      <c r="A1625" s="2029">
        <v>211</v>
      </c>
      <c r="B1625" s="4995"/>
      <c r="C1625" s="65"/>
      <c r="D1625" s="68"/>
      <c r="E1625" s="594" t="s">
        <v>739</v>
      </c>
      <c r="F1625" s="601">
        <v>90</v>
      </c>
      <c r="G1625" s="593" t="s">
        <v>648</v>
      </c>
      <c r="H1625" s="413"/>
      <c r="I1625" s="2112"/>
      <c r="N1625" s="413"/>
      <c r="T1625" s="2028"/>
      <c r="AB1625" s="413"/>
      <c r="AC1625" s="2795"/>
    </row>
    <row r="1626" spans="1:29" ht="12.75" customHeight="1" x14ac:dyDescent="0.2">
      <c r="A1626" s="2029">
        <v>211</v>
      </c>
      <c r="B1626" s="4995"/>
      <c r="C1626" s="65"/>
      <c r="D1626" s="68"/>
      <c r="E1626" s="594" t="s">
        <v>1633</v>
      </c>
      <c r="F1626" s="601">
        <v>90</v>
      </c>
      <c r="G1626" s="593" t="s">
        <v>648</v>
      </c>
      <c r="H1626" s="413"/>
      <c r="I1626" s="2112"/>
      <c r="N1626" s="413"/>
      <c r="T1626" s="2028"/>
      <c r="AB1626" s="413"/>
      <c r="AC1626" s="2795"/>
    </row>
    <row r="1627" spans="1:29" ht="12.75" customHeight="1" x14ac:dyDescent="0.2">
      <c r="A1627" s="2029">
        <v>211</v>
      </c>
      <c r="B1627" s="4995"/>
      <c r="C1627" s="65"/>
      <c r="D1627" s="68"/>
      <c r="E1627" s="594" t="s">
        <v>740</v>
      </c>
      <c r="F1627" s="601">
        <v>90</v>
      </c>
      <c r="G1627" s="593" t="s">
        <v>648</v>
      </c>
      <c r="H1627" s="413"/>
      <c r="I1627" s="2112"/>
      <c r="N1627" s="413"/>
      <c r="T1627" s="2028"/>
      <c r="AB1627" s="413"/>
      <c r="AC1627" s="2795"/>
    </row>
    <row r="1628" spans="1:29" ht="12.75" customHeight="1" x14ac:dyDescent="0.2">
      <c r="A1628" s="2029">
        <v>211</v>
      </c>
      <c r="B1628" s="4995"/>
      <c r="C1628" s="65"/>
      <c r="D1628" s="68"/>
      <c r="E1628" s="594" t="s">
        <v>741</v>
      </c>
      <c r="F1628" s="601">
        <v>90</v>
      </c>
      <c r="G1628" s="593" t="s">
        <v>648</v>
      </c>
      <c r="H1628" s="413"/>
      <c r="I1628" s="2112"/>
      <c r="N1628" s="413"/>
      <c r="T1628" s="2028"/>
      <c r="AB1628" s="413"/>
      <c r="AC1628" s="2795"/>
    </row>
    <row r="1629" spans="1:29" ht="12.75" customHeight="1" x14ac:dyDescent="0.2">
      <c r="A1629" s="2029">
        <v>211</v>
      </c>
      <c r="B1629" s="4995"/>
      <c r="C1629" s="65"/>
      <c r="D1629" s="68"/>
      <c r="E1629" s="594" t="s">
        <v>742</v>
      </c>
      <c r="F1629" s="601">
        <v>90</v>
      </c>
      <c r="G1629" s="593" t="s">
        <v>648</v>
      </c>
      <c r="H1629" s="413"/>
      <c r="I1629" s="2112"/>
      <c r="N1629" s="413"/>
      <c r="T1629" s="2028"/>
      <c r="AB1629" s="413"/>
      <c r="AC1629" s="2795"/>
    </row>
    <row r="1630" spans="1:29" ht="12.75" customHeight="1" x14ac:dyDescent="0.2">
      <c r="A1630" s="2029">
        <v>211</v>
      </c>
      <c r="B1630" s="4995"/>
      <c r="C1630" s="65"/>
      <c r="D1630" s="68"/>
      <c r="E1630" s="594" t="s">
        <v>743</v>
      </c>
      <c r="F1630" s="601">
        <v>90</v>
      </c>
      <c r="G1630" s="593" t="s">
        <v>648</v>
      </c>
      <c r="H1630" s="413"/>
      <c r="I1630" s="2112"/>
      <c r="N1630" s="413"/>
      <c r="T1630" s="2028"/>
      <c r="AB1630" s="413"/>
      <c r="AC1630" s="2795"/>
    </row>
    <row r="1631" spans="1:29" ht="12.75" customHeight="1" x14ac:dyDescent="0.2">
      <c r="A1631" s="2029">
        <v>211</v>
      </c>
      <c r="B1631" s="4995"/>
      <c r="C1631" s="65"/>
      <c r="D1631" s="68"/>
      <c r="E1631" s="594" t="s">
        <v>744</v>
      </c>
      <c r="F1631" s="601">
        <v>90</v>
      </c>
      <c r="G1631" s="593" t="s">
        <v>648</v>
      </c>
      <c r="H1631" s="413"/>
      <c r="I1631" s="2112"/>
      <c r="N1631" s="413"/>
      <c r="T1631" s="2028"/>
      <c r="AB1631" s="413"/>
      <c r="AC1631" s="2795"/>
    </row>
    <row r="1632" spans="1:29" ht="12.75" customHeight="1" x14ac:dyDescent="0.2">
      <c r="A1632" s="2029">
        <v>211</v>
      </c>
      <c r="B1632" s="4995"/>
      <c r="C1632" s="65"/>
      <c r="D1632" s="68"/>
      <c r="E1632" s="594" t="s">
        <v>745</v>
      </c>
      <c r="F1632" s="601">
        <v>90</v>
      </c>
      <c r="G1632" s="593" t="s">
        <v>648</v>
      </c>
      <c r="H1632" s="413"/>
      <c r="I1632" s="2112"/>
      <c r="N1632" s="413"/>
      <c r="T1632" s="2028"/>
      <c r="AB1632" s="413"/>
      <c r="AC1632" s="2795"/>
    </row>
    <row r="1633" spans="1:29" ht="12.75" customHeight="1" x14ac:dyDescent="0.2">
      <c r="A1633" s="2029">
        <v>211</v>
      </c>
      <c r="B1633" s="4995"/>
      <c r="C1633" s="65"/>
      <c r="D1633" s="68"/>
      <c r="E1633" s="594" t="s">
        <v>746</v>
      </c>
      <c r="F1633" s="601">
        <v>90</v>
      </c>
      <c r="G1633" s="593" t="s">
        <v>648</v>
      </c>
      <c r="H1633" s="413"/>
      <c r="I1633" s="2112"/>
      <c r="N1633" s="413"/>
      <c r="T1633" s="2028"/>
      <c r="AB1633" s="413"/>
      <c r="AC1633" s="2795"/>
    </row>
    <row r="1634" spans="1:29" ht="12.75" customHeight="1" x14ac:dyDescent="0.2">
      <c r="A1634" s="2029">
        <v>211</v>
      </c>
      <c r="B1634" s="4995"/>
      <c r="C1634" s="65"/>
      <c r="D1634" s="68"/>
      <c r="E1634" s="594" t="s">
        <v>747</v>
      </c>
      <c r="F1634" s="601">
        <v>90</v>
      </c>
      <c r="G1634" s="593" t="s">
        <v>648</v>
      </c>
      <c r="H1634" s="413"/>
      <c r="I1634" s="2112"/>
      <c r="N1634" s="413"/>
      <c r="T1634" s="2028"/>
      <c r="AB1634" s="413"/>
      <c r="AC1634" s="2795"/>
    </row>
    <row r="1635" spans="1:29" ht="12.75" customHeight="1" x14ac:dyDescent="0.2">
      <c r="A1635" s="2029">
        <v>211</v>
      </c>
      <c r="B1635" s="4995"/>
      <c r="C1635" s="65"/>
      <c r="D1635" s="68"/>
      <c r="E1635" s="594" t="s">
        <v>116</v>
      </c>
      <c r="F1635" s="601">
        <v>90</v>
      </c>
      <c r="G1635" s="593" t="s">
        <v>648</v>
      </c>
      <c r="H1635" s="413"/>
      <c r="I1635" s="2112"/>
      <c r="N1635" s="413"/>
      <c r="T1635" s="2028"/>
      <c r="AB1635" s="413"/>
      <c r="AC1635" s="2795"/>
    </row>
    <row r="1636" spans="1:29" ht="12.75" customHeight="1" x14ac:dyDescent="0.2">
      <c r="A1636" s="2029">
        <v>211</v>
      </c>
      <c r="B1636" s="4995"/>
      <c r="C1636" s="65"/>
      <c r="D1636" s="68"/>
      <c r="E1636" s="594" t="s">
        <v>748</v>
      </c>
      <c r="F1636" s="601">
        <v>90</v>
      </c>
      <c r="G1636" s="593" t="s">
        <v>648</v>
      </c>
      <c r="H1636" s="413"/>
      <c r="I1636" s="2112"/>
      <c r="N1636" s="413"/>
      <c r="T1636" s="2028"/>
      <c r="AB1636" s="413"/>
      <c r="AC1636" s="2795"/>
    </row>
    <row r="1637" spans="1:29" ht="12.75" customHeight="1" x14ac:dyDescent="0.2">
      <c r="A1637" s="2029">
        <v>211</v>
      </c>
      <c r="B1637" s="4995"/>
      <c r="C1637" s="65"/>
      <c r="D1637" s="68"/>
      <c r="E1637" s="594" t="s">
        <v>749</v>
      </c>
      <c r="F1637" s="601"/>
      <c r="G1637" s="593"/>
      <c r="H1637" s="413"/>
      <c r="I1637" s="2112"/>
      <c r="N1637" s="413"/>
      <c r="T1637" s="2028"/>
      <c r="AB1637" s="413"/>
      <c r="AC1637" s="2795"/>
    </row>
    <row r="1638" spans="1:29" ht="12.75" customHeight="1" x14ac:dyDescent="0.2">
      <c r="A1638" s="2029">
        <v>211</v>
      </c>
      <c r="B1638" s="4995"/>
      <c r="C1638" s="65"/>
      <c r="D1638" s="68"/>
      <c r="E1638" s="594" t="s">
        <v>750</v>
      </c>
      <c r="F1638" s="601">
        <v>100</v>
      </c>
      <c r="G1638" s="593" t="s">
        <v>648</v>
      </c>
      <c r="H1638" s="413"/>
      <c r="I1638" s="2112"/>
      <c r="N1638" s="413"/>
      <c r="T1638" s="2028"/>
      <c r="AB1638" s="413"/>
      <c r="AC1638" s="2795"/>
    </row>
    <row r="1639" spans="1:29" ht="12.75" customHeight="1" x14ac:dyDescent="0.2">
      <c r="A1639" s="2029">
        <v>211</v>
      </c>
      <c r="B1639" s="4995"/>
      <c r="C1639" s="65"/>
      <c r="D1639" s="68"/>
      <c r="E1639" s="594" t="s">
        <v>751</v>
      </c>
      <c r="F1639" s="601">
        <v>100</v>
      </c>
      <c r="G1639" s="593" t="s">
        <v>648</v>
      </c>
      <c r="H1639" s="413"/>
      <c r="I1639" s="2112"/>
      <c r="N1639" s="413"/>
      <c r="T1639" s="2028"/>
      <c r="AB1639" s="413"/>
      <c r="AC1639" s="2795"/>
    </row>
    <row r="1640" spans="1:29" ht="12.75" customHeight="1" x14ac:dyDescent="0.2">
      <c r="A1640" s="2029">
        <v>211</v>
      </c>
      <c r="B1640" s="4995"/>
      <c r="C1640" s="65"/>
      <c r="D1640" s="68"/>
      <c r="E1640" s="594" t="s">
        <v>752</v>
      </c>
      <c r="F1640" s="601">
        <v>100</v>
      </c>
      <c r="G1640" s="593" t="s">
        <v>648</v>
      </c>
      <c r="H1640" s="413"/>
      <c r="I1640" s="2112"/>
      <c r="N1640" s="413"/>
      <c r="T1640" s="2028"/>
      <c r="AB1640" s="413"/>
      <c r="AC1640" s="2795"/>
    </row>
    <row r="1641" spans="1:29" ht="12.75" customHeight="1" x14ac:dyDescent="0.2">
      <c r="A1641" s="2029">
        <v>211</v>
      </c>
      <c r="B1641" s="4995"/>
      <c r="C1641" s="65"/>
      <c r="D1641" s="68"/>
      <c r="E1641" s="594" t="s">
        <v>753</v>
      </c>
      <c r="F1641" s="601">
        <v>100</v>
      </c>
      <c r="G1641" s="593" t="s">
        <v>648</v>
      </c>
      <c r="H1641" s="413"/>
      <c r="I1641" s="2112"/>
      <c r="N1641" s="413"/>
      <c r="T1641" s="2028"/>
      <c r="AB1641" s="413"/>
      <c r="AC1641" s="2795"/>
    </row>
    <row r="1642" spans="1:29" ht="12.75" customHeight="1" x14ac:dyDescent="0.2">
      <c r="A1642" s="2029">
        <v>211</v>
      </c>
      <c r="B1642" s="4995"/>
      <c r="C1642" s="65"/>
      <c r="D1642" s="68"/>
      <c r="E1642" s="594" t="s">
        <v>754</v>
      </c>
      <c r="F1642" s="601">
        <v>100</v>
      </c>
      <c r="G1642" s="593" t="s">
        <v>648</v>
      </c>
      <c r="H1642" s="413"/>
      <c r="I1642" s="2112"/>
      <c r="N1642" s="413"/>
      <c r="T1642" s="2028"/>
      <c r="AB1642" s="413"/>
      <c r="AC1642" s="2795"/>
    </row>
    <row r="1643" spans="1:29" ht="12.75" customHeight="1" x14ac:dyDescent="0.2">
      <c r="A1643" s="2029">
        <v>211</v>
      </c>
      <c r="B1643" s="4995"/>
      <c r="C1643" s="65"/>
      <c r="D1643" s="68"/>
      <c r="E1643" s="594" t="s">
        <v>755</v>
      </c>
      <c r="F1643" s="601">
        <v>100</v>
      </c>
      <c r="G1643" s="593" t="s">
        <v>648</v>
      </c>
      <c r="H1643" s="413"/>
      <c r="I1643" s="2112"/>
      <c r="N1643" s="413"/>
      <c r="T1643" s="2028"/>
      <c r="AB1643" s="413"/>
      <c r="AC1643" s="2795"/>
    </row>
    <row r="1644" spans="1:29" ht="12.75" customHeight="1" x14ac:dyDescent="0.2">
      <c r="A1644" s="2029">
        <v>211</v>
      </c>
      <c r="B1644" s="4995"/>
      <c r="C1644" s="65"/>
      <c r="D1644" s="68"/>
      <c r="E1644" s="594" t="s">
        <v>756</v>
      </c>
      <c r="F1644" s="601">
        <v>100</v>
      </c>
      <c r="G1644" s="593" t="s">
        <v>648</v>
      </c>
      <c r="H1644" s="413"/>
      <c r="I1644" s="2112"/>
      <c r="N1644" s="413"/>
      <c r="T1644" s="2028"/>
      <c r="AB1644" s="413"/>
      <c r="AC1644" s="2795"/>
    </row>
    <row r="1645" spans="1:29" ht="12.75" customHeight="1" x14ac:dyDescent="0.2">
      <c r="A1645" s="2029">
        <v>211</v>
      </c>
      <c r="B1645" s="4995"/>
      <c r="C1645" s="65"/>
      <c r="D1645" s="68"/>
      <c r="E1645" s="594" t="s">
        <v>757</v>
      </c>
      <c r="F1645" s="601">
        <v>100</v>
      </c>
      <c r="G1645" s="593" t="s">
        <v>648</v>
      </c>
      <c r="H1645" s="413"/>
      <c r="I1645" s="2112"/>
      <c r="N1645" s="413"/>
      <c r="T1645" s="2028"/>
      <c r="AB1645" s="413"/>
      <c r="AC1645" s="2795"/>
    </row>
    <row r="1646" spans="1:29" ht="12.75" customHeight="1" x14ac:dyDescent="0.2">
      <c r="A1646" s="2029">
        <v>211</v>
      </c>
      <c r="B1646" s="4995"/>
      <c r="C1646" s="65"/>
      <c r="D1646" s="68"/>
      <c r="E1646" s="594" t="s">
        <v>758</v>
      </c>
      <c r="F1646" s="601">
        <v>100</v>
      </c>
      <c r="G1646" s="593" t="s">
        <v>648</v>
      </c>
      <c r="H1646" s="413"/>
      <c r="I1646" s="2112"/>
      <c r="N1646" s="413"/>
      <c r="T1646" s="2028"/>
      <c r="AB1646" s="413"/>
      <c r="AC1646" s="2795"/>
    </row>
    <row r="1647" spans="1:29" ht="12.75" customHeight="1" x14ac:dyDescent="0.2">
      <c r="A1647" s="2029">
        <v>211</v>
      </c>
      <c r="B1647" s="4995"/>
      <c r="C1647" s="65"/>
      <c r="D1647" s="68"/>
      <c r="E1647" s="594" t="s">
        <v>759</v>
      </c>
      <c r="F1647" s="601">
        <v>100</v>
      </c>
      <c r="G1647" s="593" t="s">
        <v>648</v>
      </c>
      <c r="H1647" s="413"/>
      <c r="I1647" s="2112"/>
      <c r="N1647" s="413"/>
      <c r="T1647" s="2028"/>
      <c r="AB1647" s="413"/>
      <c r="AC1647" s="2795"/>
    </row>
    <row r="1648" spans="1:29" ht="12.75" customHeight="1" x14ac:dyDescent="0.2">
      <c r="A1648" s="2029">
        <v>211</v>
      </c>
      <c r="B1648" s="4995"/>
      <c r="C1648" s="65"/>
      <c r="D1648" s="68"/>
      <c r="E1648" s="594" t="s">
        <v>760</v>
      </c>
      <c r="F1648" s="601">
        <v>100</v>
      </c>
      <c r="G1648" s="593" t="s">
        <v>648</v>
      </c>
      <c r="H1648" s="413"/>
      <c r="I1648" s="2112"/>
      <c r="N1648" s="413"/>
      <c r="T1648" s="2028"/>
      <c r="AB1648" s="413"/>
      <c r="AC1648" s="2795"/>
    </row>
    <row r="1649" spans="1:29" ht="12.75" customHeight="1" x14ac:dyDescent="0.2">
      <c r="A1649" s="2029">
        <v>211</v>
      </c>
      <c r="B1649" s="4995"/>
      <c r="C1649" s="65"/>
      <c r="D1649" s="68"/>
      <c r="E1649" s="594" t="s">
        <v>761</v>
      </c>
      <c r="F1649" s="601">
        <v>100</v>
      </c>
      <c r="G1649" s="593" t="s">
        <v>648</v>
      </c>
      <c r="H1649" s="413"/>
      <c r="I1649" s="2112"/>
      <c r="N1649" s="413"/>
      <c r="T1649" s="2028"/>
      <c r="AB1649" s="413"/>
      <c r="AC1649" s="2795"/>
    </row>
    <row r="1650" spans="1:29" ht="12.75" customHeight="1" x14ac:dyDescent="0.2">
      <c r="A1650" s="2029">
        <v>211</v>
      </c>
      <c r="B1650" s="4995"/>
      <c r="C1650" s="65"/>
      <c r="D1650" s="68"/>
      <c r="E1650" s="594" t="s">
        <v>762</v>
      </c>
      <c r="F1650" s="601"/>
      <c r="G1650" s="593"/>
      <c r="H1650" s="413"/>
      <c r="I1650" s="2112"/>
      <c r="N1650" s="413"/>
      <c r="T1650" s="2028"/>
      <c r="AB1650" s="413"/>
      <c r="AC1650" s="2795"/>
    </row>
    <row r="1651" spans="1:29" ht="12.75" customHeight="1" x14ac:dyDescent="0.2">
      <c r="A1651" s="2029">
        <v>211</v>
      </c>
      <c r="B1651" s="4995"/>
      <c r="C1651" s="65"/>
      <c r="D1651" s="68"/>
      <c r="E1651" s="594" t="s">
        <v>763</v>
      </c>
      <c r="F1651" s="601">
        <v>4</v>
      </c>
      <c r="G1651" s="593" t="s">
        <v>81</v>
      </c>
      <c r="H1651" s="413"/>
      <c r="I1651" s="2112"/>
      <c r="N1651" s="413"/>
      <c r="T1651" s="2028"/>
      <c r="AB1651" s="413"/>
      <c r="AC1651" s="2795"/>
    </row>
    <row r="1652" spans="1:29" ht="12.75" customHeight="1" x14ac:dyDescent="0.2">
      <c r="A1652" s="2029">
        <v>211</v>
      </c>
      <c r="B1652" s="4995"/>
      <c r="C1652" s="65"/>
      <c r="D1652" s="68"/>
      <c r="E1652" s="594" t="s">
        <v>764</v>
      </c>
      <c r="F1652" s="601">
        <v>14</v>
      </c>
      <c r="G1652" s="593" t="s">
        <v>81</v>
      </c>
      <c r="H1652" s="413"/>
      <c r="I1652" s="2112"/>
      <c r="N1652" s="413"/>
      <c r="T1652" s="2028"/>
      <c r="AB1652" s="413"/>
      <c r="AC1652" s="2795"/>
    </row>
    <row r="1653" spans="1:29" ht="12.75" customHeight="1" x14ac:dyDescent="0.2">
      <c r="A1653" s="2029">
        <v>211</v>
      </c>
      <c r="B1653" s="4995"/>
      <c r="C1653" s="65"/>
      <c r="D1653" s="68"/>
      <c r="E1653" s="594" t="s">
        <v>765</v>
      </c>
      <c r="F1653" s="601">
        <v>24</v>
      </c>
      <c r="G1653" s="593" t="s">
        <v>81</v>
      </c>
      <c r="H1653" s="413"/>
      <c r="I1653" s="2112"/>
      <c r="N1653" s="413"/>
      <c r="T1653" s="2028"/>
      <c r="AB1653" s="413"/>
      <c r="AC1653" s="2795"/>
    </row>
    <row r="1654" spans="1:29" ht="12.75" customHeight="1" x14ac:dyDescent="0.2">
      <c r="A1654" s="2029">
        <v>211</v>
      </c>
      <c r="B1654" s="4995"/>
      <c r="C1654" s="65"/>
      <c r="D1654" s="68"/>
      <c r="E1654" s="594" t="s">
        <v>766</v>
      </c>
      <c r="F1654" s="601">
        <v>34</v>
      </c>
      <c r="G1654" s="593" t="s">
        <v>81</v>
      </c>
      <c r="H1654" s="413"/>
      <c r="I1654" s="2112"/>
      <c r="N1654" s="413"/>
      <c r="T1654" s="2028"/>
      <c r="AB1654" s="413"/>
      <c r="AC1654" s="2795"/>
    </row>
    <row r="1655" spans="1:29" ht="12.75" customHeight="1" x14ac:dyDescent="0.2">
      <c r="A1655" s="2029">
        <v>211</v>
      </c>
      <c r="B1655" s="4995"/>
      <c r="C1655" s="65"/>
      <c r="D1655" s="68"/>
      <c r="E1655" s="594" t="s">
        <v>767</v>
      </c>
      <c r="F1655" s="601">
        <v>44</v>
      </c>
      <c r="G1655" s="593" t="s">
        <v>81</v>
      </c>
      <c r="H1655" s="413"/>
      <c r="I1655" s="2112"/>
      <c r="N1655" s="413"/>
      <c r="T1655" s="2028"/>
      <c r="AB1655" s="413"/>
      <c r="AC1655" s="2795"/>
    </row>
    <row r="1656" spans="1:29" ht="12.75" customHeight="1" x14ac:dyDescent="0.2">
      <c r="A1656" s="2029">
        <v>211</v>
      </c>
      <c r="B1656" s="4995"/>
      <c r="C1656" s="65"/>
      <c r="D1656" s="68"/>
      <c r="E1656" s="594" t="s">
        <v>768</v>
      </c>
      <c r="F1656" s="601">
        <v>54</v>
      </c>
      <c r="G1656" s="593" t="s">
        <v>81</v>
      </c>
      <c r="H1656" s="413"/>
      <c r="I1656" s="2112"/>
      <c r="N1656" s="413"/>
      <c r="T1656" s="2028"/>
      <c r="AB1656" s="413"/>
      <c r="AC1656" s="2795"/>
    </row>
    <row r="1657" spans="1:29" ht="12.75" customHeight="1" x14ac:dyDescent="0.2">
      <c r="A1657" s="2029">
        <v>211</v>
      </c>
      <c r="B1657" s="4995"/>
      <c r="C1657" s="65"/>
      <c r="D1657" s="68"/>
      <c r="E1657" s="594" t="s">
        <v>769</v>
      </c>
      <c r="F1657" s="601">
        <v>64</v>
      </c>
      <c r="G1657" s="593" t="s">
        <v>81</v>
      </c>
      <c r="H1657" s="413"/>
      <c r="I1657" s="2112"/>
      <c r="N1657" s="413"/>
      <c r="T1657" s="2028"/>
      <c r="AB1657" s="413"/>
      <c r="AC1657" s="2795"/>
    </row>
    <row r="1658" spans="1:29" ht="12.75" customHeight="1" x14ac:dyDescent="0.2">
      <c r="A1658" s="2029">
        <v>211</v>
      </c>
      <c r="B1658" s="4995"/>
      <c r="C1658" s="65"/>
      <c r="D1658" s="68"/>
      <c r="E1658" s="594" t="s">
        <v>770</v>
      </c>
      <c r="F1658" s="601">
        <v>74</v>
      </c>
      <c r="G1658" s="593" t="s">
        <v>81</v>
      </c>
      <c r="H1658" s="413"/>
      <c r="I1658" s="2112"/>
      <c r="N1658" s="413"/>
      <c r="T1658" s="2028"/>
      <c r="AB1658" s="413"/>
      <c r="AC1658" s="2795"/>
    </row>
    <row r="1659" spans="1:29" ht="12.75" customHeight="1" x14ac:dyDescent="0.2">
      <c r="A1659" s="2029">
        <v>211</v>
      </c>
      <c r="B1659" s="4995"/>
      <c r="C1659" s="65"/>
      <c r="D1659" s="68"/>
      <c r="E1659" s="594" t="s">
        <v>771</v>
      </c>
      <c r="F1659" s="601">
        <v>84</v>
      </c>
      <c r="G1659" s="593" t="s">
        <v>81</v>
      </c>
      <c r="H1659" s="413"/>
      <c r="I1659" s="2112"/>
      <c r="N1659" s="413"/>
      <c r="T1659" s="2028"/>
      <c r="AB1659" s="413"/>
      <c r="AC1659" s="2795"/>
    </row>
    <row r="1660" spans="1:29" ht="12.75" customHeight="1" x14ac:dyDescent="0.2">
      <c r="A1660" s="2029">
        <v>211</v>
      </c>
      <c r="B1660" s="4995"/>
      <c r="C1660" s="65"/>
      <c r="D1660" s="68"/>
      <c r="E1660" s="594" t="s">
        <v>772</v>
      </c>
      <c r="F1660" s="601">
        <v>94</v>
      </c>
      <c r="G1660" s="593" t="s">
        <v>81</v>
      </c>
      <c r="H1660" s="413"/>
      <c r="I1660" s="2112"/>
      <c r="N1660" s="413"/>
      <c r="T1660" s="2028"/>
      <c r="AB1660" s="413"/>
      <c r="AC1660" s="2795"/>
    </row>
    <row r="1661" spans="1:29" ht="12.75" customHeight="1" x14ac:dyDescent="0.2">
      <c r="A1661" s="2029">
        <v>211</v>
      </c>
      <c r="B1661" s="4995"/>
      <c r="C1661" s="65"/>
      <c r="D1661" s="68"/>
      <c r="E1661" s="594" t="s">
        <v>773</v>
      </c>
      <c r="F1661" s="601"/>
      <c r="G1661" s="593"/>
      <c r="H1661" s="413"/>
      <c r="I1661" s="2112"/>
      <c r="N1661" s="413"/>
      <c r="T1661" s="2028"/>
      <c r="AB1661" s="413"/>
      <c r="AC1661" s="2795"/>
    </row>
    <row r="1662" spans="1:29" ht="12.75" customHeight="1" x14ac:dyDescent="0.2">
      <c r="A1662" s="2029">
        <v>211</v>
      </c>
      <c r="B1662" s="4995"/>
      <c r="C1662" s="65"/>
      <c r="D1662" s="68"/>
      <c r="E1662" s="594" t="s">
        <v>774</v>
      </c>
      <c r="F1662" s="601">
        <v>4</v>
      </c>
      <c r="G1662" s="593" t="s">
        <v>82</v>
      </c>
      <c r="H1662" s="413"/>
      <c r="I1662" s="2112"/>
      <c r="N1662" s="413"/>
      <c r="T1662" s="2028"/>
      <c r="AB1662" s="413"/>
      <c r="AC1662" s="2795"/>
    </row>
    <row r="1663" spans="1:29" ht="12.75" customHeight="1" x14ac:dyDescent="0.2">
      <c r="A1663" s="2029">
        <v>211</v>
      </c>
      <c r="B1663" s="4995"/>
      <c r="C1663" s="65"/>
      <c r="D1663" s="68"/>
      <c r="E1663" s="594" t="s">
        <v>775</v>
      </c>
      <c r="F1663" s="601">
        <v>14</v>
      </c>
      <c r="G1663" s="593" t="s">
        <v>82</v>
      </c>
      <c r="H1663" s="413"/>
      <c r="I1663" s="2112"/>
      <c r="N1663" s="413"/>
      <c r="T1663" s="2028"/>
      <c r="AB1663" s="413"/>
      <c r="AC1663" s="2795"/>
    </row>
    <row r="1664" spans="1:29" ht="12.75" customHeight="1" x14ac:dyDescent="0.2">
      <c r="A1664" s="2029">
        <v>211</v>
      </c>
      <c r="B1664" s="4995"/>
      <c r="C1664" s="65"/>
      <c r="D1664" s="68"/>
      <c r="E1664" s="594" t="s">
        <v>776</v>
      </c>
      <c r="F1664" s="601">
        <v>24</v>
      </c>
      <c r="G1664" s="593" t="s">
        <v>82</v>
      </c>
      <c r="H1664" s="413"/>
      <c r="I1664" s="2112"/>
      <c r="N1664" s="413"/>
      <c r="T1664" s="2028"/>
      <c r="AB1664" s="413"/>
      <c r="AC1664" s="2795"/>
    </row>
    <row r="1665" spans="1:29" ht="12.75" customHeight="1" x14ac:dyDescent="0.2">
      <c r="A1665" s="2029">
        <v>211</v>
      </c>
      <c r="B1665" s="4995"/>
      <c r="C1665" s="65"/>
      <c r="D1665" s="68"/>
      <c r="E1665" s="594" t="s">
        <v>777</v>
      </c>
      <c r="F1665" s="601">
        <v>34</v>
      </c>
      <c r="G1665" s="593" t="s">
        <v>82</v>
      </c>
      <c r="H1665" s="413"/>
      <c r="I1665" s="2112"/>
      <c r="N1665" s="413"/>
      <c r="T1665" s="2028"/>
      <c r="AB1665" s="413"/>
      <c r="AC1665" s="2795"/>
    </row>
    <row r="1666" spans="1:29" ht="12.75" customHeight="1" x14ac:dyDescent="0.2">
      <c r="A1666" s="2029">
        <v>211</v>
      </c>
      <c r="B1666" s="4995"/>
      <c r="C1666" s="65"/>
      <c r="D1666" s="68"/>
      <c r="E1666" s="594" t="s">
        <v>778</v>
      </c>
      <c r="F1666" s="601">
        <v>44</v>
      </c>
      <c r="G1666" s="593" t="s">
        <v>82</v>
      </c>
      <c r="H1666" s="413"/>
      <c r="I1666" s="2112"/>
      <c r="N1666" s="413"/>
      <c r="T1666" s="2028"/>
      <c r="AB1666" s="413"/>
      <c r="AC1666" s="2795"/>
    </row>
    <row r="1667" spans="1:29" ht="12.75" customHeight="1" x14ac:dyDescent="0.2">
      <c r="A1667" s="2029">
        <v>211</v>
      </c>
      <c r="B1667" s="4995"/>
      <c r="C1667" s="65"/>
      <c r="D1667" s="68"/>
      <c r="E1667" s="594" t="s">
        <v>779</v>
      </c>
      <c r="F1667" s="601">
        <v>54</v>
      </c>
      <c r="G1667" s="593" t="s">
        <v>82</v>
      </c>
      <c r="H1667" s="413"/>
      <c r="I1667" s="2112"/>
      <c r="N1667" s="413"/>
      <c r="T1667" s="2028"/>
      <c r="AB1667" s="413"/>
      <c r="AC1667" s="2795"/>
    </row>
    <row r="1668" spans="1:29" ht="12.75" customHeight="1" x14ac:dyDescent="0.2">
      <c r="A1668" s="2029">
        <v>211</v>
      </c>
      <c r="B1668" s="4995"/>
      <c r="C1668" s="65"/>
      <c r="D1668" s="68"/>
      <c r="E1668" s="594" t="s">
        <v>780</v>
      </c>
      <c r="F1668" s="601">
        <v>64</v>
      </c>
      <c r="G1668" s="593" t="s">
        <v>82</v>
      </c>
      <c r="H1668" s="413"/>
      <c r="I1668" s="2112"/>
      <c r="N1668" s="413"/>
      <c r="T1668" s="2028"/>
      <c r="AB1668" s="413"/>
      <c r="AC1668" s="2795"/>
    </row>
    <row r="1669" spans="1:29" ht="12.75" customHeight="1" x14ac:dyDescent="0.2">
      <c r="A1669" s="2029">
        <v>211</v>
      </c>
      <c r="B1669" s="4995"/>
      <c r="C1669" s="65"/>
      <c r="D1669" s="68"/>
      <c r="E1669" s="594" t="s">
        <v>781</v>
      </c>
      <c r="F1669" s="601">
        <v>74</v>
      </c>
      <c r="G1669" s="593" t="s">
        <v>82</v>
      </c>
      <c r="H1669" s="413"/>
      <c r="I1669" s="2112"/>
      <c r="N1669" s="413"/>
      <c r="T1669" s="2028"/>
      <c r="AB1669" s="413"/>
      <c r="AC1669" s="2795"/>
    </row>
    <row r="1670" spans="1:29" ht="12.75" customHeight="1" x14ac:dyDescent="0.2">
      <c r="A1670" s="2029">
        <v>211</v>
      </c>
      <c r="B1670" s="4995"/>
      <c r="C1670" s="65"/>
      <c r="D1670" s="68"/>
      <c r="E1670" s="594" t="s">
        <v>782</v>
      </c>
      <c r="F1670" s="601">
        <v>84</v>
      </c>
      <c r="G1670" s="593" t="s">
        <v>82</v>
      </c>
      <c r="H1670" s="413"/>
      <c r="I1670" s="2112"/>
      <c r="N1670" s="413"/>
      <c r="T1670" s="2028"/>
      <c r="AB1670" s="413"/>
      <c r="AC1670" s="2795"/>
    </row>
    <row r="1671" spans="1:29" ht="12.75" customHeight="1" x14ac:dyDescent="0.2">
      <c r="A1671" s="2029">
        <v>211</v>
      </c>
      <c r="B1671" s="4995"/>
      <c r="C1671" s="65"/>
      <c r="D1671" s="68"/>
      <c r="E1671" s="594" t="s">
        <v>783</v>
      </c>
      <c r="F1671" s="601">
        <v>94</v>
      </c>
      <c r="G1671" s="593" t="s">
        <v>82</v>
      </c>
      <c r="H1671" s="413"/>
      <c r="I1671" s="2112"/>
      <c r="N1671" s="413"/>
      <c r="T1671" s="2028"/>
      <c r="AB1671" s="413"/>
      <c r="AC1671" s="2795"/>
    </row>
    <row r="1672" spans="1:29" ht="12.75" customHeight="1" x14ac:dyDescent="0.2">
      <c r="A1672" s="2029">
        <v>211</v>
      </c>
      <c r="B1672" s="4995"/>
      <c r="C1672" s="65"/>
      <c r="D1672" s="68"/>
      <c r="E1672" s="594" t="s">
        <v>784</v>
      </c>
      <c r="F1672" s="601"/>
      <c r="G1672" s="593"/>
      <c r="H1672" s="413"/>
      <c r="I1672" s="2112"/>
      <c r="N1672" s="413"/>
      <c r="T1672" s="2028"/>
      <c r="AB1672" s="413"/>
      <c r="AC1672" s="2795"/>
    </row>
    <row r="1673" spans="1:29" ht="12.75" customHeight="1" x14ac:dyDescent="0.2">
      <c r="A1673" s="2029">
        <v>211</v>
      </c>
      <c r="B1673" s="4995"/>
      <c r="C1673" s="65"/>
      <c r="D1673" s="68"/>
      <c r="E1673" s="594" t="s">
        <v>785</v>
      </c>
      <c r="F1673" s="601">
        <v>4</v>
      </c>
      <c r="G1673" s="593" t="s">
        <v>83</v>
      </c>
      <c r="H1673" s="413"/>
      <c r="I1673" s="2112"/>
      <c r="N1673" s="413"/>
      <c r="T1673" s="2028"/>
      <c r="AB1673" s="413"/>
      <c r="AC1673" s="2795"/>
    </row>
    <row r="1674" spans="1:29" ht="12.75" customHeight="1" x14ac:dyDescent="0.2">
      <c r="A1674" s="2029">
        <v>211</v>
      </c>
      <c r="B1674" s="4995"/>
      <c r="C1674" s="65"/>
      <c r="D1674" s="68"/>
      <c r="E1674" s="594" t="s">
        <v>786</v>
      </c>
      <c r="F1674" s="601">
        <v>14</v>
      </c>
      <c r="G1674" s="593" t="s">
        <v>83</v>
      </c>
      <c r="H1674" s="413"/>
      <c r="I1674" s="2112"/>
      <c r="N1674" s="413"/>
      <c r="T1674" s="2028"/>
      <c r="AB1674" s="413"/>
      <c r="AC1674" s="2795"/>
    </row>
    <row r="1675" spans="1:29" ht="12.75" customHeight="1" x14ac:dyDescent="0.2">
      <c r="A1675" s="2029">
        <v>211</v>
      </c>
      <c r="B1675" s="4995"/>
      <c r="C1675" s="65"/>
      <c r="D1675" s="68"/>
      <c r="E1675" s="594" t="s">
        <v>787</v>
      </c>
      <c r="F1675" s="601">
        <v>24</v>
      </c>
      <c r="G1675" s="593" t="s">
        <v>83</v>
      </c>
      <c r="H1675" s="413"/>
      <c r="I1675" s="2112"/>
      <c r="N1675" s="413"/>
      <c r="T1675" s="2028"/>
      <c r="AB1675" s="413"/>
      <c r="AC1675" s="2795"/>
    </row>
    <row r="1676" spans="1:29" ht="12.75" customHeight="1" x14ac:dyDescent="0.2">
      <c r="A1676" s="2029">
        <v>211</v>
      </c>
      <c r="B1676" s="4995"/>
      <c r="C1676" s="65"/>
      <c r="D1676" s="68"/>
      <c r="E1676" s="594" t="s">
        <v>788</v>
      </c>
      <c r="F1676" s="601">
        <v>34</v>
      </c>
      <c r="G1676" s="593" t="s">
        <v>83</v>
      </c>
      <c r="H1676" s="413"/>
      <c r="I1676" s="2112"/>
      <c r="N1676" s="413"/>
      <c r="T1676" s="2028"/>
      <c r="AB1676" s="413"/>
      <c r="AC1676" s="2795"/>
    </row>
    <row r="1677" spans="1:29" ht="12.75" customHeight="1" x14ac:dyDescent="0.2">
      <c r="A1677" s="2029">
        <v>211</v>
      </c>
      <c r="B1677" s="4995"/>
      <c r="C1677" s="65"/>
      <c r="D1677" s="68"/>
      <c r="E1677" s="594" t="s">
        <v>789</v>
      </c>
      <c r="F1677" s="601">
        <v>44</v>
      </c>
      <c r="G1677" s="593" t="s">
        <v>83</v>
      </c>
      <c r="H1677" s="413"/>
      <c r="I1677" s="2112"/>
      <c r="N1677" s="413"/>
      <c r="T1677" s="2028"/>
      <c r="AB1677" s="413"/>
      <c r="AC1677" s="2795"/>
    </row>
    <row r="1678" spans="1:29" ht="12.75" customHeight="1" x14ac:dyDescent="0.2">
      <c r="A1678" s="2029">
        <v>211</v>
      </c>
      <c r="B1678" s="4995"/>
      <c r="C1678" s="65"/>
      <c r="D1678" s="68"/>
      <c r="E1678" s="594" t="s">
        <v>790</v>
      </c>
      <c r="F1678" s="601">
        <v>54</v>
      </c>
      <c r="G1678" s="593" t="s">
        <v>83</v>
      </c>
      <c r="H1678" s="413"/>
      <c r="I1678" s="2112"/>
      <c r="N1678" s="413"/>
      <c r="T1678" s="2028"/>
      <c r="AB1678" s="413"/>
      <c r="AC1678" s="2795"/>
    </row>
    <row r="1679" spans="1:29" ht="12.75" customHeight="1" x14ac:dyDescent="0.2">
      <c r="A1679" s="2029">
        <v>211</v>
      </c>
      <c r="B1679" s="4995"/>
      <c r="C1679" s="65"/>
      <c r="D1679" s="68"/>
      <c r="E1679" s="594" t="s">
        <v>791</v>
      </c>
      <c r="F1679" s="601">
        <v>64</v>
      </c>
      <c r="G1679" s="593" t="s">
        <v>83</v>
      </c>
      <c r="H1679" s="413"/>
      <c r="I1679" s="2112"/>
      <c r="N1679" s="413"/>
      <c r="T1679" s="2028"/>
      <c r="AB1679" s="413"/>
      <c r="AC1679" s="2795"/>
    </row>
    <row r="1680" spans="1:29" ht="12.75" customHeight="1" x14ac:dyDescent="0.2">
      <c r="A1680" s="2029">
        <v>211</v>
      </c>
      <c r="B1680" s="4995"/>
      <c r="C1680" s="65"/>
      <c r="D1680" s="68"/>
      <c r="E1680" s="594" t="s">
        <v>792</v>
      </c>
      <c r="F1680" s="601">
        <v>74</v>
      </c>
      <c r="G1680" s="593" t="s">
        <v>83</v>
      </c>
      <c r="H1680" s="413"/>
      <c r="I1680" s="2112"/>
      <c r="N1680" s="413"/>
      <c r="T1680" s="2028"/>
      <c r="AB1680" s="413"/>
      <c r="AC1680" s="2795"/>
    </row>
    <row r="1681" spans="1:29" ht="12.75" customHeight="1" x14ac:dyDescent="0.2">
      <c r="A1681" s="2029">
        <v>211</v>
      </c>
      <c r="B1681" s="4995"/>
      <c r="C1681" s="65"/>
      <c r="D1681" s="68"/>
      <c r="E1681" s="594" t="s">
        <v>793</v>
      </c>
      <c r="F1681" s="601">
        <v>84</v>
      </c>
      <c r="G1681" s="593" t="s">
        <v>83</v>
      </c>
      <c r="H1681" s="413"/>
      <c r="I1681" s="2112"/>
      <c r="N1681" s="413"/>
      <c r="T1681" s="2028"/>
      <c r="AB1681" s="413"/>
      <c r="AC1681" s="2795"/>
    </row>
    <row r="1682" spans="1:29" ht="12.75" customHeight="1" x14ac:dyDescent="0.2">
      <c r="A1682" s="2029">
        <v>211</v>
      </c>
      <c r="B1682" s="4995"/>
      <c r="C1682" s="65"/>
      <c r="D1682" s="68"/>
      <c r="E1682" s="594" t="s">
        <v>794</v>
      </c>
      <c r="F1682" s="601">
        <v>94</v>
      </c>
      <c r="G1682" s="593" t="s">
        <v>83</v>
      </c>
      <c r="H1682" s="413"/>
      <c r="I1682" s="2112"/>
      <c r="N1682" s="413"/>
      <c r="T1682" s="2028"/>
      <c r="AB1682" s="413"/>
      <c r="AC1682" s="2795"/>
    </row>
    <row r="1683" spans="1:29" ht="12.75" customHeight="1" x14ac:dyDescent="0.2">
      <c r="A1683" s="2029">
        <v>211</v>
      </c>
      <c r="B1683" s="4995"/>
      <c r="C1683" s="65"/>
      <c r="D1683" s="68"/>
      <c r="E1683" s="594" t="s">
        <v>795</v>
      </c>
      <c r="F1683" s="601"/>
      <c r="G1683" s="593"/>
      <c r="H1683" s="413"/>
      <c r="I1683" s="2112"/>
      <c r="N1683" s="413"/>
      <c r="T1683" s="2028"/>
      <c r="AB1683" s="413"/>
      <c r="AC1683" s="2795"/>
    </row>
    <row r="1684" spans="1:29" ht="12.75" customHeight="1" x14ac:dyDescent="0.2">
      <c r="A1684" s="2029">
        <v>211</v>
      </c>
      <c r="B1684" s="4995"/>
      <c r="C1684" s="65"/>
      <c r="D1684" s="68"/>
      <c r="E1684" s="594" t="s">
        <v>796</v>
      </c>
      <c r="F1684" s="601">
        <v>4</v>
      </c>
      <c r="G1684" s="593" t="s">
        <v>84</v>
      </c>
      <c r="H1684" s="413"/>
      <c r="I1684" s="2112"/>
      <c r="N1684" s="413"/>
      <c r="T1684" s="2028"/>
      <c r="AB1684" s="413"/>
      <c r="AC1684" s="2795"/>
    </row>
    <row r="1685" spans="1:29" ht="12.75" customHeight="1" x14ac:dyDescent="0.2">
      <c r="A1685" s="2029">
        <v>211</v>
      </c>
      <c r="B1685" s="4995"/>
      <c r="C1685" s="65"/>
      <c r="D1685" s="68"/>
      <c r="E1685" s="594" t="s">
        <v>797</v>
      </c>
      <c r="F1685" s="601">
        <v>14</v>
      </c>
      <c r="G1685" s="593" t="s">
        <v>84</v>
      </c>
      <c r="H1685" s="413"/>
      <c r="I1685" s="2112"/>
      <c r="N1685" s="413"/>
      <c r="T1685" s="2028"/>
      <c r="AB1685" s="413"/>
      <c r="AC1685" s="2795"/>
    </row>
    <row r="1686" spans="1:29" ht="12.75" customHeight="1" x14ac:dyDescent="0.2">
      <c r="A1686" s="2029">
        <v>211</v>
      </c>
      <c r="B1686" s="4995"/>
      <c r="C1686" s="65"/>
      <c r="D1686" s="68"/>
      <c r="E1686" s="594" t="s">
        <v>798</v>
      </c>
      <c r="F1686" s="601">
        <v>24</v>
      </c>
      <c r="G1686" s="593" t="s">
        <v>84</v>
      </c>
      <c r="H1686" s="413"/>
      <c r="I1686" s="2112"/>
      <c r="N1686" s="413"/>
      <c r="T1686" s="2028"/>
      <c r="AB1686" s="413"/>
      <c r="AC1686" s="2795"/>
    </row>
    <row r="1687" spans="1:29" ht="12.75" customHeight="1" x14ac:dyDescent="0.2">
      <c r="A1687" s="2029">
        <v>211</v>
      </c>
      <c r="B1687" s="4995"/>
      <c r="C1687" s="65"/>
      <c r="D1687" s="68"/>
      <c r="E1687" s="594" t="s">
        <v>799</v>
      </c>
      <c r="F1687" s="601">
        <v>34</v>
      </c>
      <c r="G1687" s="593" t="s">
        <v>84</v>
      </c>
      <c r="H1687" s="413"/>
      <c r="I1687" s="2112"/>
      <c r="N1687" s="413"/>
      <c r="T1687" s="2028"/>
      <c r="AB1687" s="413"/>
      <c r="AC1687" s="2795"/>
    </row>
    <row r="1688" spans="1:29" ht="12.75" customHeight="1" x14ac:dyDescent="0.2">
      <c r="A1688" s="2029">
        <v>211</v>
      </c>
      <c r="B1688" s="4995"/>
      <c r="C1688" s="65"/>
      <c r="D1688" s="68"/>
      <c r="E1688" s="594" t="s">
        <v>800</v>
      </c>
      <c r="F1688" s="601">
        <v>44</v>
      </c>
      <c r="G1688" s="593" t="s">
        <v>84</v>
      </c>
      <c r="H1688" s="413"/>
      <c r="I1688" s="2112"/>
      <c r="N1688" s="413"/>
      <c r="T1688" s="2028"/>
      <c r="AB1688" s="413"/>
      <c r="AC1688" s="2795"/>
    </row>
    <row r="1689" spans="1:29" ht="12.75" customHeight="1" x14ac:dyDescent="0.2">
      <c r="A1689" s="2029">
        <v>211</v>
      </c>
      <c r="B1689" s="4995"/>
      <c r="C1689" s="65"/>
      <c r="D1689" s="68"/>
      <c r="E1689" s="594" t="s">
        <v>606</v>
      </c>
      <c r="F1689" s="601">
        <v>54</v>
      </c>
      <c r="G1689" s="593" t="s">
        <v>84</v>
      </c>
      <c r="H1689" s="413"/>
      <c r="I1689" s="2112"/>
      <c r="N1689" s="413"/>
      <c r="T1689" s="2028"/>
      <c r="AB1689" s="413"/>
      <c r="AC1689" s="2795"/>
    </row>
    <row r="1690" spans="1:29" ht="12.75" customHeight="1" x14ac:dyDescent="0.2">
      <c r="A1690" s="2029">
        <v>211</v>
      </c>
      <c r="B1690" s="4995"/>
      <c r="C1690" s="65"/>
      <c r="D1690" s="68"/>
      <c r="E1690" s="594" t="s">
        <v>801</v>
      </c>
      <c r="F1690" s="601">
        <v>64</v>
      </c>
      <c r="G1690" s="593" t="s">
        <v>84</v>
      </c>
      <c r="H1690" s="413"/>
      <c r="I1690" s="2112"/>
      <c r="N1690" s="413"/>
      <c r="T1690" s="2028"/>
      <c r="AB1690" s="413"/>
      <c r="AC1690" s="2795"/>
    </row>
    <row r="1691" spans="1:29" ht="12.75" customHeight="1" x14ac:dyDescent="0.2">
      <c r="A1691" s="2029">
        <v>211</v>
      </c>
      <c r="B1691" s="4995"/>
      <c r="C1691" s="65"/>
      <c r="D1691" s="68"/>
      <c r="E1691" s="594" t="s">
        <v>802</v>
      </c>
      <c r="F1691" s="601">
        <v>74</v>
      </c>
      <c r="G1691" s="593" t="s">
        <v>84</v>
      </c>
      <c r="H1691" s="413"/>
      <c r="I1691" s="2112"/>
      <c r="N1691" s="413"/>
      <c r="T1691" s="2028"/>
      <c r="AB1691" s="413"/>
      <c r="AC1691" s="2795"/>
    </row>
    <row r="1692" spans="1:29" ht="12.75" customHeight="1" x14ac:dyDescent="0.2">
      <c r="A1692" s="2029">
        <v>211</v>
      </c>
      <c r="B1692" s="4995"/>
      <c r="C1692" s="65"/>
      <c r="D1692" s="68"/>
      <c r="E1692" s="594" t="s">
        <v>803</v>
      </c>
      <c r="F1692" s="601">
        <v>84</v>
      </c>
      <c r="G1692" s="593" t="s">
        <v>84</v>
      </c>
      <c r="H1692" s="413"/>
      <c r="I1692" s="2112"/>
      <c r="N1692" s="413"/>
      <c r="T1692" s="2028"/>
      <c r="AB1692" s="413"/>
      <c r="AC1692" s="2795"/>
    </row>
    <row r="1693" spans="1:29" ht="12.75" customHeight="1" x14ac:dyDescent="0.2">
      <c r="A1693" s="2029">
        <v>211</v>
      </c>
      <c r="B1693" s="4995"/>
      <c r="C1693" s="65"/>
      <c r="D1693" s="68"/>
      <c r="E1693" s="594" t="s">
        <v>804</v>
      </c>
      <c r="F1693" s="601">
        <v>94</v>
      </c>
      <c r="G1693" s="593" t="s">
        <v>84</v>
      </c>
      <c r="H1693" s="413"/>
      <c r="I1693" s="2112"/>
      <c r="N1693" s="413"/>
      <c r="T1693" s="2028"/>
      <c r="AB1693" s="413"/>
      <c r="AC1693" s="2795"/>
    </row>
    <row r="1694" spans="1:29" ht="12.75" customHeight="1" x14ac:dyDescent="0.2">
      <c r="A1694" s="2029">
        <v>211</v>
      </c>
      <c r="B1694" s="4995"/>
      <c r="C1694" s="65"/>
      <c r="D1694" s="68"/>
      <c r="E1694" s="594" t="s">
        <v>805</v>
      </c>
      <c r="F1694" s="601"/>
      <c r="G1694" s="593"/>
      <c r="H1694" s="413"/>
      <c r="I1694" s="2112"/>
      <c r="N1694" s="413"/>
      <c r="T1694" s="2028"/>
      <c r="AB1694" s="413"/>
      <c r="AC1694" s="2795"/>
    </row>
    <row r="1695" spans="1:29" ht="12.75" customHeight="1" x14ac:dyDescent="0.2">
      <c r="A1695" s="2029">
        <v>211</v>
      </c>
      <c r="B1695" s="4995"/>
      <c r="C1695" s="65"/>
      <c r="D1695" s="68"/>
      <c r="E1695" s="594" t="s">
        <v>806</v>
      </c>
      <c r="F1695" s="601">
        <v>4</v>
      </c>
      <c r="G1695" s="593" t="s">
        <v>85</v>
      </c>
      <c r="H1695" s="413"/>
      <c r="I1695" s="2112"/>
      <c r="N1695" s="413"/>
      <c r="T1695" s="2028"/>
      <c r="AB1695" s="413"/>
      <c r="AC1695" s="2795"/>
    </row>
    <row r="1696" spans="1:29" ht="12.75" customHeight="1" x14ac:dyDescent="0.2">
      <c r="A1696" s="2029">
        <v>211</v>
      </c>
      <c r="B1696" s="4995"/>
      <c r="C1696" s="65"/>
      <c r="D1696" s="68"/>
      <c r="E1696" s="594" t="s">
        <v>807</v>
      </c>
      <c r="F1696" s="601">
        <v>14</v>
      </c>
      <c r="G1696" s="593" t="s">
        <v>85</v>
      </c>
      <c r="H1696" s="413"/>
      <c r="I1696" s="2112"/>
      <c r="N1696" s="413"/>
      <c r="T1696" s="2028"/>
      <c r="AB1696" s="413"/>
      <c r="AC1696" s="2795"/>
    </row>
    <row r="1697" spans="1:29" ht="12.75" customHeight="1" x14ac:dyDescent="0.2">
      <c r="A1697" s="2029">
        <v>211</v>
      </c>
      <c r="B1697" s="4995"/>
      <c r="C1697" s="65"/>
      <c r="D1697" s="68"/>
      <c r="E1697" s="594" t="s">
        <v>808</v>
      </c>
      <c r="F1697" s="601">
        <v>24</v>
      </c>
      <c r="G1697" s="593" t="s">
        <v>85</v>
      </c>
      <c r="H1697" s="413"/>
      <c r="I1697" s="2112"/>
      <c r="N1697" s="413"/>
      <c r="T1697" s="2028"/>
      <c r="AB1697" s="413"/>
      <c r="AC1697" s="2795"/>
    </row>
    <row r="1698" spans="1:29" ht="12.75" customHeight="1" x14ac:dyDescent="0.2">
      <c r="A1698" s="2029">
        <v>211</v>
      </c>
      <c r="B1698" s="4995"/>
      <c r="C1698" s="65"/>
      <c r="D1698" s="68"/>
      <c r="E1698" s="594" t="s">
        <v>809</v>
      </c>
      <c r="F1698" s="601">
        <v>34</v>
      </c>
      <c r="G1698" s="593" t="s">
        <v>85</v>
      </c>
      <c r="H1698" s="413"/>
      <c r="I1698" s="2112"/>
      <c r="N1698" s="413"/>
      <c r="T1698" s="2028"/>
      <c r="AB1698" s="413"/>
      <c r="AC1698" s="2795"/>
    </row>
    <row r="1699" spans="1:29" ht="12.75" customHeight="1" x14ac:dyDescent="0.2">
      <c r="A1699" s="2029">
        <v>211</v>
      </c>
      <c r="B1699" s="4995"/>
      <c r="C1699" s="65"/>
      <c r="D1699" s="68"/>
      <c r="E1699" s="594" t="s">
        <v>810</v>
      </c>
      <c r="F1699" s="601">
        <v>44</v>
      </c>
      <c r="G1699" s="593" t="s">
        <v>85</v>
      </c>
      <c r="H1699" s="413"/>
      <c r="I1699" s="2112"/>
      <c r="N1699" s="413"/>
      <c r="T1699" s="2028"/>
      <c r="AB1699" s="413"/>
      <c r="AC1699" s="2795"/>
    </row>
    <row r="1700" spans="1:29" ht="12.75" customHeight="1" x14ac:dyDescent="0.2">
      <c r="A1700" s="2029">
        <v>211</v>
      </c>
      <c r="B1700" s="4995"/>
      <c r="C1700" s="65"/>
      <c r="D1700" s="68"/>
      <c r="E1700" s="594" t="s">
        <v>811</v>
      </c>
      <c r="F1700" s="601">
        <v>54</v>
      </c>
      <c r="G1700" s="593" t="s">
        <v>85</v>
      </c>
      <c r="H1700" s="413"/>
      <c r="I1700" s="2112"/>
      <c r="N1700" s="413"/>
      <c r="T1700" s="2028"/>
      <c r="AB1700" s="413"/>
      <c r="AC1700" s="2795"/>
    </row>
    <row r="1701" spans="1:29" ht="12.75" customHeight="1" x14ac:dyDescent="0.2">
      <c r="A1701" s="2029">
        <v>211</v>
      </c>
      <c r="B1701" s="4995"/>
      <c r="C1701" s="65"/>
      <c r="D1701" s="68"/>
      <c r="E1701" s="594" t="s">
        <v>812</v>
      </c>
      <c r="F1701" s="601">
        <v>64</v>
      </c>
      <c r="G1701" s="593" t="s">
        <v>85</v>
      </c>
      <c r="H1701" s="413"/>
      <c r="I1701" s="2112"/>
      <c r="N1701" s="413"/>
      <c r="T1701" s="2028"/>
      <c r="AB1701" s="413"/>
      <c r="AC1701" s="2795"/>
    </row>
    <row r="1702" spans="1:29" ht="12.75" customHeight="1" x14ac:dyDescent="0.2">
      <c r="A1702" s="2029">
        <v>211</v>
      </c>
      <c r="B1702" s="4995"/>
      <c r="C1702" s="65"/>
      <c r="D1702" s="68"/>
      <c r="E1702" s="594" t="s">
        <v>813</v>
      </c>
      <c r="F1702" s="601">
        <v>74</v>
      </c>
      <c r="G1702" s="593" t="s">
        <v>85</v>
      </c>
      <c r="H1702" s="413"/>
      <c r="I1702" s="2112"/>
      <c r="N1702" s="413"/>
      <c r="T1702" s="2028"/>
      <c r="AB1702" s="413"/>
      <c r="AC1702" s="2795"/>
    </row>
    <row r="1703" spans="1:29" ht="12.75" customHeight="1" x14ac:dyDescent="0.2">
      <c r="A1703" s="2029">
        <v>211</v>
      </c>
      <c r="B1703" s="4995"/>
      <c r="C1703" s="65"/>
      <c r="D1703" s="68"/>
      <c r="E1703" s="594" t="s">
        <v>814</v>
      </c>
      <c r="F1703" s="601">
        <v>84</v>
      </c>
      <c r="G1703" s="593" t="s">
        <v>85</v>
      </c>
      <c r="H1703" s="413"/>
      <c r="I1703" s="2112"/>
      <c r="N1703" s="413"/>
      <c r="T1703" s="2028"/>
      <c r="AB1703" s="413"/>
      <c r="AC1703" s="2795"/>
    </row>
    <row r="1704" spans="1:29" ht="12.75" customHeight="1" x14ac:dyDescent="0.2">
      <c r="A1704" s="2029">
        <v>211</v>
      </c>
      <c r="B1704" s="4995"/>
      <c r="C1704" s="65"/>
      <c r="D1704" s="68"/>
      <c r="E1704" s="594" t="s">
        <v>815</v>
      </c>
      <c r="F1704" s="601">
        <v>94</v>
      </c>
      <c r="G1704" s="593" t="s">
        <v>85</v>
      </c>
      <c r="H1704" s="413"/>
      <c r="I1704" s="2112"/>
      <c r="N1704" s="413"/>
      <c r="T1704" s="2028"/>
      <c r="AB1704" s="413"/>
      <c r="AC1704" s="2795"/>
    </row>
    <row r="1705" spans="1:29" ht="12.75" customHeight="1" x14ac:dyDescent="0.2">
      <c r="A1705" s="2029">
        <v>211</v>
      </c>
      <c r="B1705" s="4995"/>
      <c r="C1705" s="65"/>
      <c r="D1705" s="68"/>
      <c r="E1705" s="594" t="s">
        <v>816</v>
      </c>
      <c r="F1705" s="601"/>
      <c r="G1705" s="593"/>
      <c r="H1705" s="413"/>
      <c r="I1705" s="2112"/>
      <c r="N1705" s="413"/>
      <c r="T1705" s="2028"/>
      <c r="AB1705" s="413"/>
      <c r="AC1705" s="2795"/>
    </row>
    <row r="1706" spans="1:29" ht="12.75" customHeight="1" x14ac:dyDescent="0.2">
      <c r="A1706" s="2029">
        <v>211</v>
      </c>
      <c r="B1706" s="4995"/>
      <c r="C1706" s="65"/>
      <c r="D1706" s="68"/>
      <c r="E1706" s="594" t="s">
        <v>817</v>
      </c>
      <c r="F1706" s="601">
        <v>4</v>
      </c>
      <c r="G1706" s="593" t="s">
        <v>86</v>
      </c>
      <c r="H1706" s="413"/>
      <c r="I1706" s="2112"/>
      <c r="N1706" s="413"/>
      <c r="T1706" s="2028"/>
      <c r="AB1706" s="413"/>
      <c r="AC1706" s="2795"/>
    </row>
    <row r="1707" spans="1:29" ht="12.75" customHeight="1" x14ac:dyDescent="0.2">
      <c r="A1707" s="2029">
        <v>211</v>
      </c>
      <c r="B1707" s="4995"/>
      <c r="C1707" s="65"/>
      <c r="D1707" s="68"/>
      <c r="E1707" s="594" t="s">
        <v>818</v>
      </c>
      <c r="F1707" s="601">
        <v>14</v>
      </c>
      <c r="G1707" s="593" t="s">
        <v>86</v>
      </c>
      <c r="H1707" s="413"/>
      <c r="I1707" s="2112"/>
      <c r="N1707" s="413"/>
      <c r="T1707" s="2028"/>
      <c r="AB1707" s="413"/>
      <c r="AC1707" s="2795"/>
    </row>
    <row r="1708" spans="1:29" ht="12.75" customHeight="1" x14ac:dyDescent="0.2">
      <c r="A1708" s="2029">
        <v>211</v>
      </c>
      <c r="B1708" s="4995"/>
      <c r="C1708" s="65"/>
      <c r="D1708" s="68"/>
      <c r="E1708" s="594" t="s">
        <v>819</v>
      </c>
      <c r="F1708" s="601">
        <v>24</v>
      </c>
      <c r="G1708" s="593" t="s">
        <v>86</v>
      </c>
      <c r="H1708" s="413"/>
      <c r="I1708" s="2112"/>
      <c r="N1708" s="413"/>
      <c r="T1708" s="2028"/>
      <c r="AB1708" s="413"/>
      <c r="AC1708" s="2795"/>
    </row>
    <row r="1709" spans="1:29" ht="12.75" customHeight="1" x14ac:dyDescent="0.2">
      <c r="A1709" s="2029">
        <v>211</v>
      </c>
      <c r="B1709" s="4995"/>
      <c r="C1709" s="65"/>
      <c r="D1709" s="68"/>
      <c r="E1709" s="594" t="s">
        <v>820</v>
      </c>
      <c r="F1709" s="601">
        <v>34</v>
      </c>
      <c r="G1709" s="593" t="s">
        <v>86</v>
      </c>
      <c r="H1709" s="413"/>
      <c r="I1709" s="2112"/>
      <c r="N1709" s="413"/>
      <c r="T1709" s="2028"/>
      <c r="AB1709" s="413"/>
      <c r="AC1709" s="2795"/>
    </row>
    <row r="1710" spans="1:29" ht="12.75" customHeight="1" x14ac:dyDescent="0.2">
      <c r="A1710" s="2029">
        <v>211</v>
      </c>
      <c r="B1710" s="4995"/>
      <c r="C1710" s="65"/>
      <c r="D1710" s="68"/>
      <c r="E1710" s="594" t="s">
        <v>821</v>
      </c>
      <c r="F1710" s="601">
        <v>44</v>
      </c>
      <c r="G1710" s="593" t="s">
        <v>86</v>
      </c>
      <c r="H1710" s="413"/>
      <c r="I1710" s="2112"/>
      <c r="N1710" s="413"/>
      <c r="T1710" s="2028"/>
      <c r="AB1710" s="413"/>
      <c r="AC1710" s="2795"/>
    </row>
    <row r="1711" spans="1:29" ht="12.75" customHeight="1" x14ac:dyDescent="0.2">
      <c r="A1711" s="2029">
        <v>211</v>
      </c>
      <c r="B1711" s="4995"/>
      <c r="C1711" s="65"/>
      <c r="D1711" s="68"/>
      <c r="E1711" s="594" t="s">
        <v>822</v>
      </c>
      <c r="F1711" s="601">
        <v>54</v>
      </c>
      <c r="G1711" s="593" t="s">
        <v>86</v>
      </c>
      <c r="H1711" s="413"/>
      <c r="I1711" s="2112"/>
      <c r="N1711" s="413"/>
      <c r="T1711" s="2028"/>
      <c r="AB1711" s="413"/>
      <c r="AC1711" s="2795"/>
    </row>
    <row r="1712" spans="1:29" ht="12.75" customHeight="1" x14ac:dyDescent="0.2">
      <c r="A1712" s="2029">
        <v>211</v>
      </c>
      <c r="B1712" s="4995"/>
      <c r="C1712" s="65"/>
      <c r="D1712" s="68"/>
      <c r="E1712" s="594" t="s">
        <v>823</v>
      </c>
      <c r="F1712" s="601">
        <v>64</v>
      </c>
      <c r="G1712" s="593" t="s">
        <v>86</v>
      </c>
      <c r="H1712" s="413"/>
      <c r="I1712" s="2112"/>
      <c r="N1712" s="413"/>
      <c r="T1712" s="2028"/>
      <c r="AB1712" s="413"/>
      <c r="AC1712" s="2795"/>
    </row>
    <row r="1713" spans="1:29" ht="12.75" customHeight="1" x14ac:dyDescent="0.2">
      <c r="A1713" s="2029">
        <v>211</v>
      </c>
      <c r="B1713" s="4995"/>
      <c r="C1713" s="65"/>
      <c r="D1713" s="68"/>
      <c r="E1713" s="594" t="s">
        <v>824</v>
      </c>
      <c r="F1713" s="601">
        <v>74</v>
      </c>
      <c r="G1713" s="593" t="s">
        <v>86</v>
      </c>
      <c r="H1713" s="413"/>
      <c r="I1713" s="2112"/>
      <c r="N1713" s="413"/>
      <c r="T1713" s="2028"/>
      <c r="AB1713" s="413"/>
      <c r="AC1713" s="2795"/>
    </row>
    <row r="1714" spans="1:29" ht="12.75" customHeight="1" x14ac:dyDescent="0.2">
      <c r="A1714" s="2029">
        <v>211</v>
      </c>
      <c r="B1714" s="4995"/>
      <c r="C1714" s="65"/>
      <c r="D1714" s="68"/>
      <c r="E1714" s="594" t="s">
        <v>825</v>
      </c>
      <c r="F1714" s="601">
        <v>84</v>
      </c>
      <c r="G1714" s="593" t="s">
        <v>86</v>
      </c>
      <c r="H1714" s="413"/>
      <c r="I1714" s="2112"/>
      <c r="N1714" s="413"/>
      <c r="T1714" s="2028"/>
      <c r="AB1714" s="413"/>
      <c r="AC1714" s="2795"/>
    </row>
    <row r="1715" spans="1:29" ht="12.75" customHeight="1" x14ac:dyDescent="0.2">
      <c r="A1715" s="2029">
        <v>211</v>
      </c>
      <c r="B1715" s="4995"/>
      <c r="C1715" s="65"/>
      <c r="D1715" s="68"/>
      <c r="E1715" s="594" t="s">
        <v>826</v>
      </c>
      <c r="F1715" s="601">
        <v>94</v>
      </c>
      <c r="G1715" s="593" t="s">
        <v>86</v>
      </c>
      <c r="H1715" s="413"/>
      <c r="I1715" s="2112"/>
      <c r="N1715" s="413"/>
      <c r="T1715" s="2028"/>
      <c r="AB1715" s="413"/>
      <c r="AC1715" s="2795"/>
    </row>
    <row r="1716" spans="1:29" ht="12.75" customHeight="1" x14ac:dyDescent="0.2">
      <c r="A1716" s="2029">
        <v>211</v>
      </c>
      <c r="B1716" s="4995"/>
      <c r="C1716" s="65"/>
      <c r="D1716" s="68"/>
      <c r="E1716" s="594" t="s">
        <v>827</v>
      </c>
      <c r="F1716" s="601"/>
      <c r="G1716" s="593"/>
      <c r="H1716" s="413"/>
      <c r="I1716" s="2112"/>
      <c r="N1716" s="413"/>
      <c r="T1716" s="2028"/>
      <c r="AB1716" s="413"/>
      <c r="AC1716" s="2795"/>
    </row>
    <row r="1717" spans="1:29" ht="12.75" customHeight="1" x14ac:dyDescent="0.2">
      <c r="A1717" s="2029">
        <v>211</v>
      </c>
      <c r="B1717" s="4995"/>
      <c r="C1717" s="65"/>
      <c r="D1717" s="68"/>
      <c r="E1717" s="594" t="s">
        <v>828</v>
      </c>
      <c r="F1717" s="601">
        <v>4</v>
      </c>
      <c r="G1717" s="593" t="s">
        <v>87</v>
      </c>
      <c r="H1717" s="413"/>
      <c r="I1717" s="2112"/>
      <c r="N1717" s="413"/>
      <c r="T1717" s="2028"/>
      <c r="AB1717" s="413"/>
      <c r="AC1717" s="2795"/>
    </row>
    <row r="1718" spans="1:29" ht="12.75" customHeight="1" x14ac:dyDescent="0.2">
      <c r="A1718" s="2029">
        <v>211</v>
      </c>
      <c r="B1718" s="4995"/>
      <c r="C1718" s="65"/>
      <c r="D1718" s="68"/>
      <c r="E1718" s="594" t="s">
        <v>829</v>
      </c>
      <c r="F1718" s="601">
        <v>14</v>
      </c>
      <c r="G1718" s="593" t="s">
        <v>87</v>
      </c>
      <c r="H1718" s="413"/>
      <c r="I1718" s="2112"/>
      <c r="N1718" s="413"/>
      <c r="T1718" s="2028"/>
      <c r="AB1718" s="413"/>
      <c r="AC1718" s="2795"/>
    </row>
    <row r="1719" spans="1:29" ht="12.75" customHeight="1" x14ac:dyDescent="0.2">
      <c r="A1719" s="2029">
        <v>211</v>
      </c>
      <c r="B1719" s="4995"/>
      <c r="C1719" s="65"/>
      <c r="D1719" s="68"/>
      <c r="E1719" s="594" t="s">
        <v>830</v>
      </c>
      <c r="F1719" s="601">
        <v>24</v>
      </c>
      <c r="G1719" s="593" t="s">
        <v>87</v>
      </c>
      <c r="H1719" s="413"/>
      <c r="I1719" s="2112"/>
      <c r="N1719" s="413"/>
      <c r="T1719" s="2028"/>
      <c r="AB1719" s="413"/>
      <c r="AC1719" s="2795"/>
    </row>
    <row r="1720" spans="1:29" ht="12.75" customHeight="1" x14ac:dyDescent="0.2">
      <c r="A1720" s="2029">
        <v>211</v>
      </c>
      <c r="B1720" s="4995"/>
      <c r="C1720" s="65"/>
      <c r="D1720" s="68"/>
      <c r="E1720" s="594" t="s">
        <v>831</v>
      </c>
      <c r="F1720" s="601">
        <v>34</v>
      </c>
      <c r="G1720" s="593" t="s">
        <v>87</v>
      </c>
      <c r="H1720" s="413"/>
      <c r="I1720" s="2112"/>
      <c r="N1720" s="413"/>
      <c r="T1720" s="2028"/>
      <c r="AB1720" s="413"/>
      <c r="AC1720" s="2795"/>
    </row>
    <row r="1721" spans="1:29" ht="12.75" customHeight="1" x14ac:dyDescent="0.2">
      <c r="A1721" s="2029">
        <v>211</v>
      </c>
      <c r="B1721" s="4995"/>
      <c r="C1721" s="65"/>
      <c r="D1721" s="68"/>
      <c r="E1721" s="594" t="s">
        <v>832</v>
      </c>
      <c r="F1721" s="601">
        <v>44</v>
      </c>
      <c r="G1721" s="593" t="s">
        <v>87</v>
      </c>
      <c r="H1721" s="413"/>
      <c r="I1721" s="2112"/>
      <c r="N1721" s="413"/>
      <c r="T1721" s="2028"/>
      <c r="AB1721" s="413"/>
      <c r="AC1721" s="2795"/>
    </row>
    <row r="1722" spans="1:29" ht="12.75" customHeight="1" x14ac:dyDescent="0.2">
      <c r="A1722" s="2029">
        <v>211</v>
      </c>
      <c r="B1722" s="4995"/>
      <c r="C1722" s="65"/>
      <c r="D1722" s="68"/>
      <c r="E1722" s="594" t="s">
        <v>833</v>
      </c>
      <c r="F1722" s="601">
        <v>54</v>
      </c>
      <c r="G1722" s="593" t="s">
        <v>87</v>
      </c>
      <c r="H1722" s="413"/>
      <c r="I1722" s="2112"/>
      <c r="N1722" s="413"/>
      <c r="T1722" s="2028"/>
      <c r="AB1722" s="413"/>
      <c r="AC1722" s="2795"/>
    </row>
    <row r="1723" spans="1:29" ht="12.75" customHeight="1" x14ac:dyDescent="0.2">
      <c r="A1723" s="2029">
        <v>211</v>
      </c>
      <c r="B1723" s="4995"/>
      <c r="C1723" s="65"/>
      <c r="D1723" s="68"/>
      <c r="E1723" s="594" t="s">
        <v>834</v>
      </c>
      <c r="F1723" s="601">
        <v>64</v>
      </c>
      <c r="G1723" s="593" t="s">
        <v>87</v>
      </c>
      <c r="H1723" s="413"/>
      <c r="I1723" s="2112"/>
      <c r="N1723" s="413"/>
      <c r="T1723" s="2028"/>
      <c r="AB1723" s="413"/>
      <c r="AC1723" s="2795"/>
    </row>
    <row r="1724" spans="1:29" ht="12.75" customHeight="1" x14ac:dyDescent="0.2">
      <c r="A1724" s="2029">
        <v>211</v>
      </c>
      <c r="B1724" s="4995"/>
      <c r="C1724" s="65"/>
      <c r="D1724" s="68"/>
      <c r="E1724" s="594" t="s">
        <v>835</v>
      </c>
      <c r="F1724" s="601">
        <v>74</v>
      </c>
      <c r="G1724" s="593" t="s">
        <v>87</v>
      </c>
      <c r="H1724" s="413"/>
      <c r="I1724" s="2112"/>
      <c r="N1724" s="413"/>
      <c r="T1724" s="2028"/>
      <c r="AB1724" s="413"/>
      <c r="AC1724" s="2795"/>
    </row>
    <row r="1725" spans="1:29" ht="12.75" customHeight="1" x14ac:dyDescent="0.2">
      <c r="A1725" s="2029">
        <v>211</v>
      </c>
      <c r="B1725" s="4995"/>
      <c r="C1725" s="65"/>
      <c r="D1725" s="68"/>
      <c r="E1725" s="594" t="s">
        <v>836</v>
      </c>
      <c r="F1725" s="601">
        <v>84</v>
      </c>
      <c r="G1725" s="593" t="s">
        <v>87</v>
      </c>
      <c r="H1725" s="413"/>
      <c r="I1725" s="2112"/>
      <c r="N1725" s="413"/>
      <c r="T1725" s="2028"/>
      <c r="AB1725" s="413"/>
      <c r="AC1725" s="2795"/>
    </row>
    <row r="1726" spans="1:29" ht="12.75" customHeight="1" x14ac:dyDescent="0.2">
      <c r="A1726" s="2029">
        <v>211</v>
      </c>
      <c r="B1726" s="4995"/>
      <c r="C1726" s="65"/>
      <c r="D1726" s="68"/>
      <c r="E1726" s="594" t="s">
        <v>837</v>
      </c>
      <c r="F1726" s="601">
        <v>94</v>
      </c>
      <c r="G1726" s="593" t="s">
        <v>87</v>
      </c>
      <c r="H1726" s="413"/>
      <c r="I1726" s="2112"/>
      <c r="N1726" s="413"/>
      <c r="T1726" s="2028"/>
      <c r="AB1726" s="413"/>
      <c r="AC1726" s="2795"/>
    </row>
    <row r="1727" spans="1:29" ht="12.75" customHeight="1" x14ac:dyDescent="0.2">
      <c r="A1727" s="2029">
        <v>211</v>
      </c>
      <c r="B1727" s="4995"/>
      <c r="C1727" s="65"/>
      <c r="D1727" s="68"/>
      <c r="E1727" s="594" t="s">
        <v>838</v>
      </c>
      <c r="F1727" s="601"/>
      <c r="G1727" s="593"/>
      <c r="H1727" s="413"/>
      <c r="I1727" s="2112"/>
      <c r="N1727" s="413"/>
      <c r="T1727" s="2028"/>
      <c r="AB1727" s="413"/>
      <c r="AC1727" s="2795"/>
    </row>
    <row r="1728" spans="1:29" ht="12.75" customHeight="1" x14ac:dyDescent="0.2">
      <c r="A1728" s="2029">
        <v>211</v>
      </c>
      <c r="B1728" s="4995"/>
      <c r="C1728" s="65"/>
      <c r="D1728" s="68"/>
      <c r="E1728" s="594" t="s">
        <v>839</v>
      </c>
      <c r="F1728" s="601">
        <v>4</v>
      </c>
      <c r="G1728" s="593" t="s">
        <v>88</v>
      </c>
      <c r="H1728" s="413"/>
      <c r="I1728" s="2112"/>
      <c r="N1728" s="413"/>
      <c r="T1728" s="2028"/>
      <c r="AB1728" s="413"/>
      <c r="AC1728" s="2795"/>
    </row>
    <row r="1729" spans="1:29" ht="12.75" customHeight="1" x14ac:dyDescent="0.2">
      <c r="A1729" s="2029">
        <v>211</v>
      </c>
      <c r="B1729" s="4995"/>
      <c r="C1729" s="65"/>
      <c r="D1729" s="68"/>
      <c r="E1729" s="594" t="s">
        <v>840</v>
      </c>
      <c r="F1729" s="601">
        <v>14</v>
      </c>
      <c r="G1729" s="593" t="s">
        <v>88</v>
      </c>
      <c r="H1729" s="413"/>
      <c r="I1729" s="2112"/>
      <c r="N1729" s="413"/>
      <c r="T1729" s="2028"/>
      <c r="AB1729" s="413"/>
      <c r="AC1729" s="2795"/>
    </row>
    <row r="1730" spans="1:29" ht="12.75" customHeight="1" x14ac:dyDescent="0.2">
      <c r="A1730" s="2029">
        <v>211</v>
      </c>
      <c r="B1730" s="4995"/>
      <c r="C1730" s="65"/>
      <c r="D1730" s="68"/>
      <c r="E1730" s="594" t="s">
        <v>841</v>
      </c>
      <c r="F1730" s="601">
        <v>24</v>
      </c>
      <c r="G1730" s="593" t="s">
        <v>88</v>
      </c>
      <c r="H1730" s="413"/>
      <c r="I1730" s="2112"/>
      <c r="N1730" s="413"/>
      <c r="T1730" s="2028"/>
      <c r="AB1730" s="413"/>
      <c r="AC1730" s="2795"/>
    </row>
    <row r="1731" spans="1:29" ht="12.75" customHeight="1" x14ac:dyDescent="0.2">
      <c r="A1731" s="2029">
        <v>211</v>
      </c>
      <c r="B1731" s="4995"/>
      <c r="C1731" s="65"/>
      <c r="D1731" s="68"/>
      <c r="E1731" s="594" t="s">
        <v>842</v>
      </c>
      <c r="F1731" s="601">
        <v>34</v>
      </c>
      <c r="G1731" s="593" t="s">
        <v>88</v>
      </c>
      <c r="H1731" s="413"/>
      <c r="I1731" s="2112"/>
      <c r="N1731" s="413"/>
      <c r="T1731" s="2028"/>
      <c r="AB1731" s="413"/>
      <c r="AC1731" s="2795"/>
    </row>
    <row r="1732" spans="1:29" ht="12.75" customHeight="1" x14ac:dyDescent="0.2">
      <c r="A1732" s="2029">
        <v>211</v>
      </c>
      <c r="B1732" s="4995"/>
      <c r="C1732" s="65"/>
      <c r="D1732" s="68"/>
      <c r="E1732" s="594" t="s">
        <v>843</v>
      </c>
      <c r="F1732" s="601">
        <v>44</v>
      </c>
      <c r="G1732" s="593" t="s">
        <v>88</v>
      </c>
      <c r="H1732" s="413"/>
      <c r="I1732" s="2112"/>
      <c r="N1732" s="413"/>
      <c r="T1732" s="2028"/>
      <c r="AB1732" s="413"/>
      <c r="AC1732" s="2795"/>
    </row>
    <row r="1733" spans="1:29" ht="12.75" customHeight="1" x14ac:dyDescent="0.2">
      <c r="A1733" s="2029">
        <v>211</v>
      </c>
      <c r="B1733" s="4995"/>
      <c r="C1733" s="65"/>
      <c r="D1733" s="68"/>
      <c r="E1733" s="594" t="s">
        <v>844</v>
      </c>
      <c r="F1733" s="601">
        <v>54</v>
      </c>
      <c r="G1733" s="593" t="s">
        <v>88</v>
      </c>
      <c r="H1733" s="413"/>
      <c r="I1733" s="2112"/>
      <c r="N1733" s="413"/>
      <c r="T1733" s="2028"/>
      <c r="AB1733" s="413"/>
      <c r="AC1733" s="2795"/>
    </row>
    <row r="1734" spans="1:29" ht="12.75" customHeight="1" x14ac:dyDescent="0.2">
      <c r="A1734" s="2029">
        <v>211</v>
      </c>
      <c r="B1734" s="4995"/>
      <c r="C1734" s="65"/>
      <c r="D1734" s="68"/>
      <c r="E1734" s="594" t="s">
        <v>845</v>
      </c>
      <c r="F1734" s="601">
        <v>64</v>
      </c>
      <c r="G1734" s="593" t="s">
        <v>88</v>
      </c>
      <c r="H1734" s="413"/>
      <c r="I1734" s="2112"/>
      <c r="N1734" s="413"/>
      <c r="T1734" s="2028"/>
      <c r="AB1734" s="413"/>
      <c r="AC1734" s="2795"/>
    </row>
    <row r="1735" spans="1:29" ht="12.75" customHeight="1" x14ac:dyDescent="0.2">
      <c r="A1735" s="2029">
        <v>211</v>
      </c>
      <c r="B1735" s="4995"/>
      <c r="C1735" s="65"/>
      <c r="D1735" s="68"/>
      <c r="E1735" s="594" t="s">
        <v>846</v>
      </c>
      <c r="F1735" s="601">
        <v>74</v>
      </c>
      <c r="G1735" s="593" t="s">
        <v>88</v>
      </c>
      <c r="H1735" s="413"/>
      <c r="I1735" s="2112"/>
      <c r="N1735" s="413"/>
      <c r="T1735" s="2028"/>
      <c r="AB1735" s="413"/>
      <c r="AC1735" s="2795"/>
    </row>
    <row r="1736" spans="1:29" ht="12.75" customHeight="1" x14ac:dyDescent="0.2">
      <c r="A1736" s="2029">
        <v>211</v>
      </c>
      <c r="B1736" s="4995"/>
      <c r="C1736" s="65"/>
      <c r="D1736" s="68"/>
      <c r="E1736" s="594" t="s">
        <v>847</v>
      </c>
      <c r="F1736" s="601">
        <v>84</v>
      </c>
      <c r="G1736" s="593" t="s">
        <v>88</v>
      </c>
      <c r="H1736" s="413"/>
      <c r="I1736" s="2112"/>
      <c r="N1736" s="413"/>
      <c r="T1736" s="2028"/>
      <c r="AB1736" s="413"/>
      <c r="AC1736" s="2795"/>
    </row>
    <row r="1737" spans="1:29" ht="12.75" customHeight="1" x14ac:dyDescent="0.2">
      <c r="A1737" s="2029">
        <v>211</v>
      </c>
      <c r="B1737" s="4995"/>
      <c r="C1737" s="65"/>
      <c r="D1737" s="68"/>
      <c r="E1737" s="594" t="s">
        <v>848</v>
      </c>
      <c r="F1737" s="601">
        <v>94</v>
      </c>
      <c r="G1737" s="593" t="s">
        <v>88</v>
      </c>
      <c r="H1737" s="413"/>
      <c r="I1737" s="2112"/>
      <c r="N1737" s="413"/>
      <c r="T1737" s="2028"/>
      <c r="AB1737" s="413"/>
      <c r="AC1737" s="2795"/>
    </row>
    <row r="1738" spans="1:29" ht="12.75" customHeight="1" x14ac:dyDescent="0.2">
      <c r="A1738" s="2029">
        <v>211</v>
      </c>
      <c r="B1738" s="4995"/>
      <c r="C1738" s="65"/>
      <c r="D1738" s="68"/>
      <c r="E1738" s="594" t="s">
        <v>849</v>
      </c>
      <c r="F1738" s="601"/>
      <c r="G1738" s="593"/>
      <c r="H1738" s="413"/>
      <c r="I1738" s="2112"/>
      <c r="N1738" s="413"/>
      <c r="T1738" s="2028"/>
      <c r="AB1738" s="413"/>
      <c r="AC1738" s="2795"/>
    </row>
    <row r="1739" spans="1:29" ht="12.75" customHeight="1" x14ac:dyDescent="0.2">
      <c r="A1739" s="2029">
        <v>211</v>
      </c>
      <c r="B1739" s="4995"/>
      <c r="C1739" s="65"/>
      <c r="D1739" s="68"/>
      <c r="E1739" s="594" t="s">
        <v>850</v>
      </c>
      <c r="F1739" s="601">
        <v>4</v>
      </c>
      <c r="G1739" s="593" t="s">
        <v>89</v>
      </c>
      <c r="H1739" s="413"/>
      <c r="I1739" s="2112"/>
      <c r="N1739" s="413"/>
      <c r="T1739" s="2028"/>
      <c r="AB1739" s="413"/>
      <c r="AC1739" s="2795"/>
    </row>
    <row r="1740" spans="1:29" ht="12.75" customHeight="1" x14ac:dyDescent="0.2">
      <c r="A1740" s="2029">
        <v>211</v>
      </c>
      <c r="B1740" s="4995"/>
      <c r="C1740" s="65"/>
      <c r="D1740" s="68"/>
      <c r="E1740" s="594" t="s">
        <v>89</v>
      </c>
      <c r="F1740" s="601">
        <v>14</v>
      </c>
      <c r="G1740" s="593" t="s">
        <v>89</v>
      </c>
      <c r="H1740" s="413"/>
      <c r="I1740" s="2112"/>
      <c r="N1740" s="413"/>
      <c r="T1740" s="2028"/>
      <c r="AB1740" s="413"/>
      <c r="AC1740" s="2795"/>
    </row>
    <row r="1741" spans="1:29" ht="12.75" customHeight="1" x14ac:dyDescent="0.2">
      <c r="A1741" s="2029">
        <v>211</v>
      </c>
      <c r="B1741" s="4995"/>
      <c r="C1741" s="65"/>
      <c r="D1741" s="68"/>
      <c r="E1741" s="594" t="s">
        <v>851</v>
      </c>
      <c r="F1741" s="601">
        <v>24</v>
      </c>
      <c r="G1741" s="593" t="s">
        <v>89</v>
      </c>
      <c r="H1741" s="413"/>
      <c r="I1741" s="2112"/>
      <c r="N1741" s="413"/>
      <c r="T1741" s="2028"/>
      <c r="AB1741" s="413"/>
      <c r="AC1741" s="2795"/>
    </row>
    <row r="1742" spans="1:29" ht="12.75" customHeight="1" x14ac:dyDescent="0.2">
      <c r="A1742" s="2029">
        <v>211</v>
      </c>
      <c r="B1742" s="4995"/>
      <c r="C1742" s="65"/>
      <c r="D1742" s="68"/>
      <c r="E1742" s="594" t="s">
        <v>852</v>
      </c>
      <c r="F1742" s="601">
        <v>34</v>
      </c>
      <c r="G1742" s="593" t="s">
        <v>89</v>
      </c>
      <c r="H1742" s="413"/>
      <c r="I1742" s="2112"/>
      <c r="N1742" s="413"/>
      <c r="T1742" s="2028"/>
      <c r="AB1742" s="413"/>
      <c r="AC1742" s="2795"/>
    </row>
    <row r="1743" spans="1:29" ht="12.75" customHeight="1" x14ac:dyDescent="0.2">
      <c r="A1743" s="2029">
        <v>211</v>
      </c>
      <c r="B1743" s="4995"/>
      <c r="C1743" s="65"/>
      <c r="D1743" s="68"/>
      <c r="E1743" s="594" t="s">
        <v>853</v>
      </c>
      <c r="F1743" s="601">
        <v>44</v>
      </c>
      <c r="G1743" s="593" t="s">
        <v>89</v>
      </c>
      <c r="H1743" s="413"/>
      <c r="I1743" s="2112"/>
      <c r="N1743" s="413"/>
      <c r="T1743" s="2028"/>
      <c r="AB1743" s="413"/>
      <c r="AC1743" s="2795"/>
    </row>
    <row r="1744" spans="1:29" ht="12.75" customHeight="1" x14ac:dyDescent="0.2">
      <c r="A1744" s="2029">
        <v>211</v>
      </c>
      <c r="B1744" s="4995"/>
      <c r="C1744" s="65"/>
      <c r="D1744" s="68"/>
      <c r="E1744" s="594" t="s">
        <v>854</v>
      </c>
      <c r="F1744" s="601">
        <v>54</v>
      </c>
      <c r="G1744" s="593" t="s">
        <v>89</v>
      </c>
      <c r="H1744" s="413"/>
      <c r="I1744" s="2112"/>
      <c r="N1744" s="413"/>
      <c r="T1744" s="2028"/>
      <c r="AB1744" s="413"/>
      <c r="AC1744" s="2795"/>
    </row>
    <row r="1745" spans="1:29" ht="12.75" customHeight="1" x14ac:dyDescent="0.2">
      <c r="A1745" s="2029">
        <v>211</v>
      </c>
      <c r="B1745" s="4995"/>
      <c r="C1745" s="65"/>
      <c r="D1745" s="68"/>
      <c r="E1745" s="594" t="s">
        <v>855</v>
      </c>
      <c r="F1745" s="601">
        <v>64</v>
      </c>
      <c r="G1745" s="593" t="s">
        <v>89</v>
      </c>
      <c r="H1745" s="413"/>
      <c r="I1745" s="2112"/>
      <c r="N1745" s="413"/>
      <c r="T1745" s="2028"/>
      <c r="AB1745" s="413"/>
      <c r="AC1745" s="2795"/>
    </row>
    <row r="1746" spans="1:29" ht="12.75" customHeight="1" x14ac:dyDescent="0.2">
      <c r="A1746" s="2029">
        <v>211</v>
      </c>
      <c r="B1746" s="4995"/>
      <c r="C1746" s="65"/>
      <c r="D1746" s="68"/>
      <c r="E1746" s="594" t="s">
        <v>856</v>
      </c>
      <c r="F1746" s="601">
        <v>74</v>
      </c>
      <c r="G1746" s="593" t="s">
        <v>89</v>
      </c>
      <c r="H1746" s="413"/>
      <c r="I1746" s="2112"/>
      <c r="N1746" s="413"/>
      <c r="T1746" s="2028"/>
      <c r="AB1746" s="413"/>
      <c r="AC1746" s="2795"/>
    </row>
    <row r="1747" spans="1:29" ht="12.75" customHeight="1" x14ac:dyDescent="0.2">
      <c r="A1747" s="2029">
        <v>211</v>
      </c>
      <c r="B1747" s="4995"/>
      <c r="C1747" s="65"/>
      <c r="D1747" s="68"/>
      <c r="E1747" s="594" t="s">
        <v>857</v>
      </c>
      <c r="F1747" s="601">
        <v>84</v>
      </c>
      <c r="G1747" s="593" t="s">
        <v>89</v>
      </c>
      <c r="H1747" s="413"/>
      <c r="I1747" s="2112"/>
      <c r="N1747" s="413"/>
      <c r="T1747" s="2028"/>
      <c r="AB1747" s="413"/>
      <c r="AC1747" s="2795"/>
    </row>
    <row r="1748" spans="1:29" ht="12.75" customHeight="1" x14ac:dyDescent="0.2">
      <c r="A1748" s="2029">
        <v>211</v>
      </c>
      <c r="B1748" s="4995"/>
      <c r="C1748" s="65"/>
      <c r="D1748" s="68"/>
      <c r="E1748" s="594" t="s">
        <v>858</v>
      </c>
      <c r="F1748" s="601">
        <v>94</v>
      </c>
      <c r="G1748" s="593"/>
      <c r="H1748" s="413"/>
      <c r="I1748" s="2112"/>
      <c r="N1748" s="413"/>
      <c r="T1748" s="2028"/>
      <c r="AB1748" s="413"/>
      <c r="AC1748" s="2795"/>
    </row>
    <row r="1749" spans="1:29" ht="12.75" customHeight="1" x14ac:dyDescent="0.2">
      <c r="A1749" s="2029">
        <v>211</v>
      </c>
      <c r="B1749" s="4995"/>
      <c r="C1749" s="65"/>
      <c r="D1749" s="68"/>
      <c r="E1749" s="594" t="s">
        <v>859</v>
      </c>
      <c r="F1749" s="601"/>
      <c r="G1749" s="593"/>
      <c r="H1749" s="413"/>
      <c r="I1749" s="2112"/>
      <c r="N1749" s="413"/>
      <c r="T1749" s="2028"/>
      <c r="AB1749" s="413"/>
      <c r="AC1749" s="2795"/>
    </row>
    <row r="1750" spans="1:29" ht="12.75" customHeight="1" x14ac:dyDescent="0.2">
      <c r="A1750" s="2029">
        <v>211</v>
      </c>
      <c r="B1750" s="4995"/>
      <c r="C1750" s="65"/>
      <c r="D1750" s="68"/>
      <c r="E1750" s="594" t="s">
        <v>860</v>
      </c>
      <c r="F1750" s="601">
        <v>4</v>
      </c>
      <c r="G1750" s="593" t="s">
        <v>90</v>
      </c>
      <c r="H1750" s="413"/>
      <c r="I1750" s="2112"/>
      <c r="N1750" s="413"/>
      <c r="T1750" s="2028"/>
      <c r="AB1750" s="413"/>
      <c r="AC1750" s="2795"/>
    </row>
    <row r="1751" spans="1:29" ht="12.75" customHeight="1" x14ac:dyDescent="0.2">
      <c r="A1751" s="2029">
        <v>211</v>
      </c>
      <c r="B1751" s="4995"/>
      <c r="C1751" s="65"/>
      <c r="D1751" s="68"/>
      <c r="E1751" s="594" t="s">
        <v>861</v>
      </c>
      <c r="F1751" s="601">
        <v>14</v>
      </c>
      <c r="G1751" s="593" t="s">
        <v>90</v>
      </c>
      <c r="H1751" s="413"/>
      <c r="I1751" s="2112"/>
      <c r="N1751" s="413"/>
      <c r="T1751" s="2028"/>
      <c r="AB1751" s="413"/>
      <c r="AC1751" s="2795"/>
    </row>
    <row r="1752" spans="1:29" ht="12.75" customHeight="1" x14ac:dyDescent="0.2">
      <c r="A1752" s="2029">
        <v>211</v>
      </c>
      <c r="B1752" s="4995"/>
      <c r="C1752" s="65"/>
      <c r="D1752" s="68"/>
      <c r="E1752" s="594" t="s">
        <v>2314</v>
      </c>
      <c r="F1752" s="601">
        <v>24</v>
      </c>
      <c r="G1752" s="593" t="s">
        <v>90</v>
      </c>
      <c r="H1752" s="413"/>
      <c r="I1752" s="2112"/>
      <c r="N1752" s="413"/>
      <c r="T1752" s="2028"/>
      <c r="AB1752" s="413"/>
      <c r="AC1752" s="2795"/>
    </row>
    <row r="1753" spans="1:29" ht="12.75" customHeight="1" x14ac:dyDescent="0.2">
      <c r="A1753" s="2029">
        <v>211</v>
      </c>
      <c r="B1753" s="4995"/>
      <c r="C1753" s="65"/>
      <c r="D1753" s="68"/>
      <c r="E1753" s="594" t="s">
        <v>862</v>
      </c>
      <c r="F1753" s="601">
        <v>34</v>
      </c>
      <c r="G1753" s="593" t="s">
        <v>90</v>
      </c>
      <c r="H1753" s="413"/>
      <c r="I1753" s="2112"/>
      <c r="N1753" s="413"/>
      <c r="T1753" s="2028"/>
      <c r="AB1753" s="413"/>
      <c r="AC1753" s="2795"/>
    </row>
    <row r="1754" spans="1:29" ht="12.75" customHeight="1" x14ac:dyDescent="0.2">
      <c r="A1754" s="2029">
        <v>211</v>
      </c>
      <c r="B1754" s="4995"/>
      <c r="C1754" s="65"/>
      <c r="D1754" s="68"/>
      <c r="E1754" s="594" t="s">
        <v>863</v>
      </c>
      <c r="F1754" s="601">
        <v>44</v>
      </c>
      <c r="G1754" s="593" t="s">
        <v>90</v>
      </c>
      <c r="H1754" s="413"/>
      <c r="I1754" s="2112"/>
      <c r="N1754" s="413"/>
      <c r="T1754" s="2028"/>
      <c r="AB1754" s="413"/>
      <c r="AC1754" s="2795"/>
    </row>
    <row r="1755" spans="1:29" ht="12.75" customHeight="1" x14ac:dyDescent="0.2">
      <c r="A1755" s="2029">
        <v>211</v>
      </c>
      <c r="B1755" s="4995"/>
      <c r="C1755" s="65"/>
      <c r="D1755" s="68"/>
      <c r="E1755" s="594" t="s">
        <v>864</v>
      </c>
      <c r="F1755" s="601">
        <v>54</v>
      </c>
      <c r="G1755" s="593" t="s">
        <v>90</v>
      </c>
      <c r="H1755" s="413"/>
      <c r="I1755" s="2112"/>
      <c r="N1755" s="413"/>
      <c r="T1755" s="2028"/>
      <c r="AB1755" s="413"/>
      <c r="AC1755" s="2795"/>
    </row>
    <row r="1756" spans="1:29" ht="12.75" customHeight="1" x14ac:dyDescent="0.2">
      <c r="A1756" s="2029">
        <v>211</v>
      </c>
      <c r="B1756" s="4995"/>
      <c r="C1756" s="65"/>
      <c r="D1756" s="68"/>
      <c r="E1756" s="594" t="s">
        <v>865</v>
      </c>
      <c r="F1756" s="601">
        <v>64</v>
      </c>
      <c r="G1756" s="593" t="s">
        <v>90</v>
      </c>
      <c r="H1756" s="413"/>
      <c r="I1756" s="2112"/>
      <c r="N1756" s="413"/>
      <c r="T1756" s="2028"/>
      <c r="AB1756" s="413"/>
      <c r="AC1756" s="2795"/>
    </row>
    <row r="1757" spans="1:29" ht="12.75" customHeight="1" x14ac:dyDescent="0.2">
      <c r="A1757" s="2029">
        <v>211</v>
      </c>
      <c r="B1757" s="4995"/>
      <c r="C1757" s="65"/>
      <c r="D1757" s="68"/>
      <c r="E1757" s="594" t="s">
        <v>866</v>
      </c>
      <c r="F1757" s="601">
        <v>74</v>
      </c>
      <c r="G1757" s="593" t="s">
        <v>90</v>
      </c>
      <c r="H1757" s="413"/>
      <c r="I1757" s="2112"/>
      <c r="N1757" s="413"/>
      <c r="T1757" s="2028"/>
      <c r="AB1757" s="413"/>
      <c r="AC1757" s="2795"/>
    </row>
    <row r="1758" spans="1:29" ht="12.75" customHeight="1" x14ac:dyDescent="0.2">
      <c r="A1758" s="2029">
        <v>211</v>
      </c>
      <c r="B1758" s="4995"/>
      <c r="C1758" s="65"/>
      <c r="D1758" s="68"/>
      <c r="E1758" s="594" t="s">
        <v>867</v>
      </c>
      <c r="F1758" s="601">
        <v>84</v>
      </c>
      <c r="G1758" s="593" t="s">
        <v>90</v>
      </c>
      <c r="H1758" s="413"/>
      <c r="I1758" s="2112"/>
      <c r="N1758" s="413"/>
      <c r="T1758" s="2028"/>
      <c r="AB1758" s="413"/>
      <c r="AC1758" s="2795"/>
    </row>
    <row r="1759" spans="1:29" ht="12.75" customHeight="1" x14ac:dyDescent="0.2">
      <c r="A1759" s="2029">
        <v>211</v>
      </c>
      <c r="B1759" s="4995"/>
      <c r="C1759" s="65"/>
      <c r="D1759" s="68"/>
      <c r="E1759" s="594" t="s">
        <v>868</v>
      </c>
      <c r="F1759" s="601">
        <v>94</v>
      </c>
      <c r="G1759" s="593" t="s">
        <v>90</v>
      </c>
      <c r="H1759" s="413"/>
      <c r="I1759" s="2112"/>
      <c r="N1759" s="413"/>
      <c r="T1759" s="2028"/>
      <c r="AB1759" s="413"/>
      <c r="AC1759" s="2795"/>
    </row>
    <row r="1760" spans="1:29" ht="12.75" customHeight="1" x14ac:dyDescent="0.2">
      <c r="A1760" s="2029">
        <v>211</v>
      </c>
      <c r="B1760" s="4995"/>
      <c r="C1760" s="65"/>
      <c r="D1760" s="68"/>
      <c r="E1760" s="594" t="s">
        <v>869</v>
      </c>
      <c r="F1760" s="601"/>
      <c r="G1760" s="593"/>
      <c r="H1760" s="413"/>
      <c r="I1760" s="2112"/>
      <c r="N1760" s="413"/>
      <c r="T1760" s="2028"/>
      <c r="AB1760" s="413"/>
      <c r="AC1760" s="2795"/>
    </row>
    <row r="1761" spans="1:29" ht="12.75" customHeight="1" x14ac:dyDescent="0.2">
      <c r="A1761" s="2029">
        <v>211</v>
      </c>
      <c r="B1761" s="4995"/>
      <c r="C1761" s="65"/>
      <c r="D1761" s="68"/>
      <c r="E1761" s="594" t="s">
        <v>870</v>
      </c>
      <c r="F1761" s="601">
        <v>4</v>
      </c>
      <c r="G1761" s="593" t="s">
        <v>91</v>
      </c>
      <c r="H1761" s="413"/>
      <c r="I1761" s="2112"/>
      <c r="N1761" s="413"/>
      <c r="T1761" s="2028"/>
      <c r="AB1761" s="413"/>
      <c r="AC1761" s="2795"/>
    </row>
    <row r="1762" spans="1:29" ht="12.75" customHeight="1" x14ac:dyDescent="0.2">
      <c r="A1762" s="2029">
        <v>211</v>
      </c>
      <c r="B1762" s="4995"/>
      <c r="C1762" s="65"/>
      <c r="D1762" s="68"/>
      <c r="E1762" s="594" t="s">
        <v>871</v>
      </c>
      <c r="F1762" s="601">
        <v>14</v>
      </c>
      <c r="G1762" s="593" t="s">
        <v>91</v>
      </c>
      <c r="H1762" s="413"/>
      <c r="I1762" s="2112"/>
      <c r="N1762" s="413"/>
      <c r="T1762" s="2028"/>
      <c r="AB1762" s="413"/>
      <c r="AC1762" s="2795"/>
    </row>
    <row r="1763" spans="1:29" ht="12.75" customHeight="1" x14ac:dyDescent="0.2">
      <c r="A1763" s="2029">
        <v>211</v>
      </c>
      <c r="B1763" s="4995"/>
      <c r="C1763" s="65"/>
      <c r="D1763" s="68"/>
      <c r="E1763" s="594" t="s">
        <v>872</v>
      </c>
      <c r="F1763" s="601">
        <v>24</v>
      </c>
      <c r="G1763" s="593" t="s">
        <v>91</v>
      </c>
      <c r="H1763" s="413"/>
      <c r="I1763" s="2112"/>
      <c r="N1763" s="413"/>
      <c r="T1763" s="2028"/>
      <c r="AB1763" s="413"/>
      <c r="AC1763" s="2795"/>
    </row>
    <row r="1764" spans="1:29" ht="12.75" customHeight="1" x14ac:dyDescent="0.2">
      <c r="A1764" s="2029">
        <v>211</v>
      </c>
      <c r="B1764" s="4995"/>
      <c r="C1764" s="65"/>
      <c r="D1764" s="68"/>
      <c r="E1764" s="594" t="s">
        <v>873</v>
      </c>
      <c r="F1764" s="601">
        <v>34</v>
      </c>
      <c r="G1764" s="593" t="s">
        <v>91</v>
      </c>
      <c r="H1764" s="413"/>
      <c r="I1764" s="2112"/>
      <c r="N1764" s="413"/>
      <c r="T1764" s="2028"/>
      <c r="AB1764" s="413"/>
      <c r="AC1764" s="2795"/>
    </row>
    <row r="1765" spans="1:29" ht="12.75" customHeight="1" x14ac:dyDescent="0.2">
      <c r="A1765" s="2029">
        <v>211</v>
      </c>
      <c r="B1765" s="4995"/>
      <c r="C1765" s="65"/>
      <c r="D1765" s="68"/>
      <c r="E1765" s="594" t="s">
        <v>874</v>
      </c>
      <c r="F1765" s="601">
        <v>44</v>
      </c>
      <c r="G1765" s="593" t="s">
        <v>91</v>
      </c>
      <c r="H1765" s="413"/>
      <c r="I1765" s="2112"/>
      <c r="N1765" s="413"/>
      <c r="T1765" s="2028"/>
      <c r="AB1765" s="413"/>
      <c r="AC1765" s="2795"/>
    </row>
    <row r="1766" spans="1:29" ht="12.75" customHeight="1" x14ac:dyDescent="0.2">
      <c r="A1766" s="2029">
        <v>211</v>
      </c>
      <c r="B1766" s="4995"/>
      <c r="C1766" s="65"/>
      <c r="D1766" s="68"/>
      <c r="E1766" s="594" t="s">
        <v>875</v>
      </c>
      <c r="F1766" s="601">
        <v>54</v>
      </c>
      <c r="G1766" s="593" t="s">
        <v>91</v>
      </c>
      <c r="H1766" s="413"/>
      <c r="I1766" s="2112"/>
      <c r="N1766" s="413"/>
      <c r="T1766" s="2028"/>
      <c r="AB1766" s="413"/>
      <c r="AC1766" s="2795"/>
    </row>
    <row r="1767" spans="1:29" ht="12.75" customHeight="1" x14ac:dyDescent="0.2">
      <c r="A1767" s="2029">
        <v>211</v>
      </c>
      <c r="B1767" s="4995"/>
      <c r="C1767" s="65"/>
      <c r="D1767" s="68"/>
      <c r="E1767" s="594" t="s">
        <v>876</v>
      </c>
      <c r="F1767" s="601">
        <v>64</v>
      </c>
      <c r="G1767" s="593" t="s">
        <v>91</v>
      </c>
      <c r="H1767" s="413"/>
      <c r="I1767" s="2112"/>
      <c r="N1767" s="413"/>
      <c r="T1767" s="2028"/>
      <c r="AB1767" s="413"/>
      <c r="AC1767" s="2795"/>
    </row>
    <row r="1768" spans="1:29" ht="12.75" customHeight="1" x14ac:dyDescent="0.2">
      <c r="A1768" s="2029">
        <v>211</v>
      </c>
      <c r="B1768" s="4995"/>
      <c r="C1768" s="65"/>
      <c r="D1768" s="68"/>
      <c r="E1768" s="594" t="s">
        <v>877</v>
      </c>
      <c r="F1768" s="601">
        <v>74</v>
      </c>
      <c r="G1768" s="593" t="s">
        <v>91</v>
      </c>
      <c r="H1768" s="413"/>
      <c r="I1768" s="2112"/>
      <c r="N1768" s="413"/>
      <c r="T1768" s="2028"/>
      <c r="AB1768" s="413"/>
      <c r="AC1768" s="2795"/>
    </row>
    <row r="1769" spans="1:29" ht="12.75" customHeight="1" x14ac:dyDescent="0.2">
      <c r="A1769" s="2029">
        <v>211</v>
      </c>
      <c r="B1769" s="4995"/>
      <c r="C1769" s="65"/>
      <c r="D1769" s="68"/>
      <c r="E1769" s="594" t="s">
        <v>878</v>
      </c>
      <c r="F1769" s="601">
        <v>84</v>
      </c>
      <c r="G1769" s="593" t="s">
        <v>91</v>
      </c>
      <c r="H1769" s="413"/>
      <c r="I1769" s="2112"/>
      <c r="N1769" s="413"/>
      <c r="T1769" s="2028"/>
      <c r="AB1769" s="413"/>
      <c r="AC1769" s="2795"/>
    </row>
    <row r="1770" spans="1:29" ht="12.75" customHeight="1" x14ac:dyDescent="0.2">
      <c r="A1770" s="2029">
        <v>211</v>
      </c>
      <c r="B1770" s="4995"/>
      <c r="C1770" s="65"/>
      <c r="D1770" s="68"/>
      <c r="E1770" s="594" t="s">
        <v>879</v>
      </c>
      <c r="F1770" s="601">
        <v>94</v>
      </c>
      <c r="G1770" s="593" t="s">
        <v>91</v>
      </c>
      <c r="H1770" s="413"/>
      <c r="I1770" s="2112"/>
      <c r="N1770" s="413"/>
      <c r="T1770" s="2028"/>
      <c r="AB1770" s="413"/>
      <c r="AC1770" s="2795"/>
    </row>
    <row r="1771" spans="1:29" ht="12.75" customHeight="1" x14ac:dyDescent="0.2">
      <c r="A1771" s="2029">
        <v>211</v>
      </c>
      <c r="B1771" s="4995"/>
      <c r="C1771" s="65"/>
      <c r="D1771" s="68"/>
      <c r="E1771" s="594" t="s">
        <v>880</v>
      </c>
      <c r="F1771" s="601"/>
      <c r="G1771" s="593"/>
      <c r="H1771" s="413"/>
      <c r="I1771" s="2112"/>
      <c r="N1771" s="413"/>
      <c r="T1771" s="2028"/>
      <c r="AB1771" s="413"/>
      <c r="AC1771" s="2795"/>
    </row>
    <row r="1772" spans="1:29" ht="12.75" customHeight="1" x14ac:dyDescent="0.2">
      <c r="A1772" s="2029">
        <v>211</v>
      </c>
      <c r="B1772" s="4995"/>
      <c r="C1772" s="65"/>
      <c r="D1772" s="68"/>
      <c r="E1772" s="594" t="s">
        <v>881</v>
      </c>
      <c r="F1772" s="601">
        <v>4</v>
      </c>
      <c r="G1772" s="593" t="s">
        <v>92</v>
      </c>
      <c r="H1772" s="413"/>
      <c r="I1772" s="2112"/>
      <c r="N1772" s="413"/>
      <c r="T1772" s="2028"/>
      <c r="AB1772" s="413"/>
      <c r="AC1772" s="2795"/>
    </row>
    <row r="1773" spans="1:29" ht="12.75" customHeight="1" x14ac:dyDescent="0.2">
      <c r="A1773" s="2029">
        <v>211</v>
      </c>
      <c r="B1773" s="4995"/>
      <c r="C1773" s="65"/>
      <c r="D1773" s="68"/>
      <c r="E1773" s="594" t="s">
        <v>882</v>
      </c>
      <c r="F1773" s="601">
        <v>14</v>
      </c>
      <c r="G1773" s="593" t="s">
        <v>92</v>
      </c>
      <c r="H1773" s="413"/>
      <c r="I1773" s="2112"/>
      <c r="N1773" s="413"/>
      <c r="T1773" s="2028"/>
      <c r="AB1773" s="413"/>
      <c r="AC1773" s="2795"/>
    </row>
    <row r="1774" spans="1:29" ht="12.75" customHeight="1" x14ac:dyDescent="0.2">
      <c r="A1774" s="2029">
        <v>211</v>
      </c>
      <c r="B1774" s="4995"/>
      <c r="C1774" s="65"/>
      <c r="D1774" s="68"/>
      <c r="E1774" s="594" t="s">
        <v>883</v>
      </c>
      <c r="F1774" s="601">
        <v>24</v>
      </c>
      <c r="G1774" s="593" t="s">
        <v>92</v>
      </c>
      <c r="H1774" s="413"/>
      <c r="I1774" s="2112"/>
      <c r="N1774" s="413"/>
      <c r="T1774" s="2028"/>
      <c r="AB1774" s="413"/>
      <c r="AC1774" s="2795"/>
    </row>
    <row r="1775" spans="1:29" ht="12.75" customHeight="1" x14ac:dyDescent="0.2">
      <c r="A1775" s="2029">
        <v>211</v>
      </c>
      <c r="B1775" s="4995"/>
      <c r="C1775" s="65"/>
      <c r="D1775" s="68"/>
      <c r="E1775" s="594" t="s">
        <v>884</v>
      </c>
      <c r="F1775" s="601">
        <v>34</v>
      </c>
      <c r="G1775" s="593" t="s">
        <v>92</v>
      </c>
      <c r="H1775" s="413"/>
      <c r="I1775" s="2112"/>
      <c r="N1775" s="413"/>
      <c r="T1775" s="2028"/>
      <c r="AB1775" s="413"/>
      <c r="AC1775" s="2795"/>
    </row>
    <row r="1776" spans="1:29" ht="12.75" customHeight="1" x14ac:dyDescent="0.2">
      <c r="A1776" s="2029">
        <v>211</v>
      </c>
      <c r="B1776" s="4995"/>
      <c r="C1776" s="65"/>
      <c r="D1776" s="68"/>
      <c r="E1776" s="594" t="s">
        <v>885</v>
      </c>
      <c r="F1776" s="601">
        <v>44</v>
      </c>
      <c r="G1776" s="593" t="s">
        <v>92</v>
      </c>
      <c r="H1776" s="413"/>
      <c r="I1776" s="2112"/>
      <c r="N1776" s="413"/>
      <c r="T1776" s="2028"/>
      <c r="AB1776" s="413"/>
      <c r="AC1776" s="2795"/>
    </row>
    <row r="1777" spans="1:29" ht="12.75" customHeight="1" x14ac:dyDescent="0.2">
      <c r="A1777" s="2029">
        <v>211</v>
      </c>
      <c r="B1777" s="4995"/>
      <c r="C1777" s="65"/>
      <c r="D1777" s="68"/>
      <c r="E1777" s="594" t="s">
        <v>886</v>
      </c>
      <c r="F1777" s="601">
        <v>54</v>
      </c>
      <c r="G1777" s="593" t="s">
        <v>92</v>
      </c>
      <c r="H1777" s="413"/>
      <c r="I1777" s="2112"/>
      <c r="N1777" s="413"/>
      <c r="T1777" s="2028"/>
      <c r="AB1777" s="413"/>
      <c r="AC1777" s="2795"/>
    </row>
    <row r="1778" spans="1:29" ht="12.75" customHeight="1" x14ac:dyDescent="0.2">
      <c r="A1778" s="2029">
        <v>211</v>
      </c>
      <c r="B1778" s="4995"/>
      <c r="C1778" s="65"/>
      <c r="D1778" s="68"/>
      <c r="E1778" s="594" t="s">
        <v>887</v>
      </c>
      <c r="F1778" s="601">
        <v>64</v>
      </c>
      <c r="G1778" s="593" t="s">
        <v>92</v>
      </c>
      <c r="H1778" s="413"/>
      <c r="I1778" s="2112"/>
      <c r="N1778" s="413"/>
      <c r="T1778" s="2028"/>
      <c r="AB1778" s="413"/>
      <c r="AC1778" s="2795"/>
    </row>
    <row r="1779" spans="1:29" ht="12.75" customHeight="1" x14ac:dyDescent="0.2">
      <c r="A1779" s="2029">
        <v>211</v>
      </c>
      <c r="B1779" s="4995"/>
      <c r="C1779" s="65"/>
      <c r="D1779" s="68"/>
      <c r="E1779" s="594" t="s">
        <v>888</v>
      </c>
      <c r="F1779" s="601">
        <v>74</v>
      </c>
      <c r="G1779" s="593" t="s">
        <v>92</v>
      </c>
      <c r="H1779" s="413"/>
      <c r="I1779" s="2112"/>
      <c r="N1779" s="413"/>
      <c r="T1779" s="2028"/>
      <c r="AB1779" s="413"/>
      <c r="AC1779" s="2795"/>
    </row>
    <row r="1780" spans="1:29" ht="12.75" customHeight="1" x14ac:dyDescent="0.2">
      <c r="A1780" s="2029">
        <v>211</v>
      </c>
      <c r="B1780" s="4995"/>
      <c r="C1780" s="65"/>
      <c r="D1780" s="68"/>
      <c r="E1780" s="594" t="s">
        <v>889</v>
      </c>
      <c r="F1780" s="601">
        <v>84</v>
      </c>
      <c r="G1780" s="593" t="s">
        <v>92</v>
      </c>
      <c r="H1780" s="413"/>
      <c r="I1780" s="2112"/>
      <c r="N1780" s="413"/>
      <c r="T1780" s="2028"/>
      <c r="AB1780" s="413"/>
      <c r="AC1780" s="2795"/>
    </row>
    <row r="1781" spans="1:29" ht="12.75" customHeight="1" x14ac:dyDescent="0.2">
      <c r="A1781" s="2029">
        <v>211</v>
      </c>
      <c r="B1781" s="4995"/>
      <c r="C1781" s="65"/>
      <c r="D1781" s="68"/>
      <c r="E1781" s="594" t="s">
        <v>890</v>
      </c>
      <c r="F1781" s="601">
        <v>94</v>
      </c>
      <c r="G1781" s="593" t="s">
        <v>92</v>
      </c>
      <c r="H1781" s="413"/>
      <c r="I1781" s="2112"/>
      <c r="N1781" s="413"/>
      <c r="T1781" s="2028"/>
      <c r="AB1781" s="413"/>
      <c r="AC1781" s="2795"/>
    </row>
    <row r="1782" spans="1:29" ht="12.75" customHeight="1" x14ac:dyDescent="0.2">
      <c r="A1782" s="2029">
        <v>211</v>
      </c>
      <c r="B1782" s="4995"/>
      <c r="C1782" s="65"/>
      <c r="D1782" s="68"/>
      <c r="E1782" s="594" t="s">
        <v>891</v>
      </c>
      <c r="F1782" s="601"/>
      <c r="G1782" s="593"/>
      <c r="H1782" s="413"/>
      <c r="I1782" s="2112"/>
      <c r="N1782" s="413"/>
      <c r="T1782" s="2028"/>
      <c r="AB1782" s="413"/>
      <c r="AC1782" s="2795"/>
    </row>
    <row r="1783" spans="1:29" ht="12.75" customHeight="1" x14ac:dyDescent="0.2">
      <c r="A1783" s="2029">
        <v>211</v>
      </c>
      <c r="B1783" s="4995"/>
      <c r="C1783" s="65"/>
      <c r="D1783" s="68"/>
      <c r="E1783" s="594" t="s">
        <v>892</v>
      </c>
      <c r="F1783" s="601">
        <v>4</v>
      </c>
      <c r="G1783" s="593" t="s">
        <v>2536</v>
      </c>
      <c r="H1783" s="413"/>
      <c r="I1783" s="2112"/>
      <c r="N1783" s="413"/>
      <c r="T1783" s="2028"/>
      <c r="AB1783" s="413"/>
      <c r="AC1783" s="2795"/>
    </row>
    <row r="1784" spans="1:29" ht="12.75" customHeight="1" x14ac:dyDescent="0.2">
      <c r="A1784" s="2029">
        <v>211</v>
      </c>
      <c r="B1784" s="4995"/>
      <c r="C1784" s="65"/>
      <c r="D1784" s="68"/>
      <c r="E1784" s="594" t="s">
        <v>893</v>
      </c>
      <c r="F1784" s="601">
        <v>14</v>
      </c>
      <c r="G1784" s="593" t="s">
        <v>2536</v>
      </c>
      <c r="H1784" s="413"/>
      <c r="I1784" s="2112"/>
      <c r="N1784" s="413"/>
      <c r="AB1784" s="413"/>
      <c r="AC1784" s="2795"/>
    </row>
    <row r="1785" spans="1:29" ht="12.75" customHeight="1" x14ac:dyDescent="0.2">
      <c r="A1785" s="2029">
        <v>211</v>
      </c>
      <c r="B1785" s="4995"/>
      <c r="C1785" s="65"/>
      <c r="D1785" s="68"/>
      <c r="E1785" s="594" t="s">
        <v>894</v>
      </c>
      <c r="F1785" s="601">
        <v>24</v>
      </c>
      <c r="G1785" s="593" t="s">
        <v>2536</v>
      </c>
      <c r="H1785" s="413"/>
      <c r="I1785" s="2112"/>
      <c r="N1785" s="413"/>
      <c r="AB1785" s="413"/>
      <c r="AC1785" s="2795"/>
    </row>
    <row r="1786" spans="1:29" ht="12.75" customHeight="1" x14ac:dyDescent="0.2">
      <c r="A1786" s="2029">
        <v>211</v>
      </c>
      <c r="B1786" s="4995"/>
      <c r="C1786" s="65"/>
      <c r="D1786" s="68"/>
      <c r="E1786" s="594" t="s">
        <v>895</v>
      </c>
      <c r="F1786" s="601">
        <v>34</v>
      </c>
      <c r="G1786" s="593" t="s">
        <v>2536</v>
      </c>
      <c r="H1786" s="413"/>
      <c r="I1786" s="2112"/>
      <c r="N1786" s="413"/>
      <c r="AB1786" s="413"/>
      <c r="AC1786" s="2795"/>
    </row>
    <row r="1787" spans="1:29" ht="12.75" customHeight="1" x14ac:dyDescent="0.2">
      <c r="A1787" s="2029">
        <v>211</v>
      </c>
      <c r="B1787" s="4995"/>
      <c r="C1787" s="65"/>
      <c r="D1787" s="68"/>
      <c r="E1787" s="594" t="s">
        <v>896</v>
      </c>
      <c r="F1787" s="601">
        <v>44</v>
      </c>
      <c r="G1787" s="593" t="s">
        <v>2536</v>
      </c>
      <c r="H1787" s="413"/>
      <c r="I1787" s="2112"/>
      <c r="N1787" s="413"/>
      <c r="AB1787" s="413"/>
      <c r="AC1787" s="2795"/>
    </row>
    <row r="1788" spans="1:29" ht="12.75" customHeight="1" x14ac:dyDescent="0.2">
      <c r="A1788" s="2029">
        <v>211</v>
      </c>
      <c r="B1788" s="4995"/>
      <c r="C1788" s="65"/>
      <c r="D1788" s="68"/>
      <c r="E1788" s="594" t="s">
        <v>897</v>
      </c>
      <c r="F1788" s="601">
        <v>54</v>
      </c>
      <c r="G1788" s="593" t="s">
        <v>2536</v>
      </c>
      <c r="H1788" s="413"/>
      <c r="I1788" s="2112"/>
      <c r="N1788" s="413"/>
      <c r="AB1788" s="413"/>
      <c r="AC1788" s="2795"/>
    </row>
    <row r="1789" spans="1:29" ht="12.75" customHeight="1" x14ac:dyDescent="0.2">
      <c r="A1789" s="2029">
        <v>211</v>
      </c>
      <c r="B1789" s="4995"/>
      <c r="C1789" s="65"/>
      <c r="D1789" s="68"/>
      <c r="E1789" s="594" t="s">
        <v>898</v>
      </c>
      <c r="F1789" s="601">
        <v>64</v>
      </c>
      <c r="G1789" s="593" t="s">
        <v>2536</v>
      </c>
      <c r="H1789" s="413"/>
      <c r="I1789" s="2112"/>
      <c r="N1789" s="413"/>
      <c r="AB1789" s="413"/>
      <c r="AC1789" s="2795"/>
    </row>
    <row r="1790" spans="1:29" ht="12.75" customHeight="1" x14ac:dyDescent="0.2">
      <c r="A1790" s="2029">
        <v>211</v>
      </c>
      <c r="B1790" s="4995"/>
      <c r="C1790" s="65"/>
      <c r="D1790" s="68"/>
      <c r="E1790" s="594" t="s">
        <v>899</v>
      </c>
      <c r="F1790" s="601">
        <v>74</v>
      </c>
      <c r="G1790" s="593" t="s">
        <v>2536</v>
      </c>
      <c r="H1790" s="413"/>
      <c r="I1790" s="2112"/>
      <c r="N1790" s="413"/>
      <c r="AB1790" s="413"/>
      <c r="AC1790" s="2795"/>
    </row>
    <row r="1791" spans="1:29" ht="12.75" customHeight="1" x14ac:dyDescent="0.2">
      <c r="A1791" s="2029">
        <v>211</v>
      </c>
      <c r="B1791" s="4995"/>
      <c r="C1791" s="65"/>
      <c r="D1791" s="68"/>
      <c r="E1791" s="594" t="s">
        <v>900</v>
      </c>
      <c r="F1791" s="601">
        <v>84</v>
      </c>
      <c r="G1791" s="593" t="s">
        <v>2536</v>
      </c>
      <c r="H1791" s="413"/>
      <c r="I1791" s="2112"/>
      <c r="N1791" s="413"/>
      <c r="AB1791" s="413"/>
      <c r="AC1791" s="2795"/>
    </row>
    <row r="1792" spans="1:29" ht="12.75" customHeight="1" x14ac:dyDescent="0.2">
      <c r="A1792" s="2029">
        <v>211</v>
      </c>
      <c r="B1792" s="4995"/>
      <c r="C1792" s="65"/>
      <c r="D1792" s="68"/>
      <c r="E1792" s="594" t="s">
        <v>901</v>
      </c>
      <c r="F1792" s="601">
        <v>94</v>
      </c>
      <c r="G1792" s="593" t="s">
        <v>2536</v>
      </c>
      <c r="H1792" s="413"/>
      <c r="I1792" s="2112"/>
      <c r="N1792" s="413"/>
      <c r="AB1792" s="413"/>
      <c r="AC1792" s="2795"/>
    </row>
    <row r="1793" spans="1:79" ht="12.75" customHeight="1" x14ac:dyDescent="0.2">
      <c r="A1793" s="2029">
        <v>211</v>
      </c>
      <c r="B1793" s="4995"/>
      <c r="C1793" s="65"/>
      <c r="D1793" s="68"/>
      <c r="E1793" s="594" t="s">
        <v>902</v>
      </c>
      <c r="F1793" s="601"/>
      <c r="G1793" s="593"/>
      <c r="H1793" s="413"/>
      <c r="I1793" s="2112"/>
      <c r="N1793" s="413"/>
      <c r="AB1793" s="413"/>
      <c r="AC1793" s="2795"/>
    </row>
    <row r="1794" spans="1:79" ht="12.75" customHeight="1" x14ac:dyDescent="0.2">
      <c r="A1794" s="2029">
        <v>211</v>
      </c>
      <c r="B1794" s="4995"/>
      <c r="C1794" s="65"/>
      <c r="D1794" s="68"/>
      <c r="E1794" s="594" t="s">
        <v>903</v>
      </c>
      <c r="F1794" s="601">
        <v>4</v>
      </c>
      <c r="G1794" s="593" t="s">
        <v>93</v>
      </c>
      <c r="H1794" s="413"/>
      <c r="I1794" s="2112"/>
      <c r="N1794" s="413"/>
      <c r="AB1794" s="413"/>
      <c r="AC1794" s="2795"/>
    </row>
    <row r="1795" spans="1:79" ht="12.75" customHeight="1" x14ac:dyDescent="0.2">
      <c r="A1795" s="2029">
        <v>211</v>
      </c>
      <c r="B1795" s="4995"/>
      <c r="C1795" s="65"/>
      <c r="D1795" s="68"/>
      <c r="E1795" s="594" t="s">
        <v>904</v>
      </c>
      <c r="F1795" s="601">
        <v>14</v>
      </c>
      <c r="G1795" s="593" t="s">
        <v>93</v>
      </c>
      <c r="H1795" s="413"/>
      <c r="I1795" s="2112"/>
      <c r="N1795" s="413"/>
      <c r="AB1795" s="413"/>
      <c r="AC1795" s="2795"/>
    </row>
    <row r="1796" spans="1:79" ht="12.75" customHeight="1" x14ac:dyDescent="0.2">
      <c r="A1796" s="2029">
        <v>211</v>
      </c>
      <c r="B1796" s="4995"/>
      <c r="C1796" s="65"/>
      <c r="D1796" s="68"/>
      <c r="E1796" s="594" t="s">
        <v>905</v>
      </c>
      <c r="F1796" s="601">
        <v>24</v>
      </c>
      <c r="G1796" s="593" t="s">
        <v>93</v>
      </c>
      <c r="H1796" s="413"/>
      <c r="I1796" s="2112"/>
      <c r="N1796" s="413"/>
      <c r="AB1796" s="413"/>
      <c r="AC1796" s="2795"/>
    </row>
    <row r="1797" spans="1:79" ht="12.75" customHeight="1" x14ac:dyDescent="0.2">
      <c r="A1797" s="2029">
        <v>211</v>
      </c>
      <c r="B1797" s="4995"/>
      <c r="C1797" s="65"/>
      <c r="D1797" s="68"/>
      <c r="E1797" s="594" t="s">
        <v>906</v>
      </c>
      <c r="F1797" s="601">
        <v>34</v>
      </c>
      <c r="G1797" s="593" t="s">
        <v>93</v>
      </c>
      <c r="H1797" s="413"/>
      <c r="I1797" s="2112"/>
      <c r="N1797" s="413"/>
      <c r="AB1797" s="413"/>
      <c r="AC1797" s="2795"/>
    </row>
    <row r="1798" spans="1:79" ht="12.75" customHeight="1" x14ac:dyDescent="0.2">
      <c r="A1798" s="2029">
        <v>211</v>
      </c>
      <c r="B1798" s="4995"/>
      <c r="C1798" s="65"/>
      <c r="D1798" s="68"/>
      <c r="E1798" s="594" t="s">
        <v>907</v>
      </c>
      <c r="F1798" s="601">
        <v>44</v>
      </c>
      <c r="G1798" s="593" t="s">
        <v>93</v>
      </c>
      <c r="H1798" s="413"/>
      <c r="I1798" s="2112"/>
      <c r="N1798" s="413"/>
      <c r="AB1798" s="413"/>
      <c r="AC1798" s="2795"/>
    </row>
    <row r="1799" spans="1:79" ht="12.75" customHeight="1" x14ac:dyDescent="0.2">
      <c r="A1799" s="2029">
        <v>211</v>
      </c>
      <c r="B1799" s="4995"/>
      <c r="C1799" s="65"/>
      <c r="D1799" s="68"/>
      <c r="E1799" s="594" t="s">
        <v>908</v>
      </c>
      <c r="F1799" s="601">
        <v>54</v>
      </c>
      <c r="G1799" s="593" t="s">
        <v>93</v>
      </c>
      <c r="H1799" s="413"/>
      <c r="I1799" s="2112"/>
      <c r="N1799" s="413"/>
      <c r="AB1799" s="413"/>
      <c r="AC1799" s="2795"/>
    </row>
    <row r="1800" spans="1:79" ht="12.75" customHeight="1" x14ac:dyDescent="0.2">
      <c r="A1800" s="2029">
        <v>211</v>
      </c>
      <c r="B1800" s="4995"/>
      <c r="C1800" s="65"/>
      <c r="D1800" s="68"/>
      <c r="E1800" s="594" t="s">
        <v>909</v>
      </c>
      <c r="F1800" s="601">
        <v>64</v>
      </c>
      <c r="G1800" s="593" t="s">
        <v>93</v>
      </c>
      <c r="H1800" s="413"/>
      <c r="I1800" s="2112"/>
      <c r="N1800" s="413"/>
      <c r="AB1800" s="413"/>
      <c r="AC1800" s="2795"/>
    </row>
    <row r="1801" spans="1:79" ht="12.75" customHeight="1" x14ac:dyDescent="0.2">
      <c r="A1801" s="2029">
        <v>211</v>
      </c>
      <c r="B1801" s="4995"/>
      <c r="C1801" s="65"/>
      <c r="D1801" s="68"/>
      <c r="E1801" s="594" t="s">
        <v>910</v>
      </c>
      <c r="F1801" s="601">
        <v>74</v>
      </c>
      <c r="G1801" s="593" t="s">
        <v>93</v>
      </c>
      <c r="H1801" s="413"/>
      <c r="I1801" s="2112"/>
      <c r="N1801" s="413"/>
      <c r="AB1801" s="413"/>
      <c r="AC1801" s="2795"/>
    </row>
    <row r="1802" spans="1:79" ht="12.75" customHeight="1" x14ac:dyDescent="0.2">
      <c r="A1802" s="2029">
        <v>211</v>
      </c>
      <c r="B1802" s="4995"/>
      <c r="C1802" s="65"/>
      <c r="D1802" s="68"/>
      <c r="E1802" s="594" t="s">
        <v>911</v>
      </c>
      <c r="F1802" s="601">
        <v>84</v>
      </c>
      <c r="G1802" s="593" t="s">
        <v>93</v>
      </c>
      <c r="H1802" s="413"/>
      <c r="I1802" s="2112"/>
      <c r="N1802" s="413"/>
      <c r="AB1802" s="413"/>
      <c r="AC1802" s="2795"/>
    </row>
    <row r="1803" spans="1:79" ht="12.75" customHeight="1" thickBot="1" x14ac:dyDescent="0.25">
      <c r="A1803" s="2029">
        <v>211</v>
      </c>
      <c r="B1803" s="4995"/>
      <c r="C1803" s="198"/>
      <c r="D1803" s="199"/>
      <c r="E1803" s="598" t="s">
        <v>912</v>
      </c>
      <c r="F1803" s="602">
        <v>94</v>
      </c>
      <c r="G1803" s="600" t="s">
        <v>93</v>
      </c>
      <c r="H1803" s="413"/>
      <c r="I1803" s="2112"/>
      <c r="N1803" s="413"/>
      <c r="AB1803" s="413"/>
      <c r="AC1803" s="2795"/>
    </row>
    <row r="1804" spans="1:79" ht="12.75" customHeight="1" x14ac:dyDescent="0.2">
      <c r="A1804" s="2029">
        <v>211</v>
      </c>
      <c r="B1804" s="4995"/>
      <c r="H1804" s="413"/>
      <c r="N1804" s="413"/>
      <c r="AB1804" s="413"/>
      <c r="AC1804" s="2795"/>
    </row>
    <row r="1805" spans="1:79" ht="12.75" customHeight="1" x14ac:dyDescent="0.2">
      <c r="A1805" s="2029">
        <v>211</v>
      </c>
      <c r="B1805" s="4995"/>
      <c r="F1805" s="2112"/>
      <c r="H1805" s="413"/>
      <c r="N1805" s="413"/>
      <c r="AB1805" s="413"/>
      <c r="AC1805" s="2795"/>
    </row>
    <row r="1806" spans="1:79" ht="12.75" customHeight="1" x14ac:dyDescent="0.2">
      <c r="A1806" s="2029">
        <v>211</v>
      </c>
      <c r="B1806" s="4995"/>
      <c r="F1806" s="2112"/>
      <c r="H1806" s="413"/>
      <c r="N1806" s="413"/>
      <c r="W1806" s="2795"/>
      <c r="AB1806" s="413"/>
    </row>
    <row r="1807" spans="1:79" ht="12.75" customHeight="1" x14ac:dyDescent="0.2">
      <c r="A1807" s="2029">
        <v>211</v>
      </c>
      <c r="B1807" s="4995"/>
      <c r="H1807" s="413"/>
      <c r="I1807" s="1761"/>
      <c r="N1807" s="413"/>
      <c r="O1807" s="2112"/>
      <c r="W1807" s="2795"/>
      <c r="AB1807" s="413"/>
    </row>
    <row r="1808" spans="1:79" ht="12.75" customHeight="1" x14ac:dyDescent="0.2">
      <c r="A1808" s="2029">
        <v>211</v>
      </c>
      <c r="B1808" s="4995"/>
      <c r="C1808" s="5003" t="s">
        <v>9444</v>
      </c>
      <c r="D1808" s="5003"/>
      <c r="E1808" s="5003"/>
      <c r="F1808" s="5003"/>
      <c r="G1808" s="5003"/>
      <c r="H1808" s="5003"/>
      <c r="I1808" s="5003"/>
      <c r="J1808" s="5003"/>
      <c r="K1808" s="5003"/>
      <c r="L1808" s="5003"/>
      <c r="M1808" s="5003"/>
      <c r="N1808" s="5003"/>
      <c r="O1808" s="5003"/>
      <c r="P1808" s="5003"/>
      <c r="Q1808" s="5003"/>
      <c r="R1808" s="5003"/>
      <c r="S1808" s="5003"/>
      <c r="T1808" s="5003"/>
      <c r="U1808" s="5003"/>
      <c r="V1808" s="5003"/>
      <c r="W1808" s="5003"/>
      <c r="X1808" s="5003"/>
      <c r="Y1808" s="5003"/>
      <c r="Z1808" s="5003"/>
      <c r="AA1808" s="5003"/>
      <c r="AB1808" s="5003"/>
      <c r="AC1808" s="5003"/>
      <c r="AD1808" s="5003"/>
      <c r="AE1808" s="5003"/>
      <c r="AF1808" s="5003"/>
      <c r="AG1808" s="5003"/>
      <c r="AH1808" s="5003"/>
      <c r="AI1808" s="5003"/>
      <c r="AJ1808" s="5003"/>
      <c r="AK1808" s="5003"/>
      <c r="AL1808" s="5003"/>
      <c r="AM1808" s="5003"/>
      <c r="AN1808" s="5003"/>
      <c r="AO1808" s="5003"/>
      <c r="AP1808" s="5003"/>
      <c r="AQ1808" s="5003"/>
      <c r="AR1808" s="5003"/>
      <c r="AS1808" s="5003"/>
      <c r="AT1808" s="5003"/>
      <c r="AU1808" s="5003"/>
      <c r="AV1808" s="5003"/>
      <c r="AW1808" s="5003"/>
      <c r="AX1808" s="5003"/>
      <c r="AY1808" s="5003"/>
      <c r="AZ1808" s="5003"/>
      <c r="BA1808" s="5003"/>
      <c r="BB1808" s="5003"/>
      <c r="BC1808" s="5003"/>
      <c r="BD1808" s="5003"/>
      <c r="BE1808" s="5003"/>
      <c r="BF1808" s="5003"/>
      <c r="BG1808" s="5003"/>
      <c r="BH1808" s="5003"/>
      <c r="BI1808" s="5003"/>
      <c r="BJ1808" s="5003"/>
      <c r="BK1808" s="5003"/>
      <c r="BL1808" s="5003"/>
      <c r="BM1808" s="5003"/>
      <c r="BN1808" s="5003"/>
      <c r="BO1808" s="5003"/>
      <c r="BP1808" s="5003"/>
      <c r="BQ1808" s="5003"/>
      <c r="BR1808" s="5003"/>
      <c r="BS1808" s="5003"/>
      <c r="BT1808" s="5003"/>
      <c r="BU1808" s="5003"/>
      <c r="BV1808" s="5003"/>
      <c r="BW1808" s="5003"/>
      <c r="BX1808" s="5003"/>
      <c r="BY1808" s="5003"/>
      <c r="BZ1808" s="5003"/>
      <c r="CA1808" s="5003"/>
    </row>
    <row r="1809" spans="1:79" ht="12.75" customHeight="1" x14ac:dyDescent="0.2">
      <c r="A1809" s="2029">
        <v>211</v>
      </c>
      <c r="B1809" s="4995"/>
      <c r="C1809" s="5003"/>
      <c r="D1809" s="5003"/>
      <c r="E1809" s="5003"/>
      <c r="F1809" s="5003"/>
      <c r="G1809" s="5003"/>
      <c r="H1809" s="5003"/>
      <c r="I1809" s="5003"/>
      <c r="J1809" s="5003"/>
      <c r="K1809" s="5003"/>
      <c r="L1809" s="5003"/>
      <c r="M1809" s="5003"/>
      <c r="N1809" s="5003"/>
      <c r="O1809" s="5003"/>
      <c r="P1809" s="5003"/>
      <c r="Q1809" s="5003"/>
      <c r="R1809" s="5003"/>
      <c r="S1809" s="5003"/>
      <c r="T1809" s="5003"/>
      <c r="U1809" s="5003"/>
      <c r="V1809" s="5003"/>
      <c r="W1809" s="5003"/>
      <c r="X1809" s="5003"/>
      <c r="Y1809" s="5003"/>
      <c r="Z1809" s="5003"/>
      <c r="AA1809" s="5003"/>
      <c r="AB1809" s="5003"/>
      <c r="AC1809" s="5003"/>
      <c r="AD1809" s="5003"/>
      <c r="AE1809" s="5003"/>
      <c r="AF1809" s="5003"/>
      <c r="AG1809" s="5003"/>
      <c r="AH1809" s="5003"/>
      <c r="AI1809" s="5003"/>
      <c r="AJ1809" s="5003"/>
      <c r="AK1809" s="5003"/>
      <c r="AL1809" s="5003"/>
      <c r="AM1809" s="5003"/>
      <c r="AN1809" s="5003"/>
      <c r="AO1809" s="5003"/>
      <c r="AP1809" s="5003"/>
      <c r="AQ1809" s="5003"/>
      <c r="AR1809" s="5003"/>
      <c r="AS1809" s="5003"/>
      <c r="AT1809" s="5003"/>
      <c r="AU1809" s="5003"/>
      <c r="AV1809" s="5003"/>
      <c r="AW1809" s="5003"/>
      <c r="AX1809" s="5003"/>
      <c r="AY1809" s="5003"/>
      <c r="AZ1809" s="5003"/>
      <c r="BA1809" s="5003"/>
      <c r="BB1809" s="5003"/>
      <c r="BC1809" s="5003"/>
      <c r="BD1809" s="5003"/>
      <c r="BE1809" s="5003"/>
      <c r="BF1809" s="5003"/>
      <c r="BG1809" s="5003"/>
      <c r="BH1809" s="5003"/>
      <c r="BI1809" s="5003"/>
      <c r="BJ1809" s="5003"/>
      <c r="BK1809" s="5003"/>
      <c r="BL1809" s="5003"/>
      <c r="BM1809" s="5003"/>
      <c r="BN1809" s="5003"/>
      <c r="BO1809" s="5003"/>
      <c r="BP1809" s="5003"/>
      <c r="BQ1809" s="5003"/>
      <c r="BR1809" s="5003"/>
      <c r="BS1809" s="5003"/>
      <c r="BT1809" s="5003"/>
      <c r="BU1809" s="5003"/>
      <c r="BV1809" s="5003"/>
      <c r="BW1809" s="5003"/>
      <c r="BX1809" s="5003"/>
      <c r="BY1809" s="5003"/>
      <c r="BZ1809" s="5003"/>
      <c r="CA1809" s="5003"/>
    </row>
    <row r="1810" spans="1:79" ht="12.75" customHeight="1" x14ac:dyDescent="0.2">
      <c r="A1810" s="2029">
        <v>211</v>
      </c>
      <c r="B1810" s="4995"/>
      <c r="C1810" s="5003"/>
      <c r="D1810" s="5003"/>
      <c r="E1810" s="5003"/>
      <c r="F1810" s="5003"/>
      <c r="G1810" s="5003"/>
      <c r="H1810" s="5003"/>
      <c r="I1810" s="5003"/>
      <c r="J1810" s="5003"/>
      <c r="K1810" s="5003"/>
      <c r="L1810" s="5003"/>
      <c r="M1810" s="5003"/>
      <c r="N1810" s="5003"/>
      <c r="O1810" s="5003"/>
      <c r="P1810" s="5003"/>
      <c r="Q1810" s="5003"/>
      <c r="R1810" s="5003"/>
      <c r="S1810" s="5003"/>
      <c r="T1810" s="5003"/>
      <c r="U1810" s="5003"/>
      <c r="V1810" s="5003"/>
      <c r="W1810" s="5003"/>
      <c r="X1810" s="5003"/>
      <c r="Y1810" s="5003"/>
      <c r="Z1810" s="5003"/>
      <c r="AA1810" s="5003"/>
      <c r="AB1810" s="5003"/>
      <c r="AC1810" s="5003"/>
      <c r="AD1810" s="5003"/>
      <c r="AE1810" s="5003"/>
      <c r="AF1810" s="5003"/>
      <c r="AG1810" s="5003"/>
      <c r="AH1810" s="5003"/>
      <c r="AI1810" s="5003"/>
      <c r="AJ1810" s="5003"/>
      <c r="AK1810" s="5003"/>
      <c r="AL1810" s="5003"/>
      <c r="AM1810" s="5003"/>
      <c r="AN1810" s="5003"/>
      <c r="AO1810" s="5003"/>
      <c r="AP1810" s="5003"/>
      <c r="AQ1810" s="5003"/>
      <c r="AR1810" s="5003"/>
      <c r="AS1810" s="5003"/>
      <c r="AT1810" s="5003"/>
      <c r="AU1810" s="5003"/>
      <c r="AV1810" s="5003"/>
      <c r="AW1810" s="5003"/>
      <c r="AX1810" s="5003"/>
      <c r="AY1810" s="5003"/>
      <c r="AZ1810" s="5003"/>
      <c r="BA1810" s="5003"/>
      <c r="BB1810" s="5003"/>
      <c r="BC1810" s="5003"/>
      <c r="BD1810" s="5003"/>
      <c r="BE1810" s="5003"/>
      <c r="BF1810" s="5003"/>
      <c r="BG1810" s="5003"/>
      <c r="BH1810" s="5003"/>
      <c r="BI1810" s="5003"/>
      <c r="BJ1810" s="5003"/>
      <c r="BK1810" s="5003"/>
      <c r="BL1810" s="5003"/>
      <c r="BM1810" s="5003"/>
      <c r="BN1810" s="5003"/>
      <c r="BO1810" s="5003"/>
      <c r="BP1810" s="5003"/>
      <c r="BQ1810" s="5003"/>
      <c r="BR1810" s="5003"/>
      <c r="BS1810" s="5003"/>
      <c r="BT1810" s="5003"/>
      <c r="BU1810" s="5003"/>
      <c r="BV1810" s="5003"/>
      <c r="BW1810" s="5003"/>
      <c r="BX1810" s="5003"/>
      <c r="BY1810" s="5003"/>
      <c r="BZ1810" s="5003"/>
      <c r="CA1810" s="5003"/>
    </row>
    <row r="1811" spans="1:79" ht="12.75" customHeight="1" thickBot="1" x14ac:dyDescent="0.25">
      <c r="A1811" s="2029">
        <v>211</v>
      </c>
      <c r="B1811" s="4995"/>
      <c r="H1811" s="413"/>
      <c r="I1811" s="1761"/>
      <c r="N1811" s="413"/>
      <c r="O1811" s="2112"/>
      <c r="AB1811" s="413"/>
      <c r="AC1811" s="2795"/>
    </row>
    <row r="1812" spans="1:79" ht="12.75" customHeight="1" x14ac:dyDescent="0.2">
      <c r="A1812" s="2029">
        <v>211</v>
      </c>
      <c r="B1812" s="4995"/>
      <c r="C1812" s="5010" t="s">
        <v>1552</v>
      </c>
      <c r="D1812" s="5011"/>
      <c r="E1812" s="5011"/>
      <c r="F1812" s="5011"/>
      <c r="G1812" s="5011"/>
      <c r="H1812" s="5011"/>
      <c r="I1812" s="5011"/>
      <c r="J1812" s="5011"/>
      <c r="K1812" s="5012"/>
      <c r="M1812" s="3997" t="s">
        <v>1752</v>
      </c>
      <c r="N1812" s="3998"/>
      <c r="O1812" s="3998"/>
      <c r="P1812" s="3998"/>
      <c r="Q1812" s="3998"/>
      <c r="R1812" s="3998"/>
      <c r="S1812" s="3998"/>
      <c r="T1812" s="3999"/>
      <c r="V1812" s="5018" t="s">
        <v>1754</v>
      </c>
      <c r="W1812" s="4013"/>
      <c r="X1812" s="5016" t="s">
        <v>9455</v>
      </c>
      <c r="Y1812" s="5021" t="s">
        <v>9461</v>
      </c>
      <c r="Z1812" s="5016"/>
      <c r="AA1812" s="5016"/>
      <c r="AB1812" s="5016"/>
      <c r="AC1812" s="5016"/>
      <c r="AD1812" s="5016"/>
      <c r="AE1812" s="5016"/>
      <c r="AF1812" s="5016"/>
      <c r="AG1812" s="5016"/>
      <c r="AH1812" s="5016"/>
      <c r="AI1812" s="5016"/>
      <c r="AJ1812" s="5016"/>
      <c r="AK1812" s="5016"/>
      <c r="AL1812" s="5016"/>
      <c r="AM1812" s="5016"/>
      <c r="AN1812" s="5016"/>
      <c r="AO1812" s="5016"/>
      <c r="AP1812" s="5016"/>
      <c r="AQ1812" s="5016"/>
      <c r="AR1812" s="5016"/>
      <c r="AS1812" s="5016"/>
      <c r="AT1812" s="5016"/>
      <c r="AU1812" s="5016"/>
      <c r="AV1812" s="5016"/>
      <c r="AW1812" s="5016"/>
      <c r="AX1812" s="5016"/>
      <c r="AY1812" s="5016"/>
      <c r="AZ1812" s="5016"/>
      <c r="BA1812" s="5016"/>
      <c r="BB1812" s="5016"/>
      <c r="BC1812" s="5016"/>
      <c r="BD1812" s="5016"/>
      <c r="BE1812" s="5016"/>
      <c r="BF1812" s="5016"/>
      <c r="BG1812" s="5016"/>
      <c r="BH1812" s="5016"/>
      <c r="BI1812" s="5016"/>
      <c r="BJ1812" s="5016"/>
      <c r="BK1812" s="5016"/>
      <c r="BL1812" s="5016"/>
      <c r="BM1812" s="5016"/>
      <c r="BN1812" s="5016"/>
      <c r="BO1812" s="5016"/>
      <c r="BP1812" s="5016"/>
      <c r="BQ1812" s="5016"/>
      <c r="BR1812" s="5016"/>
      <c r="BS1812" s="5016"/>
      <c r="BT1812" s="5016"/>
      <c r="BU1812" s="5016"/>
      <c r="BV1812" s="5016"/>
      <c r="BW1812" s="5016"/>
      <c r="BX1812" s="5016"/>
      <c r="BY1812" s="5016"/>
      <c r="BZ1812" s="5016"/>
      <c r="CA1812" s="5022"/>
    </row>
    <row r="1813" spans="1:79" ht="12.75" customHeight="1" x14ac:dyDescent="0.2">
      <c r="A1813" s="2029">
        <v>211</v>
      </c>
      <c r="B1813" s="4995"/>
      <c r="C1813" s="5013"/>
      <c r="D1813" s="5014"/>
      <c r="E1813" s="5014"/>
      <c r="F1813" s="5014"/>
      <c r="G1813" s="5014"/>
      <c r="H1813" s="5014"/>
      <c r="I1813" s="5014"/>
      <c r="J1813" s="5014"/>
      <c r="K1813" s="5015"/>
      <c r="M1813" s="5007"/>
      <c r="N1813" s="5008"/>
      <c r="O1813" s="5008"/>
      <c r="P1813" s="5008"/>
      <c r="Q1813" s="5008"/>
      <c r="R1813" s="5008"/>
      <c r="S1813" s="5008"/>
      <c r="T1813" s="5009"/>
      <c r="V1813" s="5019"/>
      <c r="W1813" s="3981"/>
      <c r="X1813" s="5017"/>
      <c r="Y1813" s="5023"/>
      <c r="Z1813" s="5017"/>
      <c r="AA1813" s="5017"/>
      <c r="AB1813" s="5017"/>
      <c r="AC1813" s="5017"/>
      <c r="AD1813" s="5017"/>
      <c r="AE1813" s="5017"/>
      <c r="AF1813" s="5017"/>
      <c r="AG1813" s="5017"/>
      <c r="AH1813" s="5017"/>
      <c r="AI1813" s="5017"/>
      <c r="AJ1813" s="5017"/>
      <c r="AK1813" s="5017"/>
      <c r="AL1813" s="5017"/>
      <c r="AM1813" s="5017"/>
      <c r="AN1813" s="5017"/>
      <c r="AO1813" s="5017"/>
      <c r="AP1813" s="5017"/>
      <c r="AQ1813" s="5017"/>
      <c r="AR1813" s="5017"/>
      <c r="AS1813" s="5017"/>
      <c r="AT1813" s="5017"/>
      <c r="AU1813" s="5017"/>
      <c r="AV1813" s="5017"/>
      <c r="AW1813" s="5017"/>
      <c r="AX1813" s="5017"/>
      <c r="AY1813" s="5017"/>
      <c r="AZ1813" s="5017"/>
      <c r="BA1813" s="5017"/>
      <c r="BB1813" s="5017"/>
      <c r="BC1813" s="5017"/>
      <c r="BD1813" s="5017"/>
      <c r="BE1813" s="5017"/>
      <c r="BF1813" s="5017"/>
      <c r="BG1813" s="5017"/>
      <c r="BH1813" s="5017"/>
      <c r="BI1813" s="5017"/>
      <c r="BJ1813" s="5017"/>
      <c r="BK1813" s="5017"/>
      <c r="BL1813" s="5017"/>
      <c r="BM1813" s="5017"/>
      <c r="BN1813" s="5017"/>
      <c r="BO1813" s="5017"/>
      <c r="BP1813" s="5017"/>
      <c r="BQ1813" s="5017"/>
      <c r="BR1813" s="5017"/>
      <c r="BS1813" s="5017"/>
      <c r="BT1813" s="5017"/>
      <c r="BU1813" s="5017"/>
      <c r="BV1813" s="5017"/>
      <c r="BW1813" s="5017"/>
      <c r="BX1813" s="5017"/>
      <c r="BY1813" s="5017"/>
      <c r="BZ1813" s="5017"/>
      <c r="CA1813" s="5020"/>
    </row>
    <row r="1814" spans="1:79" ht="12.75" customHeight="1" x14ac:dyDescent="0.2">
      <c r="A1814" s="2029">
        <v>211</v>
      </c>
      <c r="B1814" s="4995"/>
      <c r="C1814" s="2820"/>
      <c r="D1814" s="2685"/>
      <c r="E1814" s="2685">
        <v>1</v>
      </c>
      <c r="F1814" s="2685">
        <v>2</v>
      </c>
      <c r="G1814" s="2685">
        <v>3</v>
      </c>
      <c r="H1814" s="2685">
        <v>4</v>
      </c>
      <c r="I1814" s="2685">
        <v>5</v>
      </c>
      <c r="J1814" s="2685">
        <v>6</v>
      </c>
      <c r="K1814" s="2686">
        <v>7</v>
      </c>
      <c r="M1814" s="2820"/>
      <c r="N1814" s="2685"/>
      <c r="O1814" s="2685">
        <v>1</v>
      </c>
      <c r="P1814" s="2685">
        <v>2</v>
      </c>
      <c r="Q1814" s="2685">
        <v>3</v>
      </c>
      <c r="R1814" s="2685">
        <v>4</v>
      </c>
      <c r="S1814" s="2685">
        <v>5</v>
      </c>
      <c r="T1814" s="2686">
        <v>6</v>
      </c>
      <c r="V1814" s="2868" t="s">
        <v>1611</v>
      </c>
      <c r="W1814" s="2131"/>
      <c r="X1814" s="2838"/>
      <c r="Y1814" s="2853"/>
      <c r="Z1814" s="2854"/>
      <c r="AA1814" s="2854"/>
      <c r="AB1814" s="2854"/>
      <c r="AC1814" s="2854"/>
      <c r="AD1814" s="2854"/>
      <c r="AE1814" s="2854"/>
      <c r="AF1814" s="2854"/>
      <c r="AG1814" s="2854"/>
      <c r="AH1814" s="2854"/>
      <c r="AI1814" s="2854"/>
      <c r="AJ1814" s="2854"/>
      <c r="AK1814" s="2854"/>
      <c r="AL1814" s="2854"/>
      <c r="AM1814" s="2854"/>
      <c r="AN1814" s="2854"/>
      <c r="AO1814" s="2854"/>
      <c r="AP1814" s="2854"/>
      <c r="AQ1814" s="2854"/>
      <c r="AR1814" s="2854"/>
      <c r="AS1814" s="2854"/>
      <c r="AT1814" s="2854"/>
      <c r="AU1814" s="2854"/>
      <c r="AV1814" s="2854"/>
      <c r="AW1814" s="2854"/>
      <c r="AX1814" s="2854"/>
      <c r="AY1814" s="2854"/>
      <c r="AZ1814" s="2854"/>
      <c r="BA1814" s="2854"/>
      <c r="BB1814" s="2854"/>
      <c r="BC1814" s="2854"/>
      <c r="BD1814" s="2854"/>
      <c r="BE1814" s="2854"/>
      <c r="BF1814" s="2854"/>
      <c r="BG1814" s="2854"/>
      <c r="BH1814" s="2854"/>
      <c r="BI1814" s="2854"/>
      <c r="BJ1814" s="2854"/>
      <c r="BK1814" s="2854"/>
      <c r="BL1814" s="2842"/>
      <c r="BM1814" s="2842"/>
      <c r="BN1814" s="2842"/>
      <c r="BO1814" s="2842"/>
      <c r="BP1814" s="2842"/>
      <c r="BQ1814" s="2842"/>
      <c r="BR1814" s="2842"/>
      <c r="BS1814" s="2842"/>
      <c r="BT1814" s="2842"/>
      <c r="BU1814" s="2842"/>
      <c r="BV1814" s="2842"/>
      <c r="BW1814" s="2842"/>
      <c r="BX1814" s="2842"/>
      <c r="BY1814" s="2842"/>
      <c r="BZ1814" s="2842"/>
      <c r="CA1814" s="2869"/>
    </row>
    <row r="1815" spans="1:79" ht="12.75" customHeight="1" x14ac:dyDescent="0.2">
      <c r="A1815" s="2029">
        <v>211</v>
      </c>
      <c r="B1815" s="4995"/>
      <c r="C1815" s="2821"/>
      <c r="D1815" s="2822"/>
      <c r="E1815" s="2684" t="s">
        <v>1754</v>
      </c>
      <c r="F1815" s="2684" t="s">
        <v>1553</v>
      </c>
      <c r="G1815" s="2684" t="s">
        <v>1804</v>
      </c>
      <c r="H1815" s="2684" t="s">
        <v>2740</v>
      </c>
      <c r="I1815" s="2823" t="s">
        <v>2249</v>
      </c>
      <c r="J1815" s="2684" t="s">
        <v>9175</v>
      </c>
      <c r="K1815" s="2824" t="s">
        <v>9452</v>
      </c>
      <c r="M1815" s="2830"/>
      <c r="N1815" s="2831"/>
      <c r="O1815" s="2684" t="s">
        <v>1754</v>
      </c>
      <c r="P1815" s="2684" t="s">
        <v>1688</v>
      </c>
      <c r="Q1815" s="2832" t="s">
        <v>1804</v>
      </c>
      <c r="R1815" s="2684" t="s">
        <v>2740</v>
      </c>
      <c r="S1815" s="2684" t="s">
        <v>9175</v>
      </c>
      <c r="T1815" s="2824" t="s">
        <v>9452</v>
      </c>
      <c r="V1815" s="2868" t="s">
        <v>2312</v>
      </c>
      <c r="W1815" s="2836"/>
      <c r="X1815" s="2843" t="str">
        <f>IF(Y1815="","",SUBSTITUTE("PodHab_"&amp;V1815," ",""))</f>
        <v/>
      </c>
      <c r="Y1815" s="2855" t="s">
        <v>8977</v>
      </c>
      <c r="Z1815" s="2852"/>
      <c r="AA1815" s="2852"/>
      <c r="AB1815" s="2852"/>
      <c r="AC1815" s="2852"/>
      <c r="AD1815" s="2852"/>
      <c r="AE1815" s="2852"/>
      <c r="AF1815" s="2852"/>
      <c r="AG1815" s="2852"/>
      <c r="AH1815" s="2852"/>
      <c r="AI1815" s="2852"/>
      <c r="AJ1815" s="2852"/>
      <c r="AK1815" s="2852"/>
      <c r="AL1815" s="2852"/>
      <c r="AM1815" s="2852"/>
      <c r="AN1815" s="2852"/>
      <c r="AO1815" s="2852"/>
      <c r="AP1815" s="2852"/>
      <c r="AQ1815" s="2852"/>
      <c r="AR1815" s="2852"/>
      <c r="AS1815" s="2852"/>
      <c r="AT1815" s="2852"/>
      <c r="AU1815" s="2852"/>
      <c r="AV1815" s="2852"/>
      <c r="AW1815" s="2852"/>
      <c r="AX1815" s="2852"/>
      <c r="AY1815" s="2852"/>
      <c r="AZ1815" s="2852"/>
      <c r="BA1815" s="2852"/>
      <c r="BB1815" s="2852"/>
      <c r="BC1815" s="2852"/>
      <c r="BD1815" s="2852"/>
      <c r="BE1815" s="2852"/>
      <c r="BF1815" s="2852"/>
      <c r="BG1815" s="2852"/>
      <c r="BH1815" s="2852"/>
      <c r="BI1815" s="2852"/>
      <c r="BJ1815" s="2852"/>
      <c r="BK1815" s="2852"/>
      <c r="BL1815" s="2842"/>
      <c r="BM1815" s="2842"/>
      <c r="BN1815" s="2842"/>
      <c r="BO1815" s="2842"/>
      <c r="BP1815" s="2842"/>
      <c r="BQ1815" s="2842"/>
      <c r="BR1815" s="2842"/>
      <c r="BS1815" s="2842"/>
      <c r="BT1815" s="2842"/>
      <c r="BU1815" s="2842"/>
      <c r="BV1815" s="2842"/>
      <c r="BW1815" s="2842"/>
      <c r="BX1815" s="2842"/>
      <c r="BY1815" s="2842"/>
      <c r="BZ1815" s="2842"/>
      <c r="CA1815" s="2869"/>
    </row>
    <row r="1816" spans="1:79" ht="12.75" customHeight="1" x14ac:dyDescent="0.2">
      <c r="A1816" s="2029">
        <v>211</v>
      </c>
      <c r="B1816" s="4995"/>
      <c r="C1816" s="1766"/>
      <c r="D1816" s="583"/>
      <c r="E1816" s="2816" t="s">
        <v>1554</v>
      </c>
      <c r="F1816" s="218">
        <v>0</v>
      </c>
      <c r="G1816" s="218">
        <v>0</v>
      </c>
      <c r="H1816" s="218"/>
      <c r="I1816" s="2818"/>
      <c r="J1816" s="422"/>
      <c r="K1816" s="2809"/>
      <c r="M1816" s="1959"/>
      <c r="N1816" s="100"/>
      <c r="O1816" s="468" t="s">
        <v>1611</v>
      </c>
      <c r="P1816" s="2827"/>
      <c r="Q1816" s="2695"/>
      <c r="R1816" s="2818"/>
      <c r="S1816" s="422"/>
      <c r="T1816" s="2809"/>
      <c r="V1816" s="2868" t="s">
        <v>9463</v>
      </c>
      <c r="W1816" s="2836"/>
      <c r="X1816" s="2340" t="str">
        <f t="shared" ref="X1816:X1879" si="108">IF(Y1816="","",SUBSTITUTE("PodHab_"&amp;V1816," ",""))</f>
        <v>PodHab_Ataqueadicional</v>
      </c>
      <c r="Y1816" s="2855" t="s">
        <v>9515</v>
      </c>
      <c r="Z1816" s="2852" t="s">
        <v>9516</v>
      </c>
      <c r="AA1816" s="2852" t="s">
        <v>9517</v>
      </c>
      <c r="AB1816" s="2852" t="s">
        <v>9518</v>
      </c>
      <c r="AC1816" s="2852" t="s">
        <v>9519</v>
      </c>
      <c r="AD1816" s="2852" t="s">
        <v>9520</v>
      </c>
      <c r="AE1816" s="2852" t="s">
        <v>9485</v>
      </c>
      <c r="AF1816" s="2852"/>
      <c r="AG1816" s="2852"/>
      <c r="AH1816" s="2852"/>
      <c r="AI1816" s="2852"/>
      <c r="AJ1816" s="2852"/>
      <c r="AK1816" s="2852"/>
      <c r="AL1816" s="2852"/>
      <c r="AM1816" s="2852"/>
      <c r="AN1816" s="2852"/>
      <c r="AO1816" s="2852"/>
      <c r="AP1816" s="2852"/>
      <c r="AQ1816" s="2852"/>
      <c r="AR1816" s="2852"/>
      <c r="AS1816" s="2852"/>
      <c r="AT1816" s="2852"/>
      <c r="AU1816" s="2852"/>
      <c r="AV1816" s="2852"/>
      <c r="AW1816" s="2852"/>
      <c r="AX1816" s="2852"/>
      <c r="AY1816" s="2852"/>
      <c r="AZ1816" s="2852"/>
      <c r="BA1816" s="2852"/>
      <c r="BB1816" s="2852"/>
      <c r="BC1816" s="2852"/>
      <c r="BD1816" s="2852"/>
      <c r="BE1816" s="2852"/>
      <c r="BF1816" s="2852"/>
      <c r="BG1816" s="2852"/>
      <c r="BH1816" s="2852"/>
      <c r="BI1816" s="2852"/>
      <c r="BJ1816" s="2852"/>
      <c r="BK1816" s="2852"/>
      <c r="BL1816" s="2842"/>
      <c r="BM1816" s="2842"/>
      <c r="BN1816" s="2842"/>
      <c r="BO1816" s="2842"/>
      <c r="BP1816" s="2842"/>
      <c r="BQ1816" s="2842"/>
      <c r="BR1816" s="2842"/>
      <c r="BS1816" s="2842"/>
      <c r="BT1816" s="2842"/>
      <c r="BU1816" s="2842"/>
      <c r="BV1816" s="2842"/>
      <c r="BW1816" s="2842"/>
      <c r="BX1816" s="2842"/>
      <c r="BY1816" s="2842"/>
      <c r="BZ1816" s="2842"/>
      <c r="CA1816" s="2869"/>
    </row>
    <row r="1817" spans="1:79" ht="12.75" customHeight="1" x14ac:dyDescent="0.2">
      <c r="A1817" s="2029">
        <v>211</v>
      </c>
      <c r="B1817" s="4995"/>
      <c r="C1817" s="2813"/>
      <c r="D1817" s="260"/>
      <c r="E1817" s="2816" t="s">
        <v>1555</v>
      </c>
      <c r="F1817" s="218">
        <v>0</v>
      </c>
      <c r="G1817" s="218">
        <v>10</v>
      </c>
      <c r="H1817" s="218">
        <f>COUNTIF(HabilidadesEsenciales_Adquiridas,Tablas!E1817)</f>
        <v>0</v>
      </c>
      <c r="I1817" s="2818">
        <v>1</v>
      </c>
      <c r="J1817" s="422"/>
      <c r="K1817" s="2809"/>
      <c r="M1817" s="1959"/>
      <c r="N1817" s="100"/>
      <c r="O1817" s="468" t="s">
        <v>2312</v>
      </c>
      <c r="P1817" s="2811">
        <v>0</v>
      </c>
      <c r="Q1817" s="575">
        <v>20</v>
      </c>
      <c r="R1817" s="2818">
        <f>COUNTIF(PoderesDeCriatura_Adquiridos,Tablas!O1817)</f>
        <v>0</v>
      </c>
      <c r="S1817" s="422"/>
      <c r="T1817" s="2809"/>
      <c r="V1817" s="2868" t="s">
        <v>1965</v>
      </c>
      <c r="W1817" s="1876"/>
      <c r="X1817" s="2340" t="str">
        <f t="shared" si="108"/>
        <v/>
      </c>
      <c r="Y1817" s="2856"/>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52"/>
      <c r="BL1817" s="2842"/>
      <c r="BM1817" s="2842"/>
      <c r="BN1817" s="2842"/>
      <c r="BO1817" s="2842"/>
      <c r="BP1817" s="2842"/>
      <c r="BQ1817" s="2842"/>
      <c r="BR1817" s="2842"/>
      <c r="BS1817" s="2842"/>
      <c r="BT1817" s="2842"/>
      <c r="BU1817" s="2842"/>
      <c r="BV1817" s="2842"/>
      <c r="BW1817" s="2842"/>
      <c r="BX1817" s="2842"/>
      <c r="BY1817" s="2842"/>
      <c r="BZ1817" s="2842"/>
      <c r="CA1817" s="2869"/>
    </row>
    <row r="1818" spans="1:79" ht="12.75" customHeight="1" x14ac:dyDescent="0.2">
      <c r="A1818" s="2029">
        <v>211</v>
      </c>
      <c r="B1818" s="4995"/>
      <c r="C1818" s="2813"/>
      <c r="D1818" s="260"/>
      <c r="E1818" s="2816" t="s">
        <v>2760</v>
      </c>
      <c r="F1818" s="218">
        <v>5</v>
      </c>
      <c r="G1818" s="218">
        <v>30</v>
      </c>
      <c r="H1818" s="218">
        <f>COUNTIF(HabilidadesEsenciales_Adquiridas,Tablas!E1818)</f>
        <v>0</v>
      </c>
      <c r="I1818" s="2818">
        <v>2</v>
      </c>
      <c r="J1818" s="422"/>
      <c r="K1818" s="2809"/>
      <c r="M1818" s="1959"/>
      <c r="N1818" s="100"/>
      <c r="O1818" s="468" t="s">
        <v>9813</v>
      </c>
      <c r="P1818" s="2811">
        <v>0</v>
      </c>
      <c r="Q1818" s="575">
        <v>20</v>
      </c>
      <c r="R1818" s="2818">
        <f>COUNTIF(PoderesDeCriatura_Adquiridos,Tablas!O1818)</f>
        <v>0</v>
      </c>
      <c r="S1818" s="422"/>
      <c r="T1818" s="2809"/>
      <c r="V1818" s="2868" t="s">
        <v>9486</v>
      </c>
      <c r="W1818" s="2836"/>
      <c r="X1818" s="2340" t="str">
        <f t="shared" si="108"/>
        <v>PodHab_Ataqueespecial</v>
      </c>
      <c r="Y1818" s="2855" t="s">
        <v>9521</v>
      </c>
      <c r="Z1818" s="2852" t="s">
        <v>9522</v>
      </c>
      <c r="AA1818" s="2852" t="s">
        <v>9523</v>
      </c>
      <c r="AB1818" s="2852" t="s">
        <v>9524</v>
      </c>
      <c r="AC1818" s="2852" t="s">
        <v>9525</v>
      </c>
      <c r="AD1818" s="2852" t="s">
        <v>9526</v>
      </c>
      <c r="AE1818" s="2852" t="s">
        <v>9527</v>
      </c>
      <c r="AF1818" s="2852" t="s">
        <v>9528</v>
      </c>
      <c r="AG1818" s="2852" t="s">
        <v>9529</v>
      </c>
      <c r="AH1818" s="2852" t="s">
        <v>9530</v>
      </c>
      <c r="AI1818" s="2852" t="s">
        <v>9531</v>
      </c>
      <c r="AJ1818" s="2852" t="s">
        <v>9532</v>
      </c>
      <c r="AK1818" s="2852" t="s">
        <v>9533</v>
      </c>
      <c r="AL1818" s="2852" t="s">
        <v>9534</v>
      </c>
      <c r="AM1818" s="2852" t="s">
        <v>9535</v>
      </c>
      <c r="AN1818" s="2852" t="s">
        <v>9536</v>
      </c>
      <c r="AO1818" s="2852" t="s">
        <v>9537</v>
      </c>
      <c r="AP1818" s="2852" t="s">
        <v>9538</v>
      </c>
      <c r="AQ1818" s="2852" t="s">
        <v>9539</v>
      </c>
      <c r="AR1818" s="2852" t="s">
        <v>9540</v>
      </c>
      <c r="AS1818" s="2852" t="s">
        <v>9541</v>
      </c>
      <c r="AT1818" s="2852" t="s">
        <v>9542</v>
      </c>
      <c r="AU1818" s="2852" t="s">
        <v>9543</v>
      </c>
      <c r="AV1818" s="2852" t="s">
        <v>7450</v>
      </c>
      <c r="AW1818" s="2852" t="s">
        <v>9544</v>
      </c>
      <c r="AX1818" s="2852" t="s">
        <v>9545</v>
      </c>
      <c r="AY1818" s="2852" t="s">
        <v>9546</v>
      </c>
      <c r="AZ1818" s="2852" t="s">
        <v>9547</v>
      </c>
      <c r="BA1818" s="2852" t="s">
        <v>9548</v>
      </c>
      <c r="BB1818" s="2852" t="s">
        <v>9549</v>
      </c>
      <c r="BC1818" s="2852" t="s">
        <v>9550</v>
      </c>
      <c r="BD1818" s="2852"/>
      <c r="BE1818" s="1876"/>
      <c r="BF1818" s="1876"/>
      <c r="BG1818" s="1876"/>
      <c r="BH1818" s="1876"/>
      <c r="BI1818" s="1876"/>
      <c r="BJ1818" s="1876"/>
      <c r="BK1818" s="2852"/>
      <c r="BL1818" s="2842"/>
      <c r="BM1818" s="2842"/>
      <c r="BN1818" s="2842"/>
      <c r="BO1818" s="2842"/>
      <c r="BP1818" s="2842"/>
      <c r="BQ1818" s="2842"/>
      <c r="BR1818" s="2842"/>
      <c r="BS1818" s="2842"/>
      <c r="BT1818" s="2842"/>
      <c r="BU1818" s="2842"/>
      <c r="BV1818" s="2842"/>
      <c r="BW1818" s="2842"/>
      <c r="BX1818" s="2842"/>
      <c r="BY1818" s="2842"/>
      <c r="BZ1818" s="2842"/>
      <c r="CA1818" s="2869"/>
    </row>
    <row r="1819" spans="1:79" ht="12.75" customHeight="1" x14ac:dyDescent="0.2">
      <c r="A1819" s="2029">
        <v>211</v>
      </c>
      <c r="B1819" s="4995"/>
      <c r="C1819" s="2813"/>
      <c r="D1819" s="260"/>
      <c r="E1819" s="2816" t="s">
        <v>1556</v>
      </c>
      <c r="F1819" s="218">
        <v>5</v>
      </c>
      <c r="G1819" s="218">
        <v>15</v>
      </c>
      <c r="H1819" s="218">
        <f>COUNTIF(HabilidadesEsenciales_Adquiridas,Tablas!E1819)</f>
        <v>1</v>
      </c>
      <c r="I1819" s="2818"/>
      <c r="J1819" s="422"/>
      <c r="K1819" s="2809"/>
      <c r="M1819" s="1959"/>
      <c r="N1819" s="100"/>
      <c r="O1819" s="468" t="s">
        <v>9814</v>
      </c>
      <c r="P1819" s="2811">
        <v>0</v>
      </c>
      <c r="Q1819" s="575">
        <v>30</v>
      </c>
      <c r="R1819" s="2818">
        <f>COUNTIF(PoderesDeCriatura_Adquiridos,Tablas!O1819)</f>
        <v>0</v>
      </c>
      <c r="S1819" s="422"/>
      <c r="T1819" s="2809"/>
      <c r="V1819" s="2868" t="s">
        <v>1613</v>
      </c>
      <c r="W1819" s="1876"/>
      <c r="X1819" s="2340" t="str">
        <f t="shared" si="108"/>
        <v/>
      </c>
      <c r="Y1819" s="2856"/>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52"/>
      <c r="BL1819" s="2842"/>
      <c r="BM1819" s="2842"/>
      <c r="BN1819" s="2842"/>
      <c r="BO1819" s="2842"/>
      <c r="BP1819" s="2842"/>
      <c r="BQ1819" s="2842"/>
      <c r="BR1819" s="2842"/>
      <c r="BS1819" s="2842"/>
      <c r="BT1819" s="2842"/>
      <c r="BU1819" s="2842"/>
      <c r="BV1819" s="2842"/>
      <c r="BW1819" s="2842"/>
      <c r="BX1819" s="2842"/>
      <c r="BY1819" s="2842"/>
      <c r="BZ1819" s="2842"/>
      <c r="CA1819" s="2869"/>
    </row>
    <row r="1820" spans="1:79" ht="12.75" customHeight="1" x14ac:dyDescent="0.2">
      <c r="A1820" s="2029">
        <v>211</v>
      </c>
      <c r="B1820" s="4995"/>
      <c r="C1820" s="2813"/>
      <c r="D1820" s="260"/>
      <c r="E1820" s="2816" t="s">
        <v>1557</v>
      </c>
      <c r="F1820" s="218">
        <v>5</v>
      </c>
      <c r="G1820" s="218">
        <v>30</v>
      </c>
      <c r="H1820" s="218">
        <f>COUNTIF(HabilidadesEsenciales_Adquiridas,Tablas!E1820)</f>
        <v>0</v>
      </c>
      <c r="I1820" s="2818"/>
      <c r="J1820" s="422"/>
      <c r="K1820" s="2809"/>
      <c r="M1820" s="1959"/>
      <c r="N1820" s="100"/>
      <c r="O1820" s="468" t="s">
        <v>9815</v>
      </c>
      <c r="P1820" s="2811">
        <v>0</v>
      </c>
      <c r="Q1820" s="575">
        <v>40</v>
      </c>
      <c r="R1820" s="2818">
        <f>COUNTIF(PoderesDeCriatura_Adquiridos,Tablas!O1820)</f>
        <v>0</v>
      </c>
      <c r="S1820" s="422"/>
      <c r="T1820" s="2809"/>
      <c r="V1820" s="2868" t="s">
        <v>9466</v>
      </c>
      <c r="W1820" s="2836"/>
      <c r="X1820" s="2340" t="str">
        <f t="shared" si="108"/>
        <v>PodHab_Ataquevenenoso</v>
      </c>
      <c r="Y1820" s="2855" t="s">
        <v>9551</v>
      </c>
      <c r="Z1820" s="2852" t="s">
        <v>9552</v>
      </c>
      <c r="AA1820" s="2852" t="s">
        <v>9553</v>
      </c>
      <c r="AB1820" s="2852" t="s">
        <v>9554</v>
      </c>
      <c r="AC1820" s="2852" t="s">
        <v>9555</v>
      </c>
      <c r="AD1820" s="2852" t="s">
        <v>9556</v>
      </c>
      <c r="AE1820" s="2852" t="s">
        <v>9557</v>
      </c>
      <c r="AF1820" s="2852" t="s">
        <v>9558</v>
      </c>
      <c r="AG1820" s="2852" t="s">
        <v>9559</v>
      </c>
      <c r="AH1820" s="2852" t="s">
        <v>9560</v>
      </c>
      <c r="AI1820" s="2852"/>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52"/>
      <c r="BL1820" s="2842"/>
      <c r="BM1820" s="2842"/>
      <c r="BN1820" s="2842"/>
      <c r="BO1820" s="2842"/>
      <c r="BP1820" s="2842"/>
      <c r="BQ1820" s="2842"/>
      <c r="BR1820" s="2842"/>
      <c r="BS1820" s="2842"/>
      <c r="BT1820" s="2842"/>
      <c r="BU1820" s="2842"/>
      <c r="BV1820" s="2842"/>
      <c r="BW1820" s="2842"/>
      <c r="BX1820" s="2842"/>
      <c r="BY1820" s="2842"/>
      <c r="BZ1820" s="2842"/>
      <c r="CA1820" s="2869"/>
    </row>
    <row r="1821" spans="1:79" ht="12.75" customHeight="1" x14ac:dyDescent="0.2">
      <c r="A1821" s="2029">
        <v>211</v>
      </c>
      <c r="B1821" s="4995"/>
      <c r="C1821" s="2813"/>
      <c r="D1821" s="260"/>
      <c r="E1821" s="2816" t="s">
        <v>1558</v>
      </c>
      <c r="F1821" s="218">
        <v>0</v>
      </c>
      <c r="G1821" s="218">
        <v>10</v>
      </c>
      <c r="H1821" s="218">
        <f>COUNTIF(HabilidadesEsenciales_Adquiridas,Tablas!E1821)</f>
        <v>0</v>
      </c>
      <c r="I1821" s="2818"/>
      <c r="J1821" s="422"/>
      <c r="K1821" s="2809"/>
      <c r="M1821" s="1959"/>
      <c r="N1821" s="100"/>
      <c r="O1821" s="468" t="s">
        <v>9816</v>
      </c>
      <c r="P1821" s="2811">
        <v>5</v>
      </c>
      <c r="Q1821" s="575">
        <v>50</v>
      </c>
      <c r="R1821" s="2818">
        <f>COUNTIF(PoderesDeCriatura_Adquiridos,Tablas!O1821)</f>
        <v>0</v>
      </c>
      <c r="S1821" s="422"/>
      <c r="T1821" s="2809"/>
      <c r="V1821" s="2868" t="s">
        <v>9202</v>
      </c>
      <c r="W1821" s="2836"/>
      <c r="X1821" s="2340" t="str">
        <f t="shared" si="108"/>
        <v>PodHab_Críticoincrementado</v>
      </c>
      <c r="Y1821" s="2855" t="s">
        <v>9561</v>
      </c>
      <c r="Z1821" s="2852" t="s">
        <v>9562</v>
      </c>
      <c r="AA1821" s="2852" t="s">
        <v>9563</v>
      </c>
      <c r="AB1821" s="2852" t="s">
        <v>9564</v>
      </c>
      <c r="AC1821" s="2852" t="s">
        <v>9565</v>
      </c>
      <c r="AD1821" s="2852" t="s">
        <v>9566</v>
      </c>
      <c r="AE1821" s="2852" t="s">
        <v>9567</v>
      </c>
      <c r="AF1821" s="2852" t="s">
        <v>9568</v>
      </c>
      <c r="AG1821" s="2852" t="s">
        <v>9569</v>
      </c>
      <c r="AH1821" s="2852" t="s">
        <v>9570</v>
      </c>
      <c r="AI1821" s="2852"/>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52"/>
      <c r="BL1821" s="2842"/>
      <c r="BM1821" s="2842"/>
      <c r="BN1821" s="2842"/>
      <c r="BO1821" s="2842"/>
      <c r="BP1821" s="2842"/>
      <c r="BQ1821" s="2842"/>
      <c r="BR1821" s="2842"/>
      <c r="BS1821" s="2842"/>
      <c r="BT1821" s="2842"/>
      <c r="BU1821" s="2842"/>
      <c r="BV1821" s="2842"/>
      <c r="BW1821" s="2842"/>
      <c r="BX1821" s="2842"/>
      <c r="BY1821" s="2842"/>
      <c r="BZ1821" s="2842"/>
      <c r="CA1821" s="2869"/>
    </row>
    <row r="1822" spans="1:79" ht="12.75" customHeight="1" x14ac:dyDescent="0.2">
      <c r="A1822" s="2029">
        <v>211</v>
      </c>
      <c r="B1822" s="4995"/>
      <c r="C1822" s="2813"/>
      <c r="D1822" s="260"/>
      <c r="E1822" s="2816" t="s">
        <v>1559</v>
      </c>
      <c r="F1822" s="218">
        <v>5</v>
      </c>
      <c r="G1822" s="218">
        <v>10</v>
      </c>
      <c r="H1822" s="218">
        <f>COUNTIF(HabilidadesEsenciales_Adquiridas,Tablas!E1822)</f>
        <v>0</v>
      </c>
      <c r="I1822" s="2818"/>
      <c r="J1822" s="422"/>
      <c r="K1822" s="2809"/>
      <c r="M1822" s="1959"/>
      <c r="N1822" s="100"/>
      <c r="O1822" s="468" t="s">
        <v>9817</v>
      </c>
      <c r="P1822" s="2811">
        <v>5</v>
      </c>
      <c r="Q1822" s="575">
        <v>60</v>
      </c>
      <c r="R1822" s="2818">
        <f>COUNTIF(PoderesDeCriatura_Adquiridos,Tablas!O1822)</f>
        <v>0</v>
      </c>
      <c r="S1822" s="422"/>
      <c r="T1822" s="2809"/>
      <c r="V1822" s="2868" t="s">
        <v>1966</v>
      </c>
      <c r="W1822" s="2836"/>
      <c r="X1822" s="2340" t="str">
        <f t="shared" si="108"/>
        <v>PodHab_Dañoincrementado</v>
      </c>
      <c r="Y1822" s="2855" t="s">
        <v>9571</v>
      </c>
      <c r="Z1822" s="2852" t="s">
        <v>9572</v>
      </c>
      <c r="AA1822" s="2852" t="s">
        <v>9573</v>
      </c>
      <c r="AB1822" s="2852" t="s">
        <v>9574</v>
      </c>
      <c r="AC1822" s="2852" t="s">
        <v>9575</v>
      </c>
      <c r="AD1822" s="2852" t="s">
        <v>9576</v>
      </c>
      <c r="AE1822" s="2852" t="s">
        <v>9577</v>
      </c>
      <c r="AF1822" s="2852" t="s">
        <v>9578</v>
      </c>
      <c r="AG1822" s="2852" t="s">
        <v>9579</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52"/>
      <c r="BL1822" s="2842"/>
      <c r="BM1822" s="2842"/>
      <c r="BN1822" s="2842"/>
      <c r="BO1822" s="2842"/>
      <c r="BP1822" s="2842"/>
      <c r="BQ1822" s="2842"/>
      <c r="BR1822" s="2842"/>
      <c r="BS1822" s="2842"/>
      <c r="BT1822" s="2842"/>
      <c r="BU1822" s="2842"/>
      <c r="BV1822" s="2842"/>
      <c r="BW1822" s="2842"/>
      <c r="BX1822" s="2842"/>
      <c r="BY1822" s="2842"/>
      <c r="BZ1822" s="2842"/>
      <c r="CA1822" s="2869"/>
    </row>
    <row r="1823" spans="1:79" ht="12.75" customHeight="1" x14ac:dyDescent="0.2">
      <c r="A1823" s="2029">
        <v>211</v>
      </c>
      <c r="B1823" s="4995"/>
      <c r="C1823" s="2813"/>
      <c r="D1823" s="260"/>
      <c r="E1823" s="2816" t="s">
        <v>1560</v>
      </c>
      <c r="F1823" s="218">
        <v>0</v>
      </c>
      <c r="G1823" s="218">
        <v>20</v>
      </c>
      <c r="H1823" s="218">
        <f>COUNTIF(HabilidadesEsenciales_Adquiridas,Tablas!E1823)</f>
        <v>0</v>
      </c>
      <c r="I1823" s="2818">
        <v>1</v>
      </c>
      <c r="J1823" s="422">
        <f>IF(H1827&gt;0,20,IF(H1825&gt;0,15,IF(H1823&gt;0,13,10)))</f>
        <v>10</v>
      </c>
      <c r="K1823" s="2809" t="s">
        <v>10506</v>
      </c>
      <c r="M1823" s="1959"/>
      <c r="N1823" s="100"/>
      <c r="O1823" s="468" t="s">
        <v>9818</v>
      </c>
      <c r="P1823" s="2811">
        <v>10</v>
      </c>
      <c r="Q1823" s="575">
        <v>80</v>
      </c>
      <c r="R1823" s="2818">
        <f>COUNTIF(PoderesDeCriatura_Adquiridos,Tablas!O1823)</f>
        <v>0</v>
      </c>
      <c r="S1823" s="422"/>
      <c r="T1823" s="2809"/>
      <c r="V1823" s="2868" t="s">
        <v>9467</v>
      </c>
      <c r="W1823" s="2836"/>
      <c r="X1823" s="2340" t="str">
        <f t="shared" si="108"/>
        <v>PodHab_Efectomísticoañadido</v>
      </c>
      <c r="Y1823" s="2855" t="s">
        <v>9580</v>
      </c>
      <c r="Z1823" s="2852" t="s">
        <v>9581</v>
      </c>
      <c r="AA1823" s="2852" t="s">
        <v>6461</v>
      </c>
      <c r="AB1823" s="2852" t="s">
        <v>6462</v>
      </c>
      <c r="AC1823" s="2852" t="s">
        <v>5406</v>
      </c>
      <c r="AD1823" s="2852" t="s">
        <v>5407</v>
      </c>
      <c r="AE1823" s="2852" t="s">
        <v>5408</v>
      </c>
      <c r="AF1823" s="2852" t="s">
        <v>5409</v>
      </c>
      <c r="AG1823" s="2852" t="s">
        <v>9582</v>
      </c>
      <c r="AH1823" s="2852" t="s">
        <v>4483</v>
      </c>
      <c r="AI1823" s="2852" t="s">
        <v>898</v>
      </c>
      <c r="AJ1823" s="2852" t="s">
        <v>4475</v>
      </c>
      <c r="AK1823" s="2852" t="s">
        <v>9583</v>
      </c>
      <c r="AL1823" s="2852" t="s">
        <v>720</v>
      </c>
      <c r="AM1823" s="2852" t="s">
        <v>9584</v>
      </c>
      <c r="AN1823" s="2852" t="s">
        <v>9585</v>
      </c>
      <c r="AO1823" s="2852" t="s">
        <v>846</v>
      </c>
      <c r="AP1823" s="2852" t="s">
        <v>707</v>
      </c>
      <c r="AQ1823" s="2852" t="s">
        <v>708</v>
      </c>
      <c r="AR1823" s="2852" t="s">
        <v>709</v>
      </c>
      <c r="AS1823" s="2852" t="s">
        <v>4479</v>
      </c>
      <c r="AT1823" s="2852" t="s">
        <v>9586</v>
      </c>
      <c r="AU1823" s="2852" t="s">
        <v>9587</v>
      </c>
      <c r="AV1823" s="2852" t="s">
        <v>4482</v>
      </c>
      <c r="AW1823" s="2852" t="s">
        <v>735</v>
      </c>
      <c r="AX1823" s="2852" t="s">
        <v>84</v>
      </c>
      <c r="AY1823" s="2852" t="s">
        <v>40</v>
      </c>
      <c r="AZ1823" s="2852" t="s">
        <v>9588</v>
      </c>
      <c r="BA1823" s="2852" t="s">
        <v>9589</v>
      </c>
      <c r="BB1823" s="2852" t="s">
        <v>9590</v>
      </c>
      <c r="BC1823" s="2852" t="s">
        <v>9591</v>
      </c>
      <c r="BD1823" s="2852" t="s">
        <v>757</v>
      </c>
      <c r="BE1823" s="2852" t="s">
        <v>9592</v>
      </c>
      <c r="BF1823" s="2852" t="s">
        <v>9593</v>
      </c>
      <c r="BG1823" s="2852" t="s">
        <v>9594</v>
      </c>
      <c r="BH1823" s="2852" t="s">
        <v>9595</v>
      </c>
      <c r="BI1823" s="2852" t="s">
        <v>9596</v>
      </c>
      <c r="BJ1823" s="2852"/>
      <c r="BK1823" s="2852"/>
      <c r="BL1823" s="2842"/>
      <c r="BM1823" s="2842"/>
      <c r="BN1823" s="2842"/>
      <c r="BO1823" s="2842"/>
      <c r="BP1823" s="2842"/>
      <c r="BQ1823" s="2842"/>
      <c r="BR1823" s="2842"/>
      <c r="BS1823" s="2842"/>
      <c r="BT1823" s="2842"/>
      <c r="BU1823" s="2842"/>
      <c r="BV1823" s="2842"/>
      <c r="BW1823" s="2842"/>
      <c r="BX1823" s="2842"/>
      <c r="BY1823" s="2842"/>
      <c r="BZ1823" s="2842"/>
      <c r="CA1823" s="2869"/>
    </row>
    <row r="1824" spans="1:79" ht="12.75" customHeight="1" x14ac:dyDescent="0.2">
      <c r="A1824" s="2029">
        <v>211</v>
      </c>
      <c r="B1824" s="4995"/>
      <c r="C1824" s="2813"/>
      <c r="D1824" s="260"/>
      <c r="E1824" s="2816" t="s">
        <v>1561</v>
      </c>
      <c r="F1824" s="218">
        <v>5</v>
      </c>
      <c r="G1824" s="218">
        <v>20</v>
      </c>
      <c r="H1824" s="218">
        <f>COUNTIF(HabilidadesEsenciales_Adquiridas,Tablas!E1824)</f>
        <v>0</v>
      </c>
      <c r="I1824" s="2818">
        <v>1</v>
      </c>
      <c r="J1824" s="422">
        <f>IF(H1828&gt;0,20,IF(H1826&gt;0,15,IF(H1824&gt;0,13,10)))</f>
        <v>10</v>
      </c>
      <c r="K1824" s="2809" t="s">
        <v>10507</v>
      </c>
      <c r="M1824" s="1959"/>
      <c r="N1824" s="100"/>
      <c r="O1824" s="468" t="s">
        <v>9819</v>
      </c>
      <c r="P1824" s="2811">
        <v>15</v>
      </c>
      <c r="Q1824" s="575">
        <v>100</v>
      </c>
      <c r="R1824" s="2818">
        <f>COUNTIF(PoderesDeCriatura_Adquiridos,Tablas!O1824)</f>
        <v>0</v>
      </c>
      <c r="S1824" s="422"/>
      <c r="T1824" s="2809"/>
      <c r="V1824" s="2868" t="s">
        <v>9465</v>
      </c>
      <c r="W1824" s="2836"/>
      <c r="X1824" s="2340" t="str">
        <f t="shared" si="108"/>
        <v>PodHab_Modificadordearmadura</v>
      </c>
      <c r="Y1824" s="2855" t="s">
        <v>9597</v>
      </c>
      <c r="Z1824" s="2852" t="s">
        <v>9598</v>
      </c>
      <c r="AA1824" s="2852" t="s">
        <v>9599</v>
      </c>
      <c r="AB1824" s="2852" t="s">
        <v>9600</v>
      </c>
      <c r="AC1824" s="2852" t="s">
        <v>9601</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52"/>
      <c r="BL1824" s="2842"/>
      <c r="BM1824" s="2842"/>
      <c r="BN1824" s="2842"/>
      <c r="BO1824" s="2842"/>
      <c r="BP1824" s="2842"/>
      <c r="BQ1824" s="2842"/>
      <c r="BR1824" s="2842"/>
      <c r="BS1824" s="2842"/>
      <c r="BT1824" s="2842"/>
      <c r="BU1824" s="2842"/>
      <c r="BV1824" s="2842"/>
      <c r="BW1824" s="2842"/>
      <c r="BX1824" s="2842"/>
      <c r="BY1824" s="2842"/>
      <c r="BZ1824" s="2842"/>
      <c r="CA1824" s="2869"/>
    </row>
    <row r="1825" spans="1:79" ht="12.75" customHeight="1" x14ac:dyDescent="0.2">
      <c r="A1825" s="2029">
        <v>211</v>
      </c>
      <c r="B1825" s="4995"/>
      <c r="C1825" s="2813"/>
      <c r="D1825" s="260"/>
      <c r="E1825" s="2816" t="s">
        <v>1562</v>
      </c>
      <c r="F1825" s="218">
        <v>20</v>
      </c>
      <c r="G1825" s="218">
        <v>40</v>
      </c>
      <c r="H1825" s="218">
        <f>COUNTIF(HabilidadesEsenciales_Adquiridas,Tablas!E1825)</f>
        <v>0</v>
      </c>
      <c r="I1825" s="2818">
        <v>1</v>
      </c>
      <c r="J1825" s="422"/>
      <c r="K1825" s="2809"/>
      <c r="M1825" s="1959"/>
      <c r="N1825" s="100"/>
      <c r="O1825" s="468" t="s">
        <v>9820</v>
      </c>
      <c r="P1825" s="2811">
        <v>0</v>
      </c>
      <c r="Q1825" s="575">
        <v>10</v>
      </c>
      <c r="R1825" s="2818">
        <f>COUNTIF(PoderesDeCriatura_Adquiridos,Tablas!O1825)</f>
        <v>0</v>
      </c>
      <c r="S1825" s="422"/>
      <c r="T1825" s="2809"/>
      <c r="V1825" s="2868" t="s">
        <v>9468</v>
      </c>
      <c r="W1825" s="2836"/>
      <c r="X1825" s="2340" t="str">
        <f t="shared" si="108"/>
        <v>PodHab_Presaespecial</v>
      </c>
      <c r="Y1825" s="2855" t="s">
        <v>9602</v>
      </c>
      <c r="Z1825" s="2852" t="s">
        <v>9603</v>
      </c>
      <c r="AA1825" s="2852" t="s">
        <v>9604</v>
      </c>
      <c r="AB1825" s="2852" t="s">
        <v>9605</v>
      </c>
      <c r="AC1825" s="2852" t="s">
        <v>9606</v>
      </c>
      <c r="AD1825" s="2852" t="s">
        <v>9607</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52"/>
      <c r="BL1825" s="2842"/>
      <c r="BM1825" s="2842"/>
      <c r="BN1825" s="2842"/>
      <c r="BO1825" s="2842"/>
      <c r="BP1825" s="2842"/>
      <c r="BQ1825" s="2842"/>
      <c r="BR1825" s="2842"/>
      <c r="BS1825" s="2842"/>
      <c r="BT1825" s="2842"/>
      <c r="BU1825" s="2842"/>
      <c r="BV1825" s="2842"/>
      <c r="BW1825" s="2842"/>
      <c r="BX1825" s="2842"/>
      <c r="BY1825" s="2842"/>
      <c r="BZ1825" s="2842"/>
      <c r="CA1825" s="2869"/>
    </row>
    <row r="1826" spans="1:79" ht="12.75" customHeight="1" x14ac:dyDescent="0.2">
      <c r="A1826" s="2029">
        <v>211</v>
      </c>
      <c r="B1826" s="4995"/>
      <c r="C1826" s="2813"/>
      <c r="D1826" s="260"/>
      <c r="E1826" s="2816" t="s">
        <v>1563</v>
      </c>
      <c r="F1826" s="218">
        <v>20</v>
      </c>
      <c r="G1826" s="218">
        <v>40</v>
      </c>
      <c r="H1826" s="218">
        <f>COUNTIF(HabilidadesEsenciales_Adquiridas,Tablas!E1826)</f>
        <v>0</v>
      </c>
      <c r="I1826" s="2818">
        <v>1</v>
      </c>
      <c r="J1826" s="422"/>
      <c r="K1826" s="2809"/>
      <c r="M1826" s="1959"/>
      <c r="N1826" s="100"/>
      <c r="O1826" s="468" t="s">
        <v>9821</v>
      </c>
      <c r="P1826" s="2811">
        <v>0</v>
      </c>
      <c r="Q1826" s="575">
        <v>20</v>
      </c>
      <c r="R1826" s="2818">
        <f>COUNTIF(PoderesDeCriatura_Adquiridos,Tablas!O1826)</f>
        <v>0</v>
      </c>
      <c r="S1826" s="422"/>
      <c r="T1826" s="2809"/>
      <c r="V1826" s="2868" t="s">
        <v>9464</v>
      </c>
      <c r="W1826" s="2836"/>
      <c r="X1826" s="2340" t="str">
        <f t="shared" si="108"/>
        <v>PodHab_Reacciónincrementada</v>
      </c>
      <c r="Y1826" s="2855" t="s">
        <v>9608</v>
      </c>
      <c r="Z1826" s="2852" t="s">
        <v>9609</v>
      </c>
      <c r="AA1826" s="2852" t="s">
        <v>9610</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52"/>
      <c r="BL1826" s="2842"/>
      <c r="BM1826" s="2842"/>
      <c r="BN1826" s="2842"/>
      <c r="BO1826" s="2842"/>
      <c r="BP1826" s="2842"/>
      <c r="BQ1826" s="2842"/>
      <c r="BR1826" s="2842"/>
      <c r="BS1826" s="2842"/>
      <c r="BT1826" s="2842"/>
      <c r="BU1826" s="2842"/>
      <c r="BV1826" s="2842"/>
      <c r="BW1826" s="2842"/>
      <c r="BX1826" s="2842"/>
      <c r="BY1826" s="2842"/>
      <c r="BZ1826" s="2842"/>
      <c r="CA1826" s="2869"/>
    </row>
    <row r="1827" spans="1:79" ht="12.75" customHeight="1" x14ac:dyDescent="0.2">
      <c r="A1827" s="2029">
        <v>211</v>
      </c>
      <c r="B1827" s="4995"/>
      <c r="C1827" s="2813"/>
      <c r="D1827" s="260"/>
      <c r="E1827" s="2816" t="s">
        <v>1564</v>
      </c>
      <c r="F1827" s="218">
        <v>30</v>
      </c>
      <c r="G1827" s="218">
        <v>80</v>
      </c>
      <c r="H1827" s="218">
        <f>COUNTIF(HabilidadesEsenciales_Adquiridas,Tablas!E1827)</f>
        <v>0</v>
      </c>
      <c r="I1827" s="2818">
        <v>1</v>
      </c>
      <c r="J1827" s="422"/>
      <c r="K1827" s="2809"/>
      <c r="M1827" s="1959"/>
      <c r="N1827" s="100"/>
      <c r="O1827" s="468" t="s">
        <v>9822</v>
      </c>
      <c r="P1827" s="2811">
        <v>0</v>
      </c>
      <c r="Q1827" s="575">
        <v>30</v>
      </c>
      <c r="R1827" s="2818">
        <f>COUNTIF(PoderesDeCriatura_Adquiridos,Tablas!O1827)</f>
        <v>0</v>
      </c>
      <c r="S1827" s="422"/>
      <c r="T1827" s="2809"/>
      <c r="V1827" s="2868" t="s">
        <v>1614</v>
      </c>
      <c r="W1827" s="2131"/>
      <c r="X1827" s="2340"/>
      <c r="Y1827" s="2855" t="s">
        <v>8977</v>
      </c>
      <c r="Z1827" s="2852"/>
      <c r="AA1827" s="2852"/>
      <c r="AB1827" s="2852"/>
      <c r="AC1827" s="2852"/>
      <c r="AD1827" s="2852"/>
      <c r="AE1827" s="2852"/>
      <c r="AF1827" s="2852"/>
      <c r="AG1827" s="2852"/>
      <c r="AH1827" s="2852"/>
      <c r="AI1827" s="2852"/>
      <c r="AJ1827" s="2852"/>
      <c r="AK1827" s="2852"/>
      <c r="AL1827" s="2852"/>
      <c r="AM1827" s="2852"/>
      <c r="AN1827" s="2852"/>
      <c r="AO1827" s="2852"/>
      <c r="AP1827" s="2852"/>
      <c r="AQ1827" s="2852"/>
      <c r="AR1827" s="2852"/>
      <c r="AS1827" s="2852"/>
      <c r="AT1827" s="2852"/>
      <c r="AU1827" s="2852"/>
      <c r="AV1827" s="2852"/>
      <c r="AW1827" s="2852"/>
      <c r="AX1827" s="2852"/>
      <c r="AY1827" s="2852"/>
      <c r="AZ1827" s="2852"/>
      <c r="BA1827" s="2852"/>
      <c r="BB1827" s="2852"/>
      <c r="BC1827" s="2852"/>
      <c r="BD1827" s="2852"/>
      <c r="BE1827" s="2852"/>
      <c r="BF1827" s="2852"/>
      <c r="BG1827" s="2852"/>
      <c r="BH1827" s="2852"/>
      <c r="BI1827" s="2852"/>
      <c r="BJ1827" s="2852"/>
      <c r="BK1827" s="2852"/>
      <c r="BL1827" s="2842"/>
      <c r="BM1827" s="2842"/>
      <c r="BN1827" s="2842"/>
      <c r="BO1827" s="2842"/>
      <c r="BP1827" s="2842"/>
      <c r="BQ1827" s="2842"/>
      <c r="BR1827" s="2842"/>
      <c r="BS1827" s="2842"/>
      <c r="BT1827" s="2842"/>
      <c r="BU1827" s="2842"/>
      <c r="BV1827" s="2842"/>
      <c r="BW1827" s="2842"/>
      <c r="BX1827" s="2842"/>
      <c r="BY1827" s="2842"/>
      <c r="BZ1827" s="2842"/>
      <c r="CA1827" s="2869"/>
    </row>
    <row r="1828" spans="1:79" ht="12.75" customHeight="1" x14ac:dyDescent="0.2">
      <c r="A1828" s="2029">
        <v>211</v>
      </c>
      <c r="B1828" s="4995"/>
      <c r="C1828" s="2813"/>
      <c r="D1828" s="260"/>
      <c r="E1828" s="2816" t="s">
        <v>1565</v>
      </c>
      <c r="F1828" s="218">
        <v>35</v>
      </c>
      <c r="G1828" s="218">
        <v>80</v>
      </c>
      <c r="H1828" s="218">
        <f>COUNTIF(HabilidadesEsenciales_Adquiridas,Tablas!E1828)</f>
        <v>0</v>
      </c>
      <c r="I1828" s="2818">
        <v>1</v>
      </c>
      <c r="J1828" s="422"/>
      <c r="K1828" s="2809"/>
      <c r="M1828" s="1959"/>
      <c r="N1828" s="100"/>
      <c r="O1828" s="468" t="s">
        <v>9823</v>
      </c>
      <c r="P1828" s="2811">
        <v>0</v>
      </c>
      <c r="Q1828" s="575">
        <v>40</v>
      </c>
      <c r="R1828" s="2818">
        <f>COUNTIF(PoderesDeCriatura_Adquiridos,Tablas!O1828)</f>
        <v>0</v>
      </c>
      <c r="S1828" s="422"/>
      <c r="T1828" s="2809"/>
      <c r="V1828" s="2868" t="s">
        <v>9487</v>
      </c>
      <c r="W1828" s="2131"/>
      <c r="X1828" s="2340" t="str">
        <f t="shared" si="108"/>
        <v>PodHab_Desplazamientoespecial</v>
      </c>
      <c r="Y1828" s="2855" t="s">
        <v>3037</v>
      </c>
      <c r="Z1828" s="2852" t="s">
        <v>1615</v>
      </c>
      <c r="AA1828" s="2852" t="s">
        <v>1616</v>
      </c>
      <c r="AB1828" s="2852" t="s">
        <v>1617</v>
      </c>
      <c r="AC1828" s="2852" t="s">
        <v>1618</v>
      </c>
      <c r="AD1828" s="2852" t="s">
        <v>1619</v>
      </c>
      <c r="AE1828" s="2852"/>
      <c r="AF1828" s="2852"/>
      <c r="AG1828" s="2852"/>
      <c r="AH1828" s="2852"/>
      <c r="AI1828" s="2852"/>
      <c r="AJ1828" s="2852"/>
      <c r="AK1828" s="2852"/>
      <c r="AL1828" s="2852"/>
      <c r="AM1828" s="2852"/>
      <c r="AN1828" s="2852"/>
      <c r="AO1828" s="2852"/>
      <c r="AP1828" s="2852"/>
      <c r="AQ1828" s="2852"/>
      <c r="AR1828" s="2852"/>
      <c r="AS1828" s="2852"/>
      <c r="AT1828" s="2852"/>
      <c r="AU1828" s="2852"/>
      <c r="AV1828" s="2852"/>
      <c r="AW1828" s="2852"/>
      <c r="AX1828" s="2852"/>
      <c r="AY1828" s="2852"/>
      <c r="AZ1828" s="2852"/>
      <c r="BA1828" s="2852"/>
      <c r="BB1828" s="2852"/>
      <c r="BC1828" s="2852"/>
      <c r="BD1828" s="2852"/>
      <c r="BE1828" s="2852"/>
      <c r="BF1828" s="2852"/>
      <c r="BG1828" s="2852"/>
      <c r="BH1828" s="2852"/>
      <c r="BI1828" s="2852"/>
      <c r="BJ1828" s="2852"/>
      <c r="BK1828" s="2852"/>
      <c r="BL1828" s="2842"/>
      <c r="BM1828" s="2842"/>
      <c r="BN1828" s="2842"/>
      <c r="BO1828" s="2842"/>
      <c r="BP1828" s="2842"/>
      <c r="BQ1828" s="2842"/>
      <c r="BR1828" s="2842"/>
      <c r="BS1828" s="2842"/>
      <c r="BT1828" s="2842"/>
      <c r="BU1828" s="2842"/>
      <c r="BV1828" s="2842"/>
      <c r="BW1828" s="2842"/>
      <c r="BX1828" s="2842"/>
      <c r="BY1828" s="2842"/>
      <c r="BZ1828" s="2842"/>
      <c r="CA1828" s="2869"/>
    </row>
    <row r="1829" spans="1:79" ht="12.75" customHeight="1" x14ac:dyDescent="0.2">
      <c r="A1829" s="2029">
        <v>211</v>
      </c>
      <c r="B1829" s="4995"/>
      <c r="C1829" s="2813"/>
      <c r="D1829" s="260"/>
      <c r="E1829" s="2816" t="s">
        <v>10274</v>
      </c>
      <c r="F1829" s="218">
        <v>0</v>
      </c>
      <c r="G1829" s="218">
        <v>20</v>
      </c>
      <c r="H1829" s="218">
        <f>COUNTIF(HabilidadesEsenciales_Adquiridas,Tablas!E1829)</f>
        <v>0</v>
      </c>
      <c r="I1829" s="2818">
        <v>1</v>
      </c>
      <c r="J1829" s="422">
        <f t="array" ref="J1829">MAX({1;2;3;4;5}*H1829:H1833)</f>
        <v>0</v>
      </c>
      <c r="K1829" s="2809" t="s">
        <v>1685</v>
      </c>
      <c r="M1829" s="1959"/>
      <c r="N1829" s="100"/>
      <c r="O1829" s="468" t="s">
        <v>9824</v>
      </c>
      <c r="P1829" s="2811">
        <v>5</v>
      </c>
      <c r="Q1829" s="575">
        <v>50</v>
      </c>
      <c r="R1829" s="2818">
        <f>COUNTIF(PoderesDeCriatura_Adquiridos,Tablas!O1829)</f>
        <v>0</v>
      </c>
      <c r="S1829" s="422"/>
      <c r="T1829" s="2809"/>
      <c r="V1829" s="2868" t="s">
        <v>9505</v>
      </c>
      <c r="W1829" s="2836"/>
      <c r="X1829" s="2340" t="str">
        <f t="shared" si="108"/>
        <v>PodHab_Transporteautomático</v>
      </c>
      <c r="Y1829" s="2855" t="s">
        <v>9611</v>
      </c>
      <c r="Z1829" s="2852" t="s">
        <v>7998</v>
      </c>
      <c r="AA1829" s="2852" t="s">
        <v>7625</v>
      </c>
      <c r="AB1829" s="2852" t="s">
        <v>8071</v>
      </c>
      <c r="AC1829" s="2852" t="s">
        <v>7626</v>
      </c>
      <c r="AD1829" s="2852" t="s">
        <v>7983</v>
      </c>
      <c r="AE1829" s="2852" t="s">
        <v>8000</v>
      </c>
      <c r="AF1829" s="2852" t="s">
        <v>9612</v>
      </c>
      <c r="AG1829" s="2852" t="s">
        <v>7629</v>
      </c>
      <c r="AH1829" s="2852" t="s">
        <v>9613</v>
      </c>
      <c r="AI1829" s="2852" t="s">
        <v>9544</v>
      </c>
      <c r="AJ1829" s="2852" t="s">
        <v>9545</v>
      </c>
      <c r="AK1829" s="2852" t="s">
        <v>9546</v>
      </c>
      <c r="AL1829" s="2852" t="s">
        <v>9549</v>
      </c>
      <c r="AM1829" s="2852" t="s">
        <v>9550</v>
      </c>
      <c r="AN1829" s="2852" t="s">
        <v>9614</v>
      </c>
      <c r="AO1829" s="2852"/>
      <c r="AP1829" s="2852"/>
      <c r="AQ1829" s="2852"/>
      <c r="AR1829" s="2852"/>
      <c r="AS1829" s="2852"/>
      <c r="AT1829" s="2852"/>
      <c r="AU1829" s="2852"/>
      <c r="AV1829" s="2852"/>
      <c r="AW1829" s="2852"/>
      <c r="AX1829" s="2852"/>
      <c r="AY1829" s="2852"/>
      <c r="AZ1829" s="2852"/>
      <c r="BA1829" s="2852"/>
      <c r="BB1829" s="2852"/>
      <c r="BC1829" s="2852"/>
      <c r="BD1829" s="2852"/>
      <c r="BE1829" s="2852"/>
      <c r="BF1829" s="2852"/>
      <c r="BG1829" s="2852"/>
      <c r="BH1829" s="2852"/>
      <c r="BI1829" s="2852"/>
      <c r="BJ1829" s="2852"/>
      <c r="BK1829" s="2852"/>
      <c r="BL1829" s="2842"/>
      <c r="BM1829" s="2842"/>
      <c r="BN1829" s="2842"/>
      <c r="BO1829" s="2842"/>
      <c r="BP1829" s="2842"/>
      <c r="BQ1829" s="2842"/>
      <c r="BR1829" s="2842"/>
      <c r="BS1829" s="2842"/>
      <c r="BT1829" s="2842"/>
      <c r="BU1829" s="2842"/>
      <c r="BV1829" s="2842"/>
      <c r="BW1829" s="2842"/>
      <c r="BX1829" s="2842"/>
      <c r="BY1829" s="2842"/>
      <c r="BZ1829" s="2842"/>
      <c r="CA1829" s="2869"/>
    </row>
    <row r="1830" spans="1:79" ht="12.75" customHeight="1" x14ac:dyDescent="0.2">
      <c r="A1830" s="2029">
        <v>211</v>
      </c>
      <c r="B1830" s="4995"/>
      <c r="C1830" s="2813"/>
      <c r="D1830" s="260"/>
      <c r="E1830" s="2816" t="s">
        <v>10275</v>
      </c>
      <c r="F1830" s="218">
        <v>5</v>
      </c>
      <c r="G1830" s="218">
        <v>40</v>
      </c>
      <c r="H1830" s="218">
        <f>COUNTIF(HabilidadesEsenciales_Adquiridas,Tablas!E1830)</f>
        <v>0</v>
      </c>
      <c r="I1830" s="2818">
        <v>1</v>
      </c>
      <c r="J1830" s="422">
        <f t="array" ref="J1830">MAX({1;2;3;4;5}*H1834:H1838)</f>
        <v>0</v>
      </c>
      <c r="K1830" s="2809" t="s">
        <v>1813</v>
      </c>
      <c r="M1830" s="1959"/>
      <c r="N1830" s="100"/>
      <c r="O1830" s="468" t="s">
        <v>9825</v>
      </c>
      <c r="P1830" s="2811">
        <v>10</v>
      </c>
      <c r="Q1830" s="575">
        <v>60</v>
      </c>
      <c r="R1830" s="2818">
        <f>COUNTIF(PoderesDeCriatura_Adquiridos,Tablas!O1830)</f>
        <v>0</v>
      </c>
      <c r="S1830" s="422"/>
      <c r="T1830" s="2809"/>
      <c r="V1830" s="2868" t="s">
        <v>9506</v>
      </c>
      <c r="W1830" s="2836"/>
      <c r="X1830" s="2340" t="str">
        <f t="shared" si="108"/>
        <v>PodHab_Tipodemovimiento</v>
      </c>
      <c r="Y1830" s="2855" t="str">
        <f>"+"&amp;A1</f>
        <v>+1</v>
      </c>
      <c r="Z1830" s="2852" t="str">
        <f t="shared" ref="Z1830:AN1830" si="109">"+"&amp;B1</f>
        <v>+2</v>
      </c>
      <c r="AA1830" s="2852" t="str">
        <f t="shared" si="109"/>
        <v>+3</v>
      </c>
      <c r="AB1830" s="2852" t="str">
        <f t="shared" si="109"/>
        <v>+4</v>
      </c>
      <c r="AC1830" s="2852" t="str">
        <f t="shared" si="109"/>
        <v>+5</v>
      </c>
      <c r="AD1830" s="2852" t="str">
        <f t="shared" si="109"/>
        <v>+6</v>
      </c>
      <c r="AE1830" s="2852" t="str">
        <f t="shared" si="109"/>
        <v>+7</v>
      </c>
      <c r="AF1830" s="2852" t="str">
        <f t="shared" si="109"/>
        <v>+8</v>
      </c>
      <c r="AG1830" s="2852" t="str">
        <f t="shared" si="109"/>
        <v>+9</v>
      </c>
      <c r="AH1830" s="2852" t="str">
        <f t="shared" si="109"/>
        <v>+10</v>
      </c>
      <c r="AI1830" s="2852" t="str">
        <f t="shared" si="109"/>
        <v>+11</v>
      </c>
      <c r="AJ1830" s="2852" t="str">
        <f t="shared" si="109"/>
        <v>+12</v>
      </c>
      <c r="AK1830" s="2852" t="str">
        <f t="shared" si="109"/>
        <v>+13</v>
      </c>
      <c r="AL1830" s="2852" t="str">
        <f t="shared" si="109"/>
        <v>+14</v>
      </c>
      <c r="AM1830" s="2852" t="str">
        <f t="shared" si="109"/>
        <v>+15</v>
      </c>
      <c r="AN1830" s="2852" t="str">
        <f t="shared" si="109"/>
        <v>+16</v>
      </c>
      <c r="AO1830" s="2852"/>
      <c r="AP1830" s="2852"/>
      <c r="AQ1830" s="2852"/>
      <c r="AR1830" s="2852"/>
      <c r="AS1830" s="2852"/>
      <c r="AT1830" s="2852"/>
      <c r="AU1830" s="2852"/>
      <c r="AV1830" s="2852"/>
      <c r="AW1830" s="2852"/>
      <c r="AX1830" s="2852"/>
      <c r="AY1830" s="2852"/>
      <c r="AZ1830" s="2852"/>
      <c r="BA1830" s="2852"/>
      <c r="BB1830" s="2852"/>
      <c r="BC1830" s="2852"/>
      <c r="BD1830" s="2852"/>
      <c r="BE1830" s="2852"/>
      <c r="BF1830" s="2852"/>
      <c r="BG1830" s="2852"/>
      <c r="BH1830" s="2852"/>
      <c r="BI1830" s="2852"/>
      <c r="BJ1830" s="2852"/>
      <c r="BK1830" s="2852"/>
      <c r="BL1830" s="2842"/>
      <c r="BM1830" s="2842"/>
      <c r="BN1830" s="2842"/>
      <c r="BO1830" s="2842"/>
      <c r="BP1830" s="2842"/>
      <c r="BQ1830" s="2842"/>
      <c r="BR1830" s="2842"/>
      <c r="BS1830" s="2842"/>
      <c r="BT1830" s="2842"/>
      <c r="BU1830" s="2842"/>
      <c r="BV1830" s="2842"/>
      <c r="BW1830" s="2842"/>
      <c r="BX1830" s="2842"/>
      <c r="BY1830" s="2842"/>
      <c r="BZ1830" s="2842"/>
      <c r="CA1830" s="2869"/>
    </row>
    <row r="1831" spans="1:79" ht="12.75" customHeight="1" x14ac:dyDescent="0.2">
      <c r="A1831" s="2029">
        <v>211</v>
      </c>
      <c r="B1831" s="4995"/>
      <c r="C1831" s="2813"/>
      <c r="D1831" s="260"/>
      <c r="E1831" s="2816" t="s">
        <v>10276</v>
      </c>
      <c r="F1831" s="218">
        <v>15</v>
      </c>
      <c r="G1831" s="218">
        <v>60</v>
      </c>
      <c r="H1831" s="218">
        <f>COUNTIF(HabilidadesEsenciales_Adquiridas,Tablas!E1831)</f>
        <v>0</v>
      </c>
      <c r="I1831" s="2818">
        <v>1</v>
      </c>
      <c r="J1831" s="422">
        <f t="array" ref="J1831">MAX({1;2;3;4;5}*H1839:H1843)</f>
        <v>0</v>
      </c>
      <c r="K1831" s="2809" t="s">
        <v>1690</v>
      </c>
      <c r="M1831" s="1959"/>
      <c r="N1831" s="100"/>
      <c r="O1831" s="468" t="s">
        <v>9826</v>
      </c>
      <c r="P1831" s="2811">
        <v>20</v>
      </c>
      <c r="Q1831" s="575">
        <v>80</v>
      </c>
      <c r="R1831" s="2818">
        <f>COUNTIF(PoderesDeCriatura_Adquiridos,Tablas!O1831)</f>
        <v>0</v>
      </c>
      <c r="S1831" s="422"/>
      <c r="T1831" s="2809"/>
      <c r="V1831" s="2868" t="s">
        <v>9469</v>
      </c>
      <c r="W1831" s="2836"/>
      <c r="X1831" s="2340" t="str">
        <f t="shared" si="108"/>
        <v>PodHab_Vuelonatural</v>
      </c>
      <c r="Y1831" s="2855" t="s">
        <v>9615</v>
      </c>
      <c r="Z1831" s="2852" t="s">
        <v>9616</v>
      </c>
      <c r="AA1831" s="2852" t="s">
        <v>9617</v>
      </c>
      <c r="AB1831" s="2852" t="s">
        <v>9618</v>
      </c>
      <c r="AC1831" s="2852" t="s">
        <v>9619</v>
      </c>
      <c r="AD1831" s="2852"/>
      <c r="AE1831" s="2852"/>
      <c r="AF1831" s="2852"/>
      <c r="AG1831" s="2852"/>
      <c r="AH1831" s="2852"/>
      <c r="AI1831" s="2852"/>
      <c r="AJ1831" s="2852"/>
      <c r="AK1831" s="2852"/>
      <c r="AL1831" s="2852"/>
      <c r="AM1831" s="2852"/>
      <c r="AN1831" s="2852"/>
      <c r="AO1831" s="2852"/>
      <c r="AP1831" s="2852"/>
      <c r="AQ1831" s="2852"/>
      <c r="AR1831" s="2852"/>
      <c r="AS1831" s="2852"/>
      <c r="AT1831" s="2852"/>
      <c r="AU1831" s="2852"/>
      <c r="AV1831" s="2852"/>
      <c r="AW1831" s="2852"/>
      <c r="AX1831" s="2852"/>
      <c r="AY1831" s="2852"/>
      <c r="AZ1831" s="2852"/>
      <c r="BA1831" s="2852"/>
      <c r="BB1831" s="2852"/>
      <c r="BC1831" s="2852"/>
      <c r="BD1831" s="2852"/>
      <c r="BE1831" s="2852"/>
      <c r="BF1831" s="2852"/>
      <c r="BG1831" s="2852"/>
      <c r="BH1831" s="2852"/>
      <c r="BI1831" s="2852"/>
      <c r="BJ1831" s="2852"/>
      <c r="BK1831" s="2852"/>
      <c r="BL1831" s="2842"/>
      <c r="BM1831" s="2842"/>
      <c r="BN1831" s="2842"/>
      <c r="BO1831" s="2842"/>
      <c r="BP1831" s="2842"/>
      <c r="BQ1831" s="2842"/>
      <c r="BR1831" s="2842"/>
      <c r="BS1831" s="2842"/>
      <c r="BT1831" s="2842"/>
      <c r="BU1831" s="2842"/>
      <c r="BV1831" s="2842"/>
      <c r="BW1831" s="2842"/>
      <c r="BX1831" s="2842"/>
      <c r="BY1831" s="2842"/>
      <c r="BZ1831" s="2842"/>
      <c r="CA1831" s="2869"/>
    </row>
    <row r="1832" spans="1:79" ht="12.75" customHeight="1" x14ac:dyDescent="0.2">
      <c r="A1832" s="2029">
        <v>211</v>
      </c>
      <c r="B1832" s="4995"/>
      <c r="C1832" s="2813"/>
      <c r="D1832" s="260"/>
      <c r="E1832" s="2816" t="s">
        <v>10277</v>
      </c>
      <c r="F1832" s="218">
        <v>20</v>
      </c>
      <c r="G1832" s="218">
        <v>120</v>
      </c>
      <c r="H1832" s="218">
        <f>COUNTIF(HabilidadesEsenciales_Adquiridas,Tablas!E1832)</f>
        <v>0</v>
      </c>
      <c r="I1832" s="2818"/>
      <c r="J1832" s="422">
        <f t="array" ref="J1832">MAX({1;2;3;4;5}*H1844:H1848)</f>
        <v>0</v>
      </c>
      <c r="K1832" s="2809" t="s">
        <v>1695</v>
      </c>
      <c r="M1832" s="1959"/>
      <c r="N1832" s="100"/>
      <c r="O1832" s="468" t="s">
        <v>9827</v>
      </c>
      <c r="P1832" s="2811">
        <v>25</v>
      </c>
      <c r="Q1832" s="575">
        <v>100</v>
      </c>
      <c r="R1832" s="2818">
        <f>COUNTIF(PoderesDeCriatura_Adquiridos,Tablas!O1832)</f>
        <v>0</v>
      </c>
      <c r="S1832" s="422"/>
      <c r="T1832" s="2809"/>
      <c r="V1832" s="2868" t="s">
        <v>9470</v>
      </c>
      <c r="W1832" s="2836"/>
      <c r="X1832" s="2340" t="str">
        <f t="shared" si="108"/>
        <v>PodHab_Vuelomístico</v>
      </c>
      <c r="Y1832" s="2855" t="s">
        <v>9620</v>
      </c>
      <c r="Z1832" s="2852" t="s">
        <v>9615</v>
      </c>
      <c r="AA1832" s="2852" t="s">
        <v>9616</v>
      </c>
      <c r="AB1832" s="2852" t="s">
        <v>9617</v>
      </c>
      <c r="AC1832" s="2852" t="s">
        <v>9618</v>
      </c>
      <c r="AD1832" s="2852" t="s">
        <v>9619</v>
      </c>
      <c r="AE1832" s="2852" t="s">
        <v>9621</v>
      </c>
      <c r="AF1832" s="2852" t="s">
        <v>9622</v>
      </c>
      <c r="AG1832" s="2852"/>
      <c r="AH1832" s="2852"/>
      <c r="AI1832" s="2852"/>
      <c r="AJ1832" s="2852"/>
      <c r="AK1832" s="2852"/>
      <c r="AL1832" s="2852"/>
      <c r="AM1832" s="2852"/>
      <c r="AN1832" s="2852"/>
      <c r="AO1832" s="2852"/>
      <c r="AP1832" s="2852"/>
      <c r="AQ1832" s="2852"/>
      <c r="AR1832" s="2852"/>
      <c r="AS1832" s="2852"/>
      <c r="AT1832" s="2852"/>
      <c r="AU1832" s="2852"/>
      <c r="AV1832" s="2852"/>
      <c r="AW1832" s="2852"/>
      <c r="AX1832" s="2852"/>
      <c r="AY1832" s="2852"/>
      <c r="AZ1832" s="2852"/>
      <c r="BA1832" s="2852"/>
      <c r="BB1832" s="2852"/>
      <c r="BC1832" s="2852"/>
      <c r="BD1832" s="2852"/>
      <c r="BE1832" s="2852"/>
      <c r="BF1832" s="2852"/>
      <c r="BG1832" s="2852"/>
      <c r="BH1832" s="2852"/>
      <c r="BI1832" s="2852"/>
      <c r="BJ1832" s="2852"/>
      <c r="BK1832" s="2852"/>
      <c r="BL1832" s="2842"/>
      <c r="BM1832" s="2842"/>
      <c r="BN1832" s="2842"/>
      <c r="BO1832" s="2842"/>
      <c r="BP1832" s="2842"/>
      <c r="BQ1832" s="2842"/>
      <c r="BR1832" s="2842"/>
      <c r="BS1832" s="2842"/>
      <c r="BT1832" s="2842"/>
      <c r="BU1832" s="2842"/>
      <c r="BV1832" s="2842"/>
      <c r="BW1832" s="2842"/>
      <c r="BX1832" s="2842"/>
      <c r="BY1832" s="2842"/>
      <c r="BZ1832" s="2842"/>
      <c r="CA1832" s="2869"/>
    </row>
    <row r="1833" spans="1:79" ht="12.75" customHeight="1" x14ac:dyDescent="0.2">
      <c r="A1833" s="2029">
        <v>211</v>
      </c>
      <c r="B1833" s="4995"/>
      <c r="C1833" s="2813"/>
      <c r="D1833" s="260"/>
      <c r="E1833" s="2816" t="s">
        <v>10278</v>
      </c>
      <c r="F1833" s="218">
        <v>25</v>
      </c>
      <c r="G1833" s="218">
        <v>180</v>
      </c>
      <c r="H1833" s="218">
        <f>COUNTIF(HabilidadesEsenciales_Adquiridas,Tablas!E1833)</f>
        <v>0</v>
      </c>
      <c r="I1833" s="2818"/>
      <c r="J1833" s="422">
        <f t="array" ref="J1833">MAX({1;2;3;4;5}*H1849:H1853)</f>
        <v>0</v>
      </c>
      <c r="K1833" s="2809" t="s">
        <v>1698</v>
      </c>
      <c r="M1833" s="1959"/>
      <c r="N1833" s="100"/>
      <c r="O1833" s="468" t="s">
        <v>9828</v>
      </c>
      <c r="P1833" s="2811">
        <v>30</v>
      </c>
      <c r="Q1833" s="575">
        <v>120</v>
      </c>
      <c r="R1833" s="2818">
        <f>COUNTIF(PoderesDeCriatura_Adquiridos,Tablas!O1833)</f>
        <v>0</v>
      </c>
      <c r="S1833" s="422"/>
      <c r="T1833" s="2809"/>
      <c r="V1833" s="2868" t="s">
        <v>1624</v>
      </c>
      <c r="W1833" s="2131"/>
      <c r="X1833" s="2340"/>
      <c r="Y1833" s="2855" t="s">
        <v>8977</v>
      </c>
      <c r="Z1833" s="2852" t="s">
        <v>8977</v>
      </c>
      <c r="AA1833" s="2852" t="s">
        <v>8977</v>
      </c>
      <c r="AB1833" s="2852" t="s">
        <v>8977</v>
      </c>
      <c r="AC1833" s="2852" t="s">
        <v>8977</v>
      </c>
      <c r="AD1833" s="2852" t="s">
        <v>8977</v>
      </c>
      <c r="AE1833" s="2852"/>
      <c r="AF1833" s="2852"/>
      <c r="AG1833" s="2852"/>
      <c r="AH1833" s="2852"/>
      <c r="AI1833" s="2852"/>
      <c r="AJ1833" s="2852"/>
      <c r="AK1833" s="2852"/>
      <c r="AL1833" s="2852"/>
      <c r="AM1833" s="2852"/>
      <c r="AN1833" s="2852"/>
      <c r="AO1833" s="2852"/>
      <c r="AP1833" s="2852"/>
      <c r="AQ1833" s="2852"/>
      <c r="AR1833" s="2852"/>
      <c r="AS1833" s="2852"/>
      <c r="AT1833" s="2852"/>
      <c r="AU1833" s="2852"/>
      <c r="AV1833" s="2852"/>
      <c r="AW1833" s="2852"/>
      <c r="AX1833" s="2852"/>
      <c r="AY1833" s="2852"/>
      <c r="AZ1833" s="2852"/>
      <c r="BA1833" s="2852"/>
      <c r="BB1833" s="2852"/>
      <c r="BC1833" s="2852"/>
      <c r="BD1833" s="2852"/>
      <c r="BE1833" s="2852"/>
      <c r="BF1833" s="2852"/>
      <c r="BG1833" s="2852"/>
      <c r="BH1833" s="2852"/>
      <c r="BI1833" s="2852"/>
      <c r="BJ1833" s="2852"/>
      <c r="BK1833" s="2852"/>
      <c r="BL1833" s="2842"/>
      <c r="BM1833" s="2842"/>
      <c r="BN1833" s="2842"/>
      <c r="BO1833" s="2842"/>
      <c r="BP1833" s="2842"/>
      <c r="BQ1833" s="2842"/>
      <c r="BR1833" s="2842"/>
      <c r="BS1833" s="2842"/>
      <c r="BT1833" s="2842"/>
      <c r="BU1833" s="2842"/>
      <c r="BV1833" s="2842"/>
      <c r="BW1833" s="2842"/>
      <c r="BX1833" s="2842"/>
      <c r="BY1833" s="2842"/>
      <c r="BZ1833" s="2842"/>
      <c r="CA1833" s="2869"/>
    </row>
    <row r="1834" spans="1:79" ht="12.75" customHeight="1" x14ac:dyDescent="0.2">
      <c r="A1834" s="2029">
        <v>211</v>
      </c>
      <c r="B1834" s="4995"/>
      <c r="C1834" s="2813"/>
      <c r="D1834" s="260"/>
      <c r="E1834" s="2816" t="s">
        <v>10279</v>
      </c>
      <c r="F1834" s="218">
        <v>0</v>
      </c>
      <c r="G1834" s="218">
        <v>20</v>
      </c>
      <c r="H1834" s="218">
        <f>COUNTIF(HabilidadesEsenciales_Adquiridas,Tablas!E1834)</f>
        <v>0</v>
      </c>
      <c r="I1834" s="2818">
        <v>1</v>
      </c>
      <c r="J1834" s="422">
        <f t="array" ref="J1834">MAX({1;2;3;4;5}*H1854:H1858)</f>
        <v>0</v>
      </c>
      <c r="K1834" s="2809" t="s">
        <v>1701</v>
      </c>
      <c r="M1834" s="1959"/>
      <c r="N1834" s="100"/>
      <c r="O1834" s="468" t="s">
        <v>9829</v>
      </c>
      <c r="P1834" s="2811">
        <v>0</v>
      </c>
      <c r="Q1834" s="575">
        <v>10</v>
      </c>
      <c r="R1834" s="2818">
        <f>COUNTIF(PoderesDeCriatura_Adquiridos,Tablas!O1834)</f>
        <v>0</v>
      </c>
      <c r="S1834" s="422"/>
      <c r="T1834" s="2809"/>
      <c r="V1834" s="2868" t="s">
        <v>9488</v>
      </c>
      <c r="W1834" s="2836"/>
      <c r="X1834" s="2340" t="str">
        <f t="shared" si="108"/>
        <v>PodHab_Resistenciafísicamejorada</v>
      </c>
      <c r="Y1834" s="2855" t="s">
        <v>9623</v>
      </c>
      <c r="Z1834" s="2852" t="s">
        <v>3281</v>
      </c>
      <c r="AA1834" s="2852" t="s">
        <v>9624</v>
      </c>
      <c r="AB1834" s="2852" t="s">
        <v>9625</v>
      </c>
      <c r="AC1834" s="2852" t="s">
        <v>9626</v>
      </c>
      <c r="AD1834" s="2852" t="s">
        <v>9627</v>
      </c>
      <c r="AE1834" s="2852" t="s">
        <v>9628</v>
      </c>
      <c r="AF1834" s="2852" t="s">
        <v>9629</v>
      </c>
      <c r="AG1834" s="2852"/>
      <c r="AH1834" s="2852"/>
      <c r="AI1834" s="2852"/>
      <c r="AJ1834" s="2852"/>
      <c r="AK1834" s="2852"/>
      <c r="AL1834" s="2852"/>
      <c r="AM1834" s="2852"/>
      <c r="AN1834" s="2852"/>
      <c r="AO1834" s="2852"/>
      <c r="AP1834" s="2852"/>
      <c r="AQ1834" s="2852"/>
      <c r="AR1834" s="2852"/>
      <c r="AS1834" s="2852"/>
      <c r="AT1834" s="2852"/>
      <c r="AU1834" s="2852"/>
      <c r="AV1834" s="2852"/>
      <c r="AW1834" s="2852"/>
      <c r="AX1834" s="2852"/>
      <c r="AY1834" s="2852"/>
      <c r="AZ1834" s="2852"/>
      <c r="BA1834" s="2852"/>
      <c r="BB1834" s="2852"/>
      <c r="BC1834" s="2852"/>
      <c r="BD1834" s="2852"/>
      <c r="BE1834" s="2852"/>
      <c r="BF1834" s="2852"/>
      <c r="BG1834" s="2852"/>
      <c r="BH1834" s="2852"/>
      <c r="BI1834" s="2852"/>
      <c r="BJ1834" s="2852"/>
      <c r="BK1834" s="2852"/>
      <c r="BL1834" s="2842"/>
      <c r="BM1834" s="2842"/>
      <c r="BN1834" s="2842"/>
      <c r="BO1834" s="2842"/>
      <c r="BP1834" s="2842"/>
      <c r="BQ1834" s="2842"/>
      <c r="BR1834" s="2842"/>
      <c r="BS1834" s="2842"/>
      <c r="BT1834" s="2842"/>
      <c r="BU1834" s="2842"/>
      <c r="BV1834" s="2842"/>
      <c r="BW1834" s="2842"/>
      <c r="BX1834" s="2842"/>
      <c r="BY1834" s="2842"/>
      <c r="BZ1834" s="2842"/>
      <c r="CA1834" s="2869"/>
    </row>
    <row r="1835" spans="1:79" ht="12.75" customHeight="1" x14ac:dyDescent="0.2">
      <c r="A1835" s="2029">
        <v>211</v>
      </c>
      <c r="B1835" s="4995"/>
      <c r="C1835" s="2813"/>
      <c r="D1835" s="260"/>
      <c r="E1835" s="2816" t="s">
        <v>10280</v>
      </c>
      <c r="F1835" s="218">
        <v>5</v>
      </c>
      <c r="G1835" s="218">
        <v>40</v>
      </c>
      <c r="H1835" s="218">
        <f>COUNTIF(HabilidadesEsenciales_Adquiridas,Tablas!E1835)</f>
        <v>0</v>
      </c>
      <c r="I1835" s="2818">
        <v>1</v>
      </c>
      <c r="J1835" s="422">
        <f t="array" ref="J1835">MAX({1;2;3;4;5}*H1859:H1863)</f>
        <v>0</v>
      </c>
      <c r="K1835" s="2809" t="s">
        <v>1703</v>
      </c>
      <c r="M1835" s="1959"/>
      <c r="N1835" s="100"/>
      <c r="O1835" s="468" t="s">
        <v>9830</v>
      </c>
      <c r="P1835" s="2811">
        <v>10</v>
      </c>
      <c r="Q1835" s="575">
        <v>20</v>
      </c>
      <c r="R1835" s="2818">
        <f>COUNTIF(PoderesDeCriatura_Adquiridos,Tablas!O1835)</f>
        <v>0</v>
      </c>
      <c r="S1835" s="422">
        <f>IF(R1834=1,10,IF(R1835=1,20,IF(R1836=1,30,0)))</f>
        <v>0</v>
      </c>
      <c r="T1835" s="2809" t="s">
        <v>1705</v>
      </c>
      <c r="V1835" s="2868" t="s">
        <v>9489</v>
      </c>
      <c r="W1835" s="2836"/>
      <c r="X1835" s="2340" t="str">
        <f t="shared" si="108"/>
        <v>PodHab_Resistenciamísticamejorada</v>
      </c>
      <c r="Y1835" s="2855" t="s">
        <v>9630</v>
      </c>
      <c r="Z1835" s="2852" t="s">
        <v>9631</v>
      </c>
      <c r="AA1835" s="2852" t="s">
        <v>9632</v>
      </c>
      <c r="AB1835" s="2852" t="s">
        <v>9633</v>
      </c>
      <c r="AC1835" s="2852" t="s">
        <v>9634</v>
      </c>
      <c r="AD1835" s="2852" t="s">
        <v>9635</v>
      </c>
      <c r="AE1835" s="2852" t="s">
        <v>9636</v>
      </c>
      <c r="AF1835" s="2852" t="s">
        <v>9637</v>
      </c>
      <c r="AG1835" s="2852" t="s">
        <v>9638</v>
      </c>
      <c r="AH1835" s="2852" t="s">
        <v>9639</v>
      </c>
      <c r="AI1835" s="2852" t="s">
        <v>9640</v>
      </c>
      <c r="AJ1835" s="2852" t="s">
        <v>9641</v>
      </c>
      <c r="AK1835" s="2852" t="s">
        <v>9642</v>
      </c>
      <c r="AL1835" s="2852" t="s">
        <v>9643</v>
      </c>
      <c r="AM1835" s="2852" t="s">
        <v>9644</v>
      </c>
      <c r="AN1835" s="2852"/>
      <c r="AO1835" s="2852"/>
      <c r="AP1835" s="2852"/>
      <c r="AQ1835" s="2852"/>
      <c r="AR1835" s="2852"/>
      <c r="AS1835" s="2852"/>
      <c r="AT1835" s="2852"/>
      <c r="AU1835" s="2852"/>
      <c r="AV1835" s="2852"/>
      <c r="AW1835" s="2852"/>
      <c r="AX1835" s="2852"/>
      <c r="AY1835" s="2852"/>
      <c r="AZ1835" s="2852"/>
      <c r="BA1835" s="2852"/>
      <c r="BB1835" s="2852"/>
      <c r="BC1835" s="2852"/>
      <c r="BD1835" s="2852"/>
      <c r="BE1835" s="2852"/>
      <c r="BF1835" s="2852"/>
      <c r="BG1835" s="2852"/>
      <c r="BH1835" s="2852"/>
      <c r="BI1835" s="2852"/>
      <c r="BJ1835" s="2852"/>
      <c r="BK1835" s="2852"/>
      <c r="BL1835" s="2842"/>
      <c r="BM1835" s="2842"/>
      <c r="BN1835" s="2842"/>
      <c r="BO1835" s="2842"/>
      <c r="BP1835" s="2842"/>
      <c r="BQ1835" s="2842"/>
      <c r="BR1835" s="2842"/>
      <c r="BS1835" s="2842"/>
      <c r="BT1835" s="2842"/>
      <c r="BU1835" s="2842"/>
      <c r="BV1835" s="2842"/>
      <c r="BW1835" s="2842"/>
      <c r="BX1835" s="2842"/>
      <c r="BY1835" s="2842"/>
      <c r="BZ1835" s="2842"/>
      <c r="CA1835" s="2869"/>
    </row>
    <row r="1836" spans="1:79" ht="12.75" customHeight="1" x14ac:dyDescent="0.2">
      <c r="A1836" s="2029">
        <v>211</v>
      </c>
      <c r="B1836" s="4995"/>
      <c r="C1836" s="2813"/>
      <c r="D1836" s="260"/>
      <c r="E1836" s="2816" t="s">
        <v>10281</v>
      </c>
      <c r="F1836" s="218">
        <v>15</v>
      </c>
      <c r="G1836" s="218">
        <v>60</v>
      </c>
      <c r="H1836" s="218">
        <f>COUNTIF(HabilidadesEsenciales_Adquiridas,Tablas!E1836)</f>
        <v>0</v>
      </c>
      <c r="I1836" s="2818">
        <v>1</v>
      </c>
      <c r="J1836" s="422">
        <f t="array" ref="J1836">MAX({1;2;3;4;5}*H1864:H1868)</f>
        <v>0</v>
      </c>
      <c r="K1836" s="2809" t="s">
        <v>1704</v>
      </c>
      <c r="M1836" s="1959"/>
      <c r="N1836" s="100"/>
      <c r="O1836" s="468" t="s">
        <v>9831</v>
      </c>
      <c r="P1836" s="2811">
        <v>20</v>
      </c>
      <c r="Q1836" s="575">
        <v>30</v>
      </c>
      <c r="R1836" s="2818">
        <f>COUNTIF(PoderesDeCriatura_Adquiridos,Tablas!O1836)</f>
        <v>0</v>
      </c>
      <c r="S1836" s="422"/>
      <c r="T1836" s="2809"/>
      <c r="V1836" s="2868" t="s">
        <v>9490</v>
      </c>
      <c r="W1836" s="2836"/>
      <c r="X1836" s="2340" t="str">
        <f t="shared" si="108"/>
        <v>PodHab_Pen.alaResistenciamística</v>
      </c>
      <c r="Y1836" s="2855" t="s">
        <v>9645</v>
      </c>
      <c r="Z1836" s="2852" t="s">
        <v>9646</v>
      </c>
      <c r="AA1836" s="2852" t="s">
        <v>9647</v>
      </c>
      <c r="AB1836" s="2852" t="s">
        <v>9648</v>
      </c>
      <c r="AC1836" s="2852" t="s">
        <v>9649</v>
      </c>
      <c r="AD1836" s="2852" t="s">
        <v>9650</v>
      </c>
      <c r="AE1836" s="2852" t="s">
        <v>9651</v>
      </c>
      <c r="AF1836" s="2852" t="s">
        <v>9652</v>
      </c>
      <c r="AG1836" s="2852" t="s">
        <v>9653</v>
      </c>
      <c r="AH1836" s="2852" t="s">
        <v>9654</v>
      </c>
      <c r="AI1836" s="2852" t="s">
        <v>9655</v>
      </c>
      <c r="AJ1836" s="2852" t="s">
        <v>9656</v>
      </c>
      <c r="AK1836" s="2852" t="s">
        <v>9657</v>
      </c>
      <c r="AL1836" s="2852" t="s">
        <v>9658</v>
      </c>
      <c r="AM1836" s="2852" t="s">
        <v>9659</v>
      </c>
      <c r="AN1836" s="2852" t="s">
        <v>8977</v>
      </c>
      <c r="AO1836" s="2852" t="s">
        <v>8977</v>
      </c>
      <c r="AP1836" s="2852"/>
      <c r="AQ1836" s="2852"/>
      <c r="AR1836" s="2852"/>
      <c r="AS1836" s="2852"/>
      <c r="AT1836" s="2852"/>
      <c r="AU1836" s="2852"/>
      <c r="AV1836" s="2852"/>
      <c r="AW1836" s="2852"/>
      <c r="AX1836" s="2852"/>
      <c r="AY1836" s="2852"/>
      <c r="AZ1836" s="2852"/>
      <c r="BA1836" s="2852"/>
      <c r="BB1836" s="2852"/>
      <c r="BC1836" s="2852"/>
      <c r="BD1836" s="2852"/>
      <c r="BE1836" s="2852"/>
      <c r="BF1836" s="2852"/>
      <c r="BG1836" s="2852"/>
      <c r="BH1836" s="2852"/>
      <c r="BI1836" s="2852"/>
      <c r="BJ1836" s="2852"/>
      <c r="BK1836" s="2852"/>
      <c r="BL1836" s="2842"/>
      <c r="BM1836" s="2842"/>
      <c r="BN1836" s="2842"/>
      <c r="BO1836" s="2842"/>
      <c r="BP1836" s="2842"/>
      <c r="BQ1836" s="2842"/>
      <c r="BR1836" s="2842"/>
      <c r="BS1836" s="2842"/>
      <c r="BT1836" s="2842"/>
      <c r="BU1836" s="2842"/>
      <c r="BV1836" s="2842"/>
      <c r="BW1836" s="2842"/>
      <c r="BX1836" s="2842"/>
      <c r="BY1836" s="2842"/>
      <c r="BZ1836" s="2842"/>
      <c r="CA1836" s="2869"/>
    </row>
    <row r="1837" spans="1:79" ht="12.75" customHeight="1" x14ac:dyDescent="0.2">
      <c r="A1837" s="2029">
        <v>211</v>
      </c>
      <c r="B1837" s="4995"/>
      <c r="C1837" s="2813"/>
      <c r="D1837" s="260"/>
      <c r="E1837" s="2816" t="s">
        <v>10282</v>
      </c>
      <c r="F1837" s="218">
        <v>20</v>
      </c>
      <c r="G1837" s="218">
        <v>120</v>
      </c>
      <c r="H1837" s="218">
        <f>COUNTIF(HabilidadesEsenciales_Adquiridas,Tablas!E1837)</f>
        <v>0</v>
      </c>
      <c r="I1837" s="2818"/>
      <c r="J1837" s="422"/>
      <c r="K1837" s="2809"/>
      <c r="M1837" s="1959"/>
      <c r="N1837" s="100"/>
      <c r="O1837" s="468" t="s">
        <v>1612</v>
      </c>
      <c r="P1837" s="2811">
        <v>10</v>
      </c>
      <c r="Q1837" s="575">
        <v>10</v>
      </c>
      <c r="R1837" s="2818">
        <f>COUNTIF(PoderesDeCriatura_Adquiridos,Tablas!O1837)</f>
        <v>0</v>
      </c>
      <c r="S1837" s="422"/>
      <c r="T1837" s="2809"/>
      <c r="V1837" s="2868" t="s">
        <v>1680</v>
      </c>
      <c r="W1837" s="2836"/>
      <c r="X1837" s="2340" t="str">
        <f t="shared" si="108"/>
        <v>PodHab_Regeneración</v>
      </c>
      <c r="Y1837" s="2855" t="s">
        <v>9660</v>
      </c>
      <c r="Z1837" s="2852" t="s">
        <v>9620</v>
      </c>
      <c r="AA1837" s="2852" t="s">
        <v>9615</v>
      </c>
      <c r="AB1837" s="2852" t="s">
        <v>9616</v>
      </c>
      <c r="AC1837" s="2852" t="s">
        <v>9617</v>
      </c>
      <c r="AD1837" s="2852" t="s">
        <v>9618</v>
      </c>
      <c r="AE1837" s="2852" t="s">
        <v>9619</v>
      </c>
      <c r="AF1837" s="2852" t="s">
        <v>9621</v>
      </c>
      <c r="AG1837" s="2852" t="s">
        <v>9661</v>
      </c>
      <c r="AH1837" s="2852" t="s">
        <v>9662</v>
      </c>
      <c r="AI1837" s="2852" t="s">
        <v>9663</v>
      </c>
      <c r="AJ1837" s="2852" t="s">
        <v>9664</v>
      </c>
      <c r="AK1837" s="2852" t="s">
        <v>9665</v>
      </c>
      <c r="AL1837" s="2852"/>
      <c r="AM1837" s="2852"/>
      <c r="AN1837" s="2852"/>
      <c r="AO1837" s="2852"/>
      <c r="AP1837" s="2852"/>
      <c r="AQ1837" s="2852"/>
      <c r="AR1837" s="2852"/>
      <c r="AS1837" s="2852"/>
      <c r="AT1837" s="2852"/>
      <c r="AU1837" s="2852"/>
      <c r="AV1837" s="2852"/>
      <c r="AW1837" s="2852"/>
      <c r="AX1837" s="2852"/>
      <c r="AY1837" s="2852"/>
      <c r="AZ1837" s="2852"/>
      <c r="BA1837" s="2852"/>
      <c r="BB1837" s="2852"/>
      <c r="BC1837" s="2852"/>
      <c r="BD1837" s="2852"/>
      <c r="BE1837" s="2852"/>
      <c r="BF1837" s="2852"/>
      <c r="BG1837" s="2852"/>
      <c r="BH1837" s="2852"/>
      <c r="BI1837" s="2852"/>
      <c r="BJ1837" s="2852"/>
      <c r="BK1837" s="2852"/>
      <c r="BL1837" s="2842"/>
      <c r="BM1837" s="2842"/>
      <c r="BN1837" s="2842"/>
      <c r="BO1837" s="2842"/>
      <c r="BP1837" s="2842"/>
      <c r="BQ1837" s="2842"/>
      <c r="BR1837" s="2842"/>
      <c r="BS1837" s="2842"/>
      <c r="BT1837" s="2842"/>
      <c r="BU1837" s="2842"/>
      <c r="BV1837" s="2842"/>
      <c r="BW1837" s="2842"/>
      <c r="BX1837" s="2842"/>
      <c r="BY1837" s="2842"/>
      <c r="BZ1837" s="2842"/>
      <c r="CA1837" s="2869"/>
    </row>
    <row r="1838" spans="1:79" ht="12.75" customHeight="1" x14ac:dyDescent="0.2">
      <c r="A1838" s="2029">
        <v>211</v>
      </c>
      <c r="B1838" s="4995"/>
      <c r="C1838" s="2813"/>
      <c r="D1838" s="260"/>
      <c r="E1838" s="2816" t="s">
        <v>10283</v>
      </c>
      <c r="F1838" s="218">
        <v>25</v>
      </c>
      <c r="G1838" s="218">
        <v>180</v>
      </c>
      <c r="H1838" s="218">
        <f>COUNTIF(HabilidadesEsenciales_Adquiridas,Tablas!E1838)</f>
        <v>0</v>
      </c>
      <c r="I1838" s="2818"/>
      <c r="J1838" s="422"/>
      <c r="K1838" s="2809"/>
      <c r="M1838" s="1959"/>
      <c r="N1838" s="100"/>
      <c r="O1838" s="468" t="s">
        <v>9832</v>
      </c>
      <c r="P1838" s="2811">
        <v>0</v>
      </c>
      <c r="Q1838" s="575">
        <v>10</v>
      </c>
      <c r="R1838" s="2818">
        <f>COUNTIF(PoderesDeCriatura_Adquiridos,Tablas!O1838)</f>
        <v>0</v>
      </c>
      <c r="S1838" s="422"/>
      <c r="T1838" s="2809"/>
      <c r="V1838" s="2868" t="s">
        <v>9471</v>
      </c>
      <c r="W1838" s="2836"/>
      <c r="X1838" s="2340" t="str">
        <f t="shared" si="108"/>
        <v>PodHab_Degeneración</v>
      </c>
      <c r="Y1838" s="2855" t="s">
        <v>9666</v>
      </c>
      <c r="Z1838" s="2852" t="s">
        <v>9667</v>
      </c>
      <c r="AA1838" s="2852" t="s">
        <v>9668</v>
      </c>
      <c r="AB1838" s="2852" t="s">
        <v>9669</v>
      </c>
      <c r="AC1838" s="2852" t="s">
        <v>9670</v>
      </c>
      <c r="AD1838" s="2852"/>
      <c r="AE1838" s="2852"/>
      <c r="AF1838" s="2852"/>
      <c r="AG1838" s="2852"/>
      <c r="AH1838" s="2852"/>
      <c r="AI1838" s="2852"/>
      <c r="AJ1838" s="2852"/>
      <c r="AK1838" s="2852"/>
      <c r="AL1838" s="2852"/>
      <c r="AM1838" s="2852"/>
      <c r="AN1838" s="2852"/>
      <c r="AO1838" s="2852"/>
      <c r="AP1838" s="2852"/>
      <c r="AQ1838" s="2852"/>
      <c r="AR1838" s="2852"/>
      <c r="AS1838" s="2852"/>
      <c r="AT1838" s="2852"/>
      <c r="AU1838" s="2852"/>
      <c r="AV1838" s="2852"/>
      <c r="AW1838" s="2852"/>
      <c r="AX1838" s="2852"/>
      <c r="AY1838" s="2852"/>
      <c r="AZ1838" s="2852"/>
      <c r="BA1838" s="2852"/>
      <c r="BB1838" s="2852"/>
      <c r="BC1838" s="2852"/>
      <c r="BD1838" s="2852"/>
      <c r="BE1838" s="2852"/>
      <c r="BF1838" s="2852"/>
      <c r="BG1838" s="2852"/>
      <c r="BH1838" s="2852"/>
      <c r="BI1838" s="2852"/>
      <c r="BJ1838" s="2852"/>
      <c r="BK1838" s="2852"/>
      <c r="BL1838" s="2842"/>
      <c r="BM1838" s="2842"/>
      <c r="BN1838" s="2842"/>
      <c r="BO1838" s="2842"/>
      <c r="BP1838" s="2842"/>
      <c r="BQ1838" s="2842"/>
      <c r="BR1838" s="2842"/>
      <c r="BS1838" s="2842"/>
      <c r="BT1838" s="2842"/>
      <c r="BU1838" s="2842"/>
      <c r="BV1838" s="2842"/>
      <c r="BW1838" s="2842"/>
      <c r="BX1838" s="2842"/>
      <c r="BY1838" s="2842"/>
      <c r="BZ1838" s="2842"/>
      <c r="CA1838" s="2869"/>
    </row>
    <row r="1839" spans="1:79" ht="12.75" customHeight="1" x14ac:dyDescent="0.2">
      <c r="A1839" s="2029">
        <v>211</v>
      </c>
      <c r="B1839" s="4995"/>
      <c r="C1839" s="2813"/>
      <c r="D1839" s="260"/>
      <c r="E1839" s="2816" t="s">
        <v>10284</v>
      </c>
      <c r="F1839" s="218">
        <v>0</v>
      </c>
      <c r="G1839" s="218">
        <v>20</v>
      </c>
      <c r="H1839" s="218">
        <f>COUNTIF(HabilidadesEsenciales_Adquiridas,Tablas!E1839)</f>
        <v>0</v>
      </c>
      <c r="I1839" s="2818">
        <v>1</v>
      </c>
      <c r="J1839" s="422"/>
      <c r="K1839" s="2809"/>
      <c r="M1839" s="1959"/>
      <c r="N1839" s="100"/>
      <c r="O1839" s="468" t="s">
        <v>9833</v>
      </c>
      <c r="P1839" s="2811">
        <v>10</v>
      </c>
      <c r="Q1839" s="575">
        <v>15</v>
      </c>
      <c r="R1839" s="2818">
        <f>COUNTIF(PoderesDeCriatura_Adquiridos,Tablas!O1839)</f>
        <v>0</v>
      </c>
      <c r="S1839" s="422"/>
      <c r="T1839" s="2809"/>
      <c r="V1839" s="2868" t="s">
        <v>1625</v>
      </c>
      <c r="W1839" s="2836"/>
      <c r="X1839" s="2340"/>
      <c r="Y1839" s="2855"/>
      <c r="Z1839" s="2852"/>
      <c r="AA1839" s="2852"/>
      <c r="AB1839" s="2852"/>
      <c r="AC1839" s="2852"/>
      <c r="AD1839" s="2852"/>
      <c r="AE1839" s="2852"/>
      <c r="AF1839" s="2852"/>
      <c r="AG1839" s="2852"/>
      <c r="AH1839" s="2852"/>
      <c r="AI1839" s="2852"/>
      <c r="AJ1839" s="2852"/>
      <c r="AK1839" s="2852"/>
      <c r="AL1839" s="2852"/>
      <c r="AM1839" s="2852"/>
      <c r="AN1839" s="2852"/>
      <c r="AO1839" s="2852"/>
      <c r="AP1839" s="2852"/>
      <c r="AQ1839" s="2852"/>
      <c r="AR1839" s="2852"/>
      <c r="AS1839" s="2852"/>
      <c r="AT1839" s="2852"/>
      <c r="AU1839" s="2852"/>
      <c r="AV1839" s="2852"/>
      <c r="AW1839" s="2852"/>
      <c r="AX1839" s="2852"/>
      <c r="AY1839" s="2852"/>
      <c r="AZ1839" s="2852"/>
      <c r="BA1839" s="2852"/>
      <c r="BB1839" s="2852"/>
      <c r="BC1839" s="2852"/>
      <c r="BD1839" s="2852"/>
      <c r="BE1839" s="2852"/>
      <c r="BF1839" s="2852"/>
      <c r="BG1839" s="2852"/>
      <c r="BH1839" s="2852"/>
      <c r="BI1839" s="2852"/>
      <c r="BJ1839" s="2852"/>
      <c r="BK1839" s="2852"/>
      <c r="BL1839" s="2842"/>
      <c r="BM1839" s="2842"/>
      <c r="BN1839" s="2842"/>
      <c r="BO1839" s="2842"/>
      <c r="BP1839" s="2842"/>
      <c r="BQ1839" s="2842"/>
      <c r="BR1839" s="2842"/>
      <c r="BS1839" s="2842"/>
      <c r="BT1839" s="2842"/>
      <c r="BU1839" s="2842"/>
      <c r="BV1839" s="2842"/>
      <c r="BW1839" s="2842"/>
      <c r="BX1839" s="2842"/>
      <c r="BY1839" s="2842"/>
      <c r="BZ1839" s="2842"/>
      <c r="CA1839" s="2869"/>
    </row>
    <row r="1840" spans="1:79" ht="12.75" customHeight="1" x14ac:dyDescent="0.2">
      <c r="A1840" s="2029">
        <v>211</v>
      </c>
      <c r="B1840" s="4995"/>
      <c r="C1840" s="2813"/>
      <c r="D1840" s="260"/>
      <c r="E1840" s="2816" t="s">
        <v>10285</v>
      </c>
      <c r="F1840" s="218">
        <v>5</v>
      </c>
      <c r="G1840" s="218">
        <v>40</v>
      </c>
      <c r="H1840" s="218">
        <f>COUNTIF(HabilidadesEsenciales_Adquiridas,Tablas!E1840)</f>
        <v>0</v>
      </c>
      <c r="I1840" s="2818">
        <v>1</v>
      </c>
      <c r="J1840" s="422"/>
      <c r="K1840" s="2809"/>
      <c r="M1840" s="1959"/>
      <c r="N1840" s="100"/>
      <c r="O1840" s="468" t="s">
        <v>9834</v>
      </c>
      <c r="P1840" s="2811">
        <v>15</v>
      </c>
      <c r="Q1840" s="575">
        <v>20</v>
      </c>
      <c r="R1840" s="2818">
        <f>COUNTIF(PoderesDeCriatura_Adquiridos,Tablas!O1840)</f>
        <v>0</v>
      </c>
      <c r="S1840" s="422"/>
      <c r="T1840" s="2809"/>
      <c r="V1840" s="2868" t="s">
        <v>196</v>
      </c>
      <c r="W1840" s="2836"/>
      <c r="X1840" s="2340" t="str">
        <f t="shared" si="108"/>
        <v>PodHab_Inmunidad</v>
      </c>
      <c r="Y1840" s="2855" t="s">
        <v>9671</v>
      </c>
      <c r="Z1840" s="2852" t="s">
        <v>9672</v>
      </c>
      <c r="AA1840" s="2852" t="s">
        <v>9673</v>
      </c>
      <c r="AB1840" s="2852" t="s">
        <v>9674</v>
      </c>
      <c r="AC1840" s="2852" t="s">
        <v>9675</v>
      </c>
      <c r="AD1840" s="2852" t="s">
        <v>9676</v>
      </c>
      <c r="AE1840" s="2852" t="s">
        <v>9677</v>
      </c>
      <c r="AF1840" s="2852" t="s">
        <v>9678</v>
      </c>
      <c r="AG1840" s="2852" t="s">
        <v>9679</v>
      </c>
      <c r="AH1840" s="2852" t="s">
        <v>9680</v>
      </c>
      <c r="AI1840" s="2852" t="s">
        <v>9681</v>
      </c>
      <c r="AJ1840" s="2852" t="s">
        <v>9682</v>
      </c>
      <c r="AK1840" s="2852" t="s">
        <v>9683</v>
      </c>
      <c r="AL1840" s="2852" t="s">
        <v>9684</v>
      </c>
      <c r="AM1840" s="2852" t="s">
        <v>9685</v>
      </c>
      <c r="AN1840" s="2852" t="s">
        <v>9686</v>
      </c>
      <c r="AO1840" s="2852" t="s">
        <v>9687</v>
      </c>
      <c r="AP1840" s="2852" t="s">
        <v>9688</v>
      </c>
      <c r="AQ1840" s="2852"/>
      <c r="AR1840" s="2852"/>
      <c r="AS1840" s="2852"/>
      <c r="AT1840" s="2852"/>
      <c r="AU1840" s="2852"/>
      <c r="AV1840" s="2852"/>
      <c r="AW1840" s="2852"/>
      <c r="AX1840" s="2852"/>
      <c r="AY1840" s="2852"/>
      <c r="AZ1840" s="2852"/>
      <c r="BA1840" s="2852"/>
      <c r="BB1840" s="2852"/>
      <c r="BC1840" s="2852"/>
      <c r="BD1840" s="2852"/>
      <c r="BE1840" s="2852"/>
      <c r="BF1840" s="2852"/>
      <c r="BG1840" s="2852"/>
      <c r="BH1840" s="2852"/>
      <c r="BI1840" s="2852"/>
      <c r="BJ1840" s="2852"/>
      <c r="BK1840" s="2852"/>
      <c r="BL1840" s="2842"/>
      <c r="BM1840" s="2842"/>
      <c r="BN1840" s="2842"/>
      <c r="BO1840" s="2842"/>
      <c r="BP1840" s="2842"/>
      <c r="BQ1840" s="2842"/>
      <c r="BR1840" s="2842"/>
      <c r="BS1840" s="2842"/>
      <c r="BT1840" s="2842"/>
      <c r="BU1840" s="2842"/>
      <c r="BV1840" s="2842"/>
      <c r="BW1840" s="2842"/>
      <c r="BX1840" s="2842"/>
      <c r="BY1840" s="2842"/>
      <c r="BZ1840" s="2842"/>
      <c r="CA1840" s="2869"/>
    </row>
    <row r="1841" spans="1:79" ht="12.75" customHeight="1" x14ac:dyDescent="0.2">
      <c r="A1841" s="2029">
        <v>211</v>
      </c>
      <c r="B1841" s="4995"/>
      <c r="C1841" s="2813"/>
      <c r="D1841" s="260"/>
      <c r="E1841" s="2816" t="s">
        <v>10286</v>
      </c>
      <c r="F1841" s="218">
        <v>15</v>
      </c>
      <c r="G1841" s="218">
        <v>60</v>
      </c>
      <c r="H1841" s="218">
        <f>COUNTIF(HabilidadesEsenciales_Adquiridas,Tablas!E1841)</f>
        <v>0</v>
      </c>
      <c r="I1841" s="2818">
        <v>1</v>
      </c>
      <c r="J1841" s="422"/>
      <c r="K1841" s="2809"/>
      <c r="M1841" s="1959"/>
      <c r="N1841" s="100"/>
      <c r="O1841" s="468" t="s">
        <v>9835</v>
      </c>
      <c r="P1841" s="2811">
        <v>20</v>
      </c>
      <c r="Q1841" s="575">
        <v>25</v>
      </c>
      <c r="R1841" s="2818">
        <f>COUNTIF(PoderesDeCriatura_Adquiridos,Tablas!O1841)</f>
        <v>0</v>
      </c>
      <c r="S1841" s="422"/>
      <c r="T1841" s="2809"/>
      <c r="V1841" s="2868" t="s">
        <v>9472</v>
      </c>
      <c r="W1841" s="2836"/>
      <c r="X1841" s="2340" t="str">
        <f t="shared" si="108"/>
        <v>PodHab_Vulnerabilidadextrema</v>
      </c>
      <c r="Y1841" s="2855" t="s">
        <v>9689</v>
      </c>
      <c r="Z1841" s="2852" t="s">
        <v>9690</v>
      </c>
      <c r="AA1841" s="2852" t="s">
        <v>9691</v>
      </c>
      <c r="AB1841" s="2852" t="s">
        <v>9692</v>
      </c>
      <c r="AC1841" s="2852" t="s">
        <v>9693</v>
      </c>
      <c r="AD1841" s="2852" t="s">
        <v>9694</v>
      </c>
      <c r="AE1841" s="2852" t="s">
        <v>9695</v>
      </c>
      <c r="AF1841" s="2852" t="s">
        <v>9696</v>
      </c>
      <c r="AG1841" s="2852" t="s">
        <v>9696</v>
      </c>
      <c r="AH1841" s="2852" t="s">
        <v>4482</v>
      </c>
      <c r="AI1841" s="2852" t="s">
        <v>9585</v>
      </c>
      <c r="AJ1841" s="2852" t="s">
        <v>720</v>
      </c>
      <c r="AK1841" s="2852" t="s">
        <v>84</v>
      </c>
      <c r="AL1841" s="2852" t="s">
        <v>5407</v>
      </c>
      <c r="AM1841" s="2852" t="s">
        <v>5408</v>
      </c>
      <c r="AN1841" s="2852" t="s">
        <v>5409</v>
      </c>
      <c r="AO1841" s="2852" t="s">
        <v>9582</v>
      </c>
      <c r="AP1841" s="2852"/>
      <c r="AQ1841" s="2852"/>
      <c r="AR1841" s="2852"/>
      <c r="AS1841" s="2852"/>
      <c r="AT1841" s="2852"/>
      <c r="AU1841" s="2852"/>
      <c r="AV1841" s="2852"/>
      <c r="AW1841" s="2852"/>
      <c r="AX1841" s="2852"/>
      <c r="AY1841" s="2852"/>
      <c r="AZ1841" s="2852"/>
      <c r="BA1841" s="2852"/>
      <c r="BB1841" s="2852"/>
      <c r="BC1841" s="2852"/>
      <c r="BD1841" s="2852"/>
      <c r="BE1841" s="2852"/>
      <c r="BF1841" s="2852"/>
      <c r="BG1841" s="2852"/>
      <c r="BH1841" s="2852"/>
      <c r="BI1841" s="2852"/>
      <c r="BJ1841" s="2852"/>
      <c r="BK1841" s="2852"/>
      <c r="BL1841" s="2842"/>
      <c r="BM1841" s="2842"/>
      <c r="BN1841" s="2842"/>
      <c r="BO1841" s="2842"/>
      <c r="BP1841" s="2842"/>
      <c r="BQ1841" s="2842"/>
      <c r="BR1841" s="2842"/>
      <c r="BS1841" s="2842"/>
      <c r="BT1841" s="2842"/>
      <c r="BU1841" s="2842"/>
      <c r="BV1841" s="2842"/>
      <c r="BW1841" s="2842"/>
      <c r="BX1841" s="2842"/>
      <c r="BY1841" s="2842"/>
      <c r="BZ1841" s="2842"/>
      <c r="CA1841" s="2869"/>
    </row>
    <row r="1842" spans="1:79" ht="12.75" customHeight="1" x14ac:dyDescent="0.2">
      <c r="A1842" s="2029">
        <v>211</v>
      </c>
      <c r="B1842" s="4995"/>
      <c r="C1842" s="2813"/>
      <c r="D1842" s="260"/>
      <c r="E1842" s="2816" t="s">
        <v>10287</v>
      </c>
      <c r="F1842" s="218">
        <v>20</v>
      </c>
      <c r="G1842" s="218">
        <v>120</v>
      </c>
      <c r="H1842" s="218">
        <f>COUNTIF(HabilidadesEsenciales_Adquiridas,Tablas!E1842)</f>
        <v>0</v>
      </c>
      <c r="I1842" s="2818"/>
      <c r="J1842" s="422"/>
      <c r="K1842" s="2809"/>
      <c r="M1842" s="1959"/>
      <c r="N1842" s="100"/>
      <c r="O1842" s="468" t="s">
        <v>9836</v>
      </c>
      <c r="P1842" s="2811">
        <v>25</v>
      </c>
      <c r="Q1842" s="575">
        <v>30</v>
      </c>
      <c r="R1842" s="2818">
        <f>COUNTIF(PoderesDeCriatura_Adquiridos,Tablas!O1842)</f>
        <v>0</v>
      </c>
      <c r="S1842" s="422"/>
      <c r="T1842" s="2809"/>
      <c r="V1842" s="2868" t="s">
        <v>9473</v>
      </c>
      <c r="W1842" s="2836"/>
      <c r="X1842" s="2340" t="str">
        <f t="shared" si="108"/>
        <v>PodHab_Barreradedaño</v>
      </c>
      <c r="Y1842" s="2855" t="s">
        <v>9697</v>
      </c>
      <c r="Z1842" s="2852" t="s">
        <v>9698</v>
      </c>
      <c r="AA1842" s="2852" t="s">
        <v>9699</v>
      </c>
      <c r="AB1842" s="2852" t="s">
        <v>9700</v>
      </c>
      <c r="AC1842" s="2852" t="s">
        <v>9701</v>
      </c>
      <c r="AD1842" s="2852" t="s">
        <v>9702</v>
      </c>
      <c r="AE1842" s="2852" t="s">
        <v>9703</v>
      </c>
      <c r="AF1842" s="2852"/>
      <c r="AG1842" s="2852"/>
      <c r="AH1842" s="2852"/>
      <c r="AI1842" s="2852"/>
      <c r="AJ1842" s="2852"/>
      <c r="AK1842" s="2852"/>
      <c r="AL1842" s="2852"/>
      <c r="AM1842" s="2852"/>
      <c r="AN1842" s="2852"/>
      <c r="AO1842" s="2852"/>
      <c r="AP1842" s="2852"/>
      <c r="AQ1842" s="2852"/>
      <c r="AR1842" s="2852"/>
      <c r="AS1842" s="2852"/>
      <c r="AT1842" s="2852"/>
      <c r="AU1842" s="2852"/>
      <c r="AV1842" s="2852"/>
      <c r="AW1842" s="2852"/>
      <c r="AX1842" s="2852"/>
      <c r="AY1842" s="2852"/>
      <c r="AZ1842" s="2852"/>
      <c r="BA1842" s="2852"/>
      <c r="BB1842" s="2852"/>
      <c r="BC1842" s="2852"/>
      <c r="BD1842" s="2852"/>
      <c r="BE1842" s="2852"/>
      <c r="BF1842" s="2852"/>
      <c r="BG1842" s="2852"/>
      <c r="BH1842" s="2852"/>
      <c r="BI1842" s="2852"/>
      <c r="BJ1842" s="2852"/>
      <c r="BK1842" s="2852"/>
      <c r="BL1842" s="2842"/>
      <c r="BM1842" s="2842"/>
      <c r="BN1842" s="2842"/>
      <c r="BO1842" s="2842"/>
      <c r="BP1842" s="2842"/>
      <c r="BQ1842" s="2842"/>
      <c r="BR1842" s="2842"/>
      <c r="BS1842" s="2842"/>
      <c r="BT1842" s="2842"/>
      <c r="BU1842" s="2842"/>
      <c r="BV1842" s="2842"/>
      <c r="BW1842" s="2842"/>
      <c r="BX1842" s="2842"/>
      <c r="BY1842" s="2842"/>
      <c r="BZ1842" s="2842"/>
      <c r="CA1842" s="2869"/>
    </row>
    <row r="1843" spans="1:79" ht="12.75" customHeight="1" x14ac:dyDescent="0.2">
      <c r="A1843" s="2029">
        <v>211</v>
      </c>
      <c r="B1843" s="4995"/>
      <c r="C1843" s="2813"/>
      <c r="D1843" s="260"/>
      <c r="E1843" s="2816" t="s">
        <v>10288</v>
      </c>
      <c r="F1843" s="218">
        <v>25</v>
      </c>
      <c r="G1843" s="218">
        <v>180</v>
      </c>
      <c r="H1843" s="218">
        <f>COUNTIF(HabilidadesEsenciales_Adquiridas,Tablas!E1843)</f>
        <v>0</v>
      </c>
      <c r="I1843" s="2818"/>
      <c r="J1843" s="422"/>
      <c r="K1843" s="2809"/>
      <c r="M1843" s="1959"/>
      <c r="N1843" s="100"/>
      <c r="O1843" s="468" t="s">
        <v>9837</v>
      </c>
      <c r="P1843" s="2811">
        <v>5</v>
      </c>
      <c r="Q1843" s="575">
        <v>10</v>
      </c>
      <c r="R1843" s="2818">
        <f>COUNTIF(PoderesDeCriatura_Adquiridos,Tablas!O1843)</f>
        <v>0</v>
      </c>
      <c r="S1843" s="422"/>
      <c r="T1843" s="2809"/>
      <c r="V1843" s="2868" t="s">
        <v>1626</v>
      </c>
      <c r="W1843" s="2131"/>
      <c r="X1843" s="2340" t="str">
        <f t="shared" si="108"/>
        <v/>
      </c>
      <c r="Y1843" s="2855"/>
      <c r="Z1843" s="2852"/>
      <c r="AA1843" s="2852"/>
      <c r="AB1843" s="2852"/>
      <c r="AC1843" s="2852"/>
      <c r="AD1843" s="2852"/>
      <c r="AE1843" s="2852"/>
      <c r="AF1843" s="2852"/>
      <c r="AG1843" s="2852"/>
      <c r="AH1843" s="2852"/>
      <c r="AI1843" s="2852"/>
      <c r="AJ1843" s="2852"/>
      <c r="AK1843" s="2852"/>
      <c r="AL1843" s="2852"/>
      <c r="AM1843" s="2852"/>
      <c r="AN1843" s="2852"/>
      <c r="AO1843" s="2852"/>
      <c r="AP1843" s="2852"/>
      <c r="AQ1843" s="2852"/>
      <c r="AR1843" s="2852"/>
      <c r="AS1843" s="2852"/>
      <c r="AT1843" s="2852"/>
      <c r="AU1843" s="2852"/>
      <c r="AV1843" s="2852"/>
      <c r="AW1843" s="2852"/>
      <c r="AX1843" s="2852"/>
      <c r="AY1843" s="2852"/>
      <c r="AZ1843" s="2852"/>
      <c r="BA1843" s="2852"/>
      <c r="BB1843" s="2852"/>
      <c r="BC1843" s="2852"/>
      <c r="BD1843" s="2852"/>
      <c r="BE1843" s="2852"/>
      <c r="BF1843" s="2852"/>
      <c r="BG1843" s="2852"/>
      <c r="BH1843" s="2852"/>
      <c r="BI1843" s="2852"/>
      <c r="BJ1843" s="2852"/>
      <c r="BK1843" s="2852"/>
      <c r="BL1843" s="2842"/>
      <c r="BM1843" s="2842"/>
      <c r="BN1843" s="2842"/>
      <c r="BO1843" s="2842"/>
      <c r="BP1843" s="2842"/>
      <c r="BQ1843" s="2842"/>
      <c r="BR1843" s="2842"/>
      <c r="BS1843" s="2842"/>
      <c r="BT1843" s="2842"/>
      <c r="BU1843" s="2842"/>
      <c r="BV1843" s="2842"/>
      <c r="BW1843" s="2842"/>
      <c r="BX1843" s="2842"/>
      <c r="BY1843" s="2842"/>
      <c r="BZ1843" s="2842"/>
      <c r="CA1843" s="2869"/>
    </row>
    <row r="1844" spans="1:79" ht="12.75" customHeight="1" x14ac:dyDescent="0.2">
      <c r="A1844" s="2029">
        <v>211</v>
      </c>
      <c r="B1844" s="4995"/>
      <c r="C1844" s="2813"/>
      <c r="D1844" s="260"/>
      <c r="E1844" s="2816" t="s">
        <v>10289</v>
      </c>
      <c r="F1844" s="218">
        <v>0</v>
      </c>
      <c r="G1844" s="218">
        <v>20</v>
      </c>
      <c r="H1844" s="218">
        <f>COUNTIF(HabilidadesEsenciales_Adquiridas,Tablas!E1844)</f>
        <v>0</v>
      </c>
      <c r="I1844" s="2818">
        <v>1</v>
      </c>
      <c r="J1844" s="422"/>
      <c r="K1844" s="2809"/>
      <c r="M1844" s="1959"/>
      <c r="N1844" s="100"/>
      <c r="O1844" s="468" t="s">
        <v>9838</v>
      </c>
      <c r="P1844" s="2811">
        <v>10</v>
      </c>
      <c r="Q1844" s="575">
        <v>20</v>
      </c>
      <c r="R1844" s="2818">
        <f>COUNTIF(PoderesDeCriatura_Adquiridos,Tablas!O1844)</f>
        <v>0</v>
      </c>
      <c r="S1844" s="422"/>
      <c r="T1844" s="2809"/>
      <c r="V1844" s="2868" t="s">
        <v>9491</v>
      </c>
      <c r="W1844" s="2836"/>
      <c r="X1844" s="2340" t="str">
        <f t="shared" si="108"/>
        <v>PodHab_Armadurafísica</v>
      </c>
      <c r="Y1844" s="2855" t="s">
        <v>7695</v>
      </c>
      <c r="Z1844" s="2852" t="s">
        <v>5999</v>
      </c>
      <c r="AA1844" s="2852" t="s">
        <v>9704</v>
      </c>
      <c r="AB1844" s="2852" t="s">
        <v>6000</v>
      </c>
      <c r="AC1844" s="2852" t="s">
        <v>9705</v>
      </c>
      <c r="AD1844" s="2852" t="s">
        <v>6001</v>
      </c>
      <c r="AE1844" s="2852" t="s">
        <v>9706</v>
      </c>
      <c r="AF1844" s="2852" t="s">
        <v>6002</v>
      </c>
      <c r="AG1844" s="2852" t="s">
        <v>9707</v>
      </c>
      <c r="AH1844" s="2852" t="s">
        <v>7696</v>
      </c>
      <c r="AI1844" s="2852" t="s">
        <v>7697</v>
      </c>
      <c r="AJ1844" s="2852" t="s">
        <v>9708</v>
      </c>
      <c r="AK1844" s="2852" t="s">
        <v>9709</v>
      </c>
      <c r="AL1844" s="2852" t="s">
        <v>9710</v>
      </c>
      <c r="AM1844" s="2852" t="s">
        <v>9711</v>
      </c>
      <c r="AN1844" s="2852" t="s">
        <v>9712</v>
      </c>
      <c r="AO1844" s="2852" t="s">
        <v>9713</v>
      </c>
      <c r="AP1844" s="2852" t="s">
        <v>9714</v>
      </c>
      <c r="AQ1844" s="2852"/>
      <c r="AR1844" s="2852"/>
      <c r="AS1844" s="2852"/>
      <c r="AT1844" s="2852"/>
      <c r="AU1844" s="2852"/>
      <c r="AV1844" s="2852"/>
      <c r="AW1844" s="2852"/>
      <c r="AX1844" s="2852"/>
      <c r="AY1844" s="2852"/>
      <c r="AZ1844" s="2852"/>
      <c r="BA1844" s="2852"/>
      <c r="BB1844" s="2852"/>
      <c r="BC1844" s="2852"/>
      <c r="BD1844" s="2852"/>
      <c r="BE1844" s="2852"/>
      <c r="BF1844" s="2852"/>
      <c r="BG1844" s="2852"/>
      <c r="BH1844" s="2852"/>
      <c r="BI1844" s="2852"/>
      <c r="BJ1844" s="2852"/>
      <c r="BK1844" s="2852"/>
      <c r="BL1844" s="2842"/>
      <c r="BM1844" s="2842"/>
      <c r="BN1844" s="2842"/>
      <c r="BO1844" s="2842"/>
      <c r="BP1844" s="2842"/>
      <c r="BQ1844" s="2842"/>
      <c r="BR1844" s="2842"/>
      <c r="BS1844" s="2842"/>
      <c r="BT1844" s="2842"/>
      <c r="BU1844" s="2842"/>
      <c r="BV1844" s="2842"/>
      <c r="BW1844" s="2842"/>
      <c r="BX1844" s="2842"/>
      <c r="BY1844" s="2842"/>
      <c r="BZ1844" s="2842"/>
      <c r="CA1844" s="2869"/>
    </row>
    <row r="1845" spans="1:79" ht="12.75" customHeight="1" x14ac:dyDescent="0.2">
      <c r="A1845" s="2029">
        <v>211</v>
      </c>
      <c r="B1845" s="4995"/>
      <c r="C1845" s="2813"/>
      <c r="D1845" s="260"/>
      <c r="E1845" s="2816" t="s">
        <v>10290</v>
      </c>
      <c r="F1845" s="218">
        <v>5</v>
      </c>
      <c r="G1845" s="218">
        <v>40</v>
      </c>
      <c r="H1845" s="218">
        <f>COUNTIF(HabilidadesEsenciales_Adquiridas,Tablas!E1845)</f>
        <v>0</v>
      </c>
      <c r="I1845" s="2818">
        <v>1</v>
      </c>
      <c r="J1845" s="422"/>
      <c r="K1845" s="2809"/>
      <c r="M1845" s="1959"/>
      <c r="N1845" s="100"/>
      <c r="O1845" s="468" t="s">
        <v>9839</v>
      </c>
      <c r="P1845" s="2811">
        <v>15</v>
      </c>
      <c r="Q1845" s="575">
        <v>30</v>
      </c>
      <c r="R1845" s="2818">
        <f>COUNTIF(PoderesDeCriatura_Adquiridos,Tablas!O1845)</f>
        <v>0</v>
      </c>
      <c r="S1845" s="422"/>
      <c r="T1845" s="2809"/>
      <c r="V1845" s="2868" t="s">
        <v>2803</v>
      </c>
      <c r="W1845" s="2836"/>
      <c r="X1845" s="2340" t="str">
        <f t="shared" si="108"/>
        <v>PodHab_Armaduramística</v>
      </c>
      <c r="Y1845" s="2855" t="s">
        <v>7695</v>
      </c>
      <c r="Z1845" s="2852" t="s">
        <v>5999</v>
      </c>
      <c r="AA1845" s="2852" t="s">
        <v>9704</v>
      </c>
      <c r="AB1845" s="2852" t="s">
        <v>6000</v>
      </c>
      <c r="AC1845" s="2852" t="s">
        <v>9705</v>
      </c>
      <c r="AD1845" s="2852" t="s">
        <v>6001</v>
      </c>
      <c r="AE1845" s="2852" t="s">
        <v>9706</v>
      </c>
      <c r="AF1845" s="2852" t="s">
        <v>6002</v>
      </c>
      <c r="AG1845" s="2852"/>
      <c r="AH1845" s="2852"/>
      <c r="AI1845" s="2852"/>
      <c r="AJ1845" s="2852"/>
      <c r="AK1845" s="2852"/>
      <c r="AL1845" s="2852"/>
      <c r="AM1845" s="2852"/>
      <c r="AN1845" s="2852"/>
      <c r="AO1845" s="2852"/>
      <c r="AP1845" s="2852"/>
      <c r="AQ1845" s="2852"/>
      <c r="AR1845" s="2852"/>
      <c r="AS1845" s="2852"/>
      <c r="AT1845" s="2852"/>
      <c r="AU1845" s="2852"/>
      <c r="AV1845" s="2852"/>
      <c r="AW1845" s="2852"/>
      <c r="AX1845" s="2852"/>
      <c r="AY1845" s="2852"/>
      <c r="AZ1845" s="2852"/>
      <c r="BA1845" s="2852"/>
      <c r="BB1845" s="2852"/>
      <c r="BC1845" s="2852"/>
      <c r="BD1845" s="2852"/>
      <c r="BE1845" s="2852"/>
      <c r="BF1845" s="2852"/>
      <c r="BG1845" s="2852"/>
      <c r="BH1845" s="2852"/>
      <c r="BI1845" s="2852"/>
      <c r="BJ1845" s="2852"/>
      <c r="BK1845" s="2852"/>
      <c r="BL1845" s="2842"/>
      <c r="BM1845" s="2842"/>
      <c r="BN1845" s="2842"/>
      <c r="BO1845" s="2842"/>
      <c r="BP1845" s="2842"/>
      <c r="BQ1845" s="2842"/>
      <c r="BR1845" s="2842"/>
      <c r="BS1845" s="2842"/>
      <c r="BT1845" s="2842"/>
      <c r="BU1845" s="2842"/>
      <c r="BV1845" s="2842"/>
      <c r="BW1845" s="2842"/>
      <c r="BX1845" s="2842"/>
      <c r="BY1845" s="2842"/>
      <c r="BZ1845" s="2842"/>
      <c r="CA1845" s="2869"/>
    </row>
    <row r="1846" spans="1:79" ht="12.75" customHeight="1" x14ac:dyDescent="0.2">
      <c r="A1846" s="2029">
        <v>211</v>
      </c>
      <c r="B1846" s="4995"/>
      <c r="C1846" s="2813"/>
      <c r="D1846" s="260"/>
      <c r="E1846" s="2816" t="s">
        <v>10291</v>
      </c>
      <c r="F1846" s="218">
        <v>15</v>
      </c>
      <c r="G1846" s="218">
        <v>60</v>
      </c>
      <c r="H1846" s="218">
        <f>COUNTIF(HabilidadesEsenciales_Adquiridas,Tablas!E1846)</f>
        <v>0</v>
      </c>
      <c r="I1846" s="2818">
        <v>1</v>
      </c>
      <c r="J1846" s="422"/>
      <c r="K1846" s="2809"/>
      <c r="M1846" s="1959"/>
      <c r="N1846" s="100"/>
      <c r="O1846" s="468" t="s">
        <v>9840</v>
      </c>
      <c r="P1846" s="2811">
        <v>20</v>
      </c>
      <c r="Q1846" s="575">
        <v>40</v>
      </c>
      <c r="R1846" s="2818">
        <f>COUNTIF(PoderesDeCriatura_Adquiridos,Tablas!O1846)</f>
        <v>0</v>
      </c>
      <c r="S1846" s="422"/>
      <c r="T1846" s="2809"/>
      <c r="V1846" s="2868" t="s">
        <v>1627</v>
      </c>
      <c r="W1846" s="2131"/>
      <c r="X1846" s="2340" t="str">
        <f t="shared" si="108"/>
        <v/>
      </c>
      <c r="Y1846" s="2855"/>
      <c r="Z1846" s="2852"/>
      <c r="AA1846" s="2852"/>
      <c r="AB1846" s="2852"/>
      <c r="AC1846" s="2852"/>
      <c r="AD1846" s="2852"/>
      <c r="AE1846" s="2852"/>
      <c r="AF1846" s="2852"/>
      <c r="AG1846" s="2852"/>
      <c r="AH1846" s="2852"/>
      <c r="AI1846" s="2852"/>
      <c r="AJ1846" s="2852"/>
      <c r="AK1846" s="2852"/>
      <c r="AL1846" s="2852"/>
      <c r="AM1846" s="2852"/>
      <c r="AN1846" s="2852"/>
      <c r="AO1846" s="2852"/>
      <c r="AP1846" s="2852"/>
      <c r="AQ1846" s="2852"/>
      <c r="AR1846" s="2852"/>
      <c r="AS1846" s="2852"/>
      <c r="AT1846" s="2852"/>
      <c r="AU1846" s="2852"/>
      <c r="AV1846" s="2852"/>
      <c r="AW1846" s="2852"/>
      <c r="AX1846" s="2852"/>
      <c r="AY1846" s="2852"/>
      <c r="AZ1846" s="2852"/>
      <c r="BA1846" s="2852"/>
      <c r="BB1846" s="2852"/>
      <c r="BC1846" s="2852"/>
      <c r="BD1846" s="2852"/>
      <c r="BE1846" s="2852"/>
      <c r="BF1846" s="2852"/>
      <c r="BG1846" s="2852"/>
      <c r="BH1846" s="2852"/>
      <c r="BI1846" s="2852"/>
      <c r="BJ1846" s="2852"/>
      <c r="BK1846" s="2852"/>
      <c r="BL1846" s="2842"/>
      <c r="BM1846" s="2842"/>
      <c r="BN1846" s="2842"/>
      <c r="BO1846" s="2842"/>
      <c r="BP1846" s="2842"/>
      <c r="BQ1846" s="2842"/>
      <c r="BR1846" s="2842"/>
      <c r="BS1846" s="2842"/>
      <c r="BT1846" s="2842"/>
      <c r="BU1846" s="2842"/>
      <c r="BV1846" s="2842"/>
      <c r="BW1846" s="2842"/>
      <c r="BX1846" s="2842"/>
      <c r="BY1846" s="2842"/>
      <c r="BZ1846" s="2842"/>
      <c r="CA1846" s="2869"/>
    </row>
    <row r="1847" spans="1:79" ht="12.75" customHeight="1" x14ac:dyDescent="0.2">
      <c r="A1847" s="2029">
        <v>211</v>
      </c>
      <c r="B1847" s="4995"/>
      <c r="C1847" s="2813"/>
      <c r="D1847" s="260"/>
      <c r="E1847" s="2816" t="s">
        <v>10292</v>
      </c>
      <c r="F1847" s="218">
        <v>20</v>
      </c>
      <c r="G1847" s="218">
        <v>120</v>
      </c>
      <c r="H1847" s="218">
        <f>COUNTIF(HabilidadesEsenciales_Adquiridas,Tablas!E1847)</f>
        <v>0</v>
      </c>
      <c r="I1847" s="2818"/>
      <c r="J1847" s="422"/>
      <c r="K1847" s="2809"/>
      <c r="M1847" s="1959"/>
      <c r="N1847" s="100"/>
      <c r="O1847" s="468" t="s">
        <v>9841</v>
      </c>
      <c r="P1847" s="2811">
        <v>25</v>
      </c>
      <c r="Q1847" s="575">
        <v>50</v>
      </c>
      <c r="R1847" s="2818">
        <f>COUNTIF(PoderesDeCriatura_Adquiridos,Tablas!O1847)</f>
        <v>0</v>
      </c>
      <c r="S1847" s="422"/>
      <c r="T1847" s="2809"/>
      <c r="V1847" s="2868" t="s">
        <v>9507</v>
      </c>
      <c r="W1847" s="2836"/>
      <c r="X1847" s="2340" t="str">
        <f t="shared" si="108"/>
        <v>PodHab_HabilidadesEspirituales</v>
      </c>
      <c r="Y1847" s="2855" t="s">
        <v>9715</v>
      </c>
      <c r="Z1847" s="2852" t="s">
        <v>9716</v>
      </c>
      <c r="AA1847" s="2852" t="s">
        <v>9717</v>
      </c>
      <c r="AB1847" s="2852"/>
      <c r="AC1847" s="2852"/>
      <c r="AD1847" s="2852"/>
      <c r="AE1847" s="2852"/>
      <c r="AF1847" s="2852"/>
      <c r="AG1847" s="2852"/>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52"/>
      <c r="BA1847" s="2852"/>
      <c r="BB1847" s="2852"/>
      <c r="BC1847" s="2852"/>
      <c r="BD1847" s="2852"/>
      <c r="BE1847" s="2852"/>
      <c r="BF1847" s="2852"/>
      <c r="BG1847" s="2852"/>
      <c r="BH1847" s="2852"/>
      <c r="BI1847" s="2852"/>
      <c r="BJ1847" s="2852"/>
      <c r="BK1847" s="2852"/>
      <c r="BL1847" s="2842"/>
      <c r="BM1847" s="2842"/>
      <c r="BN1847" s="2842"/>
      <c r="BO1847" s="2842"/>
      <c r="BP1847" s="2842"/>
      <c r="BQ1847" s="2842"/>
      <c r="BR1847" s="2842"/>
      <c r="BS1847" s="2842"/>
      <c r="BT1847" s="2842"/>
      <c r="BU1847" s="2842"/>
      <c r="BV1847" s="2842"/>
      <c r="BW1847" s="2842"/>
      <c r="BX1847" s="2842"/>
      <c r="BY1847" s="2842"/>
      <c r="BZ1847" s="2842"/>
      <c r="CA1847" s="2869"/>
    </row>
    <row r="1848" spans="1:79" ht="12.75" customHeight="1" x14ac:dyDescent="0.2">
      <c r="A1848" s="2029">
        <v>211</v>
      </c>
      <c r="B1848" s="4995"/>
      <c r="C1848" s="2813"/>
      <c r="D1848" s="260"/>
      <c r="E1848" s="2816" t="s">
        <v>10293</v>
      </c>
      <c r="F1848" s="218">
        <v>25</v>
      </c>
      <c r="G1848" s="218">
        <v>180</v>
      </c>
      <c r="H1848" s="218">
        <f>COUNTIF(HabilidadesEsenciales_Adquiridas,Tablas!E1848)</f>
        <v>0</v>
      </c>
      <c r="I1848" s="2818"/>
      <c r="J1848" s="422"/>
      <c r="K1848" s="2809"/>
      <c r="M1848" s="1959"/>
      <c r="N1848" s="100"/>
      <c r="O1848" s="468" t="s">
        <v>9842</v>
      </c>
      <c r="P1848" s="2811">
        <v>30</v>
      </c>
      <c r="Q1848" s="575">
        <v>60</v>
      </c>
      <c r="R1848" s="2818">
        <f>COUNTIF(PoderesDeCriatura_Adquiridos,Tablas!O1848)</f>
        <v>0</v>
      </c>
      <c r="S1848" s="422"/>
      <c r="T1848" s="2809"/>
      <c r="V1848" s="2868" t="s">
        <v>0</v>
      </c>
      <c r="W1848" s="2131"/>
      <c r="X1848" s="2340" t="str">
        <f t="shared" si="108"/>
        <v/>
      </c>
      <c r="Y1848" s="2855"/>
      <c r="Z1848" s="2852"/>
      <c r="AA1848" s="2852"/>
      <c r="AB1848" s="2852"/>
      <c r="AC1848" s="2852"/>
      <c r="AD1848" s="2852"/>
      <c r="AE1848" s="2852"/>
      <c r="AF1848" s="2852"/>
      <c r="AG1848" s="2852"/>
      <c r="AH1848" s="2852"/>
      <c r="AI1848" s="2852"/>
      <c r="AJ1848" s="2852"/>
      <c r="AK1848" s="2852"/>
      <c r="AL1848" s="2852"/>
      <c r="AM1848" s="2852"/>
      <c r="AN1848" s="2852"/>
      <c r="AO1848" s="2852"/>
      <c r="AP1848" s="2852"/>
      <c r="AQ1848" s="2852"/>
      <c r="AR1848" s="2852"/>
      <c r="AS1848" s="2852"/>
      <c r="AT1848" s="2852"/>
      <c r="AU1848" s="2852"/>
      <c r="AV1848" s="2852"/>
      <c r="AW1848" s="2852"/>
      <c r="AX1848" s="2852"/>
      <c r="AY1848" s="2852"/>
      <c r="AZ1848" s="2852"/>
      <c r="BA1848" s="2852"/>
      <c r="BB1848" s="2852"/>
      <c r="BC1848" s="2852"/>
      <c r="BD1848" s="2852"/>
      <c r="BE1848" s="2852"/>
      <c r="BF1848" s="2852"/>
      <c r="BG1848" s="2852"/>
      <c r="BH1848" s="2852"/>
      <c r="BI1848" s="2852"/>
      <c r="BJ1848" s="2852"/>
      <c r="BK1848" s="2852"/>
      <c r="BL1848" s="2842"/>
      <c r="BM1848" s="2842"/>
      <c r="BN1848" s="2842"/>
      <c r="BO1848" s="2842"/>
      <c r="BP1848" s="2842"/>
      <c r="BQ1848" s="2842"/>
      <c r="BR1848" s="2842"/>
      <c r="BS1848" s="2842"/>
      <c r="BT1848" s="2842"/>
      <c r="BU1848" s="2842"/>
      <c r="BV1848" s="2842"/>
      <c r="BW1848" s="2842"/>
      <c r="BX1848" s="2842"/>
      <c r="BY1848" s="2842"/>
      <c r="BZ1848" s="2842"/>
      <c r="CA1848" s="2869"/>
    </row>
    <row r="1849" spans="1:79" ht="12.75" customHeight="1" x14ac:dyDescent="0.2">
      <c r="A1849" s="2029">
        <v>211</v>
      </c>
      <c r="B1849" s="4995"/>
      <c r="C1849" s="2813"/>
      <c r="D1849" s="260"/>
      <c r="E1849" s="2816" t="s">
        <v>10294</v>
      </c>
      <c r="F1849" s="218">
        <v>0</v>
      </c>
      <c r="G1849" s="218">
        <v>20</v>
      </c>
      <c r="H1849" s="218">
        <f>COUNTIF(HabilidadesEsenciales_Adquiridas,Tablas!E1849)</f>
        <v>0</v>
      </c>
      <c r="I1849" s="2818">
        <v>1</v>
      </c>
      <c r="J1849" s="422"/>
      <c r="K1849" s="2809"/>
      <c r="M1849" s="1959"/>
      <c r="N1849" s="100"/>
      <c r="O1849" s="468" t="s">
        <v>9843</v>
      </c>
      <c r="P1849" s="2811">
        <v>35</v>
      </c>
      <c r="Q1849" s="575">
        <v>70</v>
      </c>
      <c r="R1849" s="2818">
        <f>COUNTIF(PoderesDeCriatura_Adquiridos,Tablas!O1849)</f>
        <v>0</v>
      </c>
      <c r="S1849" s="422"/>
      <c r="T1849" s="2809"/>
      <c r="V1849" s="2868" t="s">
        <v>3305</v>
      </c>
      <c r="W1849" s="2836"/>
      <c r="X1849" s="2340" t="str">
        <f t="shared" si="108"/>
        <v>PodHab_Aura</v>
      </c>
      <c r="Y1849" s="2855" t="s">
        <v>9538</v>
      </c>
      <c r="Z1849" s="2852" t="s">
        <v>9540</v>
      </c>
      <c r="AA1849" s="2852" t="s">
        <v>9541</v>
      </c>
      <c r="AB1849" s="2852" t="s">
        <v>9542</v>
      </c>
      <c r="AC1849" s="2852" t="s">
        <v>9543</v>
      </c>
      <c r="AD1849" s="2852" t="s">
        <v>7450</v>
      </c>
      <c r="AE1849" s="2852" t="s">
        <v>9580</v>
      </c>
      <c r="AF1849" s="2852" t="s">
        <v>9581</v>
      </c>
      <c r="AG1849" s="2852" t="s">
        <v>6461</v>
      </c>
      <c r="AH1849" s="2852" t="s">
        <v>6462</v>
      </c>
      <c r="AI1849" s="2852" t="s">
        <v>5406</v>
      </c>
      <c r="AJ1849" s="2852" t="s">
        <v>5407</v>
      </c>
      <c r="AK1849" s="2852" t="s">
        <v>4483</v>
      </c>
      <c r="AL1849" s="2852" t="s">
        <v>898</v>
      </c>
      <c r="AM1849" s="2852" t="s">
        <v>4475</v>
      </c>
      <c r="AN1849" s="2852" t="s">
        <v>9583</v>
      </c>
      <c r="AO1849" s="2852" t="s">
        <v>720</v>
      </c>
      <c r="AP1849" s="2852" t="s">
        <v>9584</v>
      </c>
      <c r="AQ1849" s="2852" t="s">
        <v>9585</v>
      </c>
      <c r="AR1849" s="2852" t="s">
        <v>846</v>
      </c>
      <c r="AS1849" s="2852" t="s">
        <v>707</v>
      </c>
      <c r="AT1849" s="2852" t="s">
        <v>708</v>
      </c>
      <c r="AU1849" s="2852" t="s">
        <v>709</v>
      </c>
      <c r="AV1849" s="2852" t="s">
        <v>4479</v>
      </c>
      <c r="AW1849" s="2852" t="s">
        <v>9586</v>
      </c>
      <c r="AX1849" s="2852" t="s">
        <v>9587</v>
      </c>
      <c r="AY1849" s="2852" t="s">
        <v>4482</v>
      </c>
      <c r="AZ1849" s="2852" t="s">
        <v>735</v>
      </c>
      <c r="BA1849" s="2852" t="s">
        <v>84</v>
      </c>
      <c r="BB1849" s="2852" t="s">
        <v>40</v>
      </c>
      <c r="BC1849" s="2852" t="s">
        <v>9588</v>
      </c>
      <c r="BD1849" s="2852" t="s">
        <v>9589</v>
      </c>
      <c r="BE1849" s="2852" t="s">
        <v>9718</v>
      </c>
      <c r="BF1849" s="2852" t="s">
        <v>9595</v>
      </c>
      <c r="BG1849" s="2852" t="s">
        <v>9719</v>
      </c>
      <c r="BH1849" s="2852"/>
      <c r="BI1849" s="2852"/>
      <c r="BJ1849" s="2852"/>
      <c r="BK1849" s="2852"/>
      <c r="BL1849" s="2842"/>
      <c r="BM1849" s="2842"/>
      <c r="BN1849" s="2842"/>
      <c r="BO1849" s="2842"/>
      <c r="BP1849" s="2842"/>
      <c r="BQ1849" s="2842"/>
      <c r="BR1849" s="2842"/>
      <c r="BS1849" s="2842"/>
      <c r="BT1849" s="2842"/>
      <c r="BU1849" s="2842"/>
      <c r="BV1849" s="2842"/>
      <c r="BW1849" s="2842"/>
      <c r="BX1849" s="2842"/>
      <c r="BY1849" s="2842"/>
      <c r="BZ1849" s="2842"/>
      <c r="CA1849" s="2869"/>
    </row>
    <row r="1850" spans="1:79" ht="12.75" customHeight="1" x14ac:dyDescent="0.2">
      <c r="A1850" s="2029">
        <v>211</v>
      </c>
      <c r="B1850" s="4995"/>
      <c r="C1850" s="2813"/>
      <c r="D1850" s="260"/>
      <c r="E1850" s="2816" t="s">
        <v>10295</v>
      </c>
      <c r="F1850" s="218">
        <v>5</v>
      </c>
      <c r="G1850" s="218">
        <v>40</v>
      </c>
      <c r="H1850" s="218">
        <f>COUNTIF(HabilidadesEsenciales_Adquiridas,Tablas!E1850)</f>
        <v>0</v>
      </c>
      <c r="I1850" s="2818">
        <v>1</v>
      </c>
      <c r="J1850" s="422"/>
      <c r="K1850" s="2809"/>
      <c r="M1850" s="1959"/>
      <c r="N1850" s="100"/>
      <c r="O1850" s="468" t="s">
        <v>9844</v>
      </c>
      <c r="P1850" s="2811">
        <v>40</v>
      </c>
      <c r="Q1850" s="575">
        <v>80</v>
      </c>
      <c r="R1850" s="2818">
        <f>COUNTIF(PoderesDeCriatura_Adquiridos,Tablas!O1850)</f>
        <v>0</v>
      </c>
      <c r="S1850" s="422"/>
      <c r="T1850" s="2809"/>
      <c r="V1850" s="2868" t="s">
        <v>9474</v>
      </c>
      <c r="W1850" s="2836"/>
      <c r="X1850" s="2340" t="str">
        <f t="shared" si="108"/>
        <v>PodHab_Forma</v>
      </c>
      <c r="Y1850" s="2855" t="s">
        <v>9720</v>
      </c>
      <c r="Z1850" s="2852" t="s">
        <v>9721</v>
      </c>
      <c r="AA1850" s="2852" t="s">
        <v>626</v>
      </c>
      <c r="AB1850" s="2852" t="s">
        <v>9722</v>
      </c>
      <c r="AC1850" s="2852" t="s">
        <v>9688</v>
      </c>
      <c r="AD1850" s="2852"/>
      <c r="AE1850" s="2852"/>
      <c r="AF1850" s="2852"/>
      <c r="AG1850" s="2852"/>
      <c r="AH1850" s="2852"/>
      <c r="AI1850" s="2852"/>
      <c r="AJ1850" s="2852"/>
      <c r="AK1850" s="2852"/>
      <c r="AL1850" s="2852"/>
      <c r="AM1850" s="2852"/>
      <c r="AN1850" s="2852"/>
      <c r="AO1850" s="2852"/>
      <c r="AP1850" s="2852"/>
      <c r="AQ1850" s="2852"/>
      <c r="AR1850" s="2852"/>
      <c r="AS1850" s="2852"/>
      <c r="AT1850" s="2852"/>
      <c r="AU1850" s="2852"/>
      <c r="AV1850" s="2852"/>
      <c r="AW1850" s="2852"/>
      <c r="AX1850" s="2852"/>
      <c r="AY1850" s="2852"/>
      <c r="AZ1850" s="2852"/>
      <c r="BA1850" s="2852"/>
      <c r="BB1850" s="2852"/>
      <c r="BC1850" s="2852"/>
      <c r="BD1850" s="2852"/>
      <c r="BE1850" s="2852"/>
      <c r="BF1850" s="2852"/>
      <c r="BG1850" s="2852"/>
      <c r="BH1850" s="2852"/>
      <c r="BI1850" s="2852"/>
      <c r="BJ1850" s="2852"/>
      <c r="BK1850" s="2852"/>
      <c r="BL1850" s="2842"/>
      <c r="BM1850" s="2842"/>
      <c r="BN1850" s="2842"/>
      <c r="BO1850" s="2842"/>
      <c r="BP1850" s="2842"/>
      <c r="BQ1850" s="2842"/>
      <c r="BR1850" s="2842"/>
      <c r="BS1850" s="2842"/>
      <c r="BT1850" s="2842"/>
      <c r="BU1850" s="2842"/>
      <c r="BV1850" s="2842"/>
      <c r="BW1850" s="2842"/>
      <c r="BX1850" s="2842"/>
      <c r="BY1850" s="2842"/>
      <c r="BZ1850" s="2842"/>
      <c r="CA1850" s="2869"/>
    </row>
    <row r="1851" spans="1:79" ht="12.75" customHeight="1" x14ac:dyDescent="0.2">
      <c r="A1851" s="2029">
        <v>211</v>
      </c>
      <c r="B1851" s="4995"/>
      <c r="C1851" s="2813"/>
      <c r="D1851" s="260"/>
      <c r="E1851" s="2816" t="s">
        <v>10296</v>
      </c>
      <c r="F1851" s="218">
        <v>15</v>
      </c>
      <c r="G1851" s="218">
        <v>60</v>
      </c>
      <c r="H1851" s="218">
        <f>COUNTIF(HabilidadesEsenciales_Adquiridas,Tablas!E1851)</f>
        <v>0</v>
      </c>
      <c r="I1851" s="2818">
        <v>1</v>
      </c>
      <c r="J1851" s="422"/>
      <c r="K1851" s="2809"/>
      <c r="M1851" s="1959"/>
      <c r="N1851" s="100"/>
      <c r="O1851" s="468" t="s">
        <v>9845</v>
      </c>
      <c r="P1851" s="2811">
        <v>5</v>
      </c>
      <c r="Q1851" s="575">
        <f>10+IF(OR(TipoDeCriatura="Entre mundos, Elemental",TipoDeCriatura="Ánima, Elemental"),10,0)</f>
        <v>10</v>
      </c>
      <c r="R1851" s="2818">
        <f>COUNTIF(PoderesDeCriatura_Adquiridos,Tablas!O1851)</f>
        <v>0</v>
      </c>
      <c r="S1851" s="422"/>
      <c r="T1851" s="2809"/>
      <c r="V1851" s="2868" t="s">
        <v>9492</v>
      </c>
      <c r="W1851" s="2836"/>
      <c r="X1851" s="2340" t="str">
        <f t="shared" si="108"/>
        <v>PodHab_Indetecciones</v>
      </c>
      <c r="Y1851" s="2855" t="s">
        <v>9723</v>
      </c>
      <c r="Z1851" s="2852" t="s">
        <v>9724</v>
      </c>
      <c r="AA1851" s="2852" t="s">
        <v>9725</v>
      </c>
      <c r="AB1851" s="2852" t="s">
        <v>9726</v>
      </c>
      <c r="AC1851" s="2852" t="s">
        <v>2</v>
      </c>
      <c r="AD1851" s="2852" t="s">
        <v>9727</v>
      </c>
      <c r="AE1851" s="2852" t="s">
        <v>3</v>
      </c>
      <c r="AF1851" s="2852" t="s">
        <v>9728</v>
      </c>
      <c r="AG1851" s="2852" t="s">
        <v>4</v>
      </c>
      <c r="AH1851" s="2852" t="s">
        <v>9729</v>
      </c>
      <c r="AI1851" s="2852"/>
      <c r="AJ1851" s="2852"/>
      <c r="AK1851" s="2852"/>
      <c r="AL1851" s="2852"/>
      <c r="AM1851" s="2852"/>
      <c r="AN1851" s="2852"/>
      <c r="AO1851" s="1876"/>
      <c r="AP1851" s="1876"/>
      <c r="AQ1851" s="1876"/>
      <c r="AR1851" s="1876"/>
      <c r="AS1851" s="1876"/>
      <c r="AT1851" s="1876"/>
      <c r="AU1851" s="1876"/>
      <c r="AV1851" s="2852"/>
      <c r="AW1851" s="2852"/>
      <c r="AX1851" s="2852"/>
      <c r="AY1851" s="2852"/>
      <c r="AZ1851" s="2852"/>
      <c r="BA1851" s="2852"/>
      <c r="BB1851" s="2852"/>
      <c r="BC1851" s="2852"/>
      <c r="BD1851" s="2852"/>
      <c r="BE1851" s="2852"/>
      <c r="BF1851" s="2852"/>
      <c r="BG1851" s="2852"/>
      <c r="BH1851" s="2852"/>
      <c r="BI1851" s="2852"/>
      <c r="BJ1851" s="2852"/>
      <c r="BK1851" s="2852"/>
      <c r="BL1851" s="2842"/>
      <c r="BM1851" s="2842"/>
      <c r="BN1851" s="2842"/>
      <c r="BO1851" s="2842"/>
      <c r="BP1851" s="2842"/>
      <c r="BQ1851" s="2842"/>
      <c r="BR1851" s="2842"/>
      <c r="BS1851" s="2842"/>
      <c r="BT1851" s="2842"/>
      <c r="BU1851" s="2842"/>
      <c r="BV1851" s="2842"/>
      <c r="BW1851" s="2842"/>
      <c r="BX1851" s="2842"/>
      <c r="BY1851" s="2842"/>
      <c r="BZ1851" s="2842"/>
      <c r="CA1851" s="2869"/>
    </row>
    <row r="1852" spans="1:79" ht="12.75" customHeight="1" x14ac:dyDescent="0.2">
      <c r="A1852" s="2029">
        <v>211</v>
      </c>
      <c r="B1852" s="4995"/>
      <c r="C1852" s="2813"/>
      <c r="D1852" s="260"/>
      <c r="E1852" s="2816" t="s">
        <v>10297</v>
      </c>
      <c r="F1852" s="218">
        <v>20</v>
      </c>
      <c r="G1852" s="218">
        <v>120</v>
      </c>
      <c r="H1852" s="218">
        <f>COUNTIF(HabilidadesEsenciales_Adquiridas,Tablas!E1852)</f>
        <v>0</v>
      </c>
      <c r="I1852" s="2818">
        <v>1</v>
      </c>
      <c r="J1852" s="422"/>
      <c r="K1852" s="2809"/>
      <c r="M1852" s="1959"/>
      <c r="N1852" s="100"/>
      <c r="O1852" s="468" t="s">
        <v>9846</v>
      </c>
      <c r="P1852" s="2811">
        <v>10</v>
      </c>
      <c r="Q1852" s="575">
        <f>15+IF(OR(TipoDeCriatura="Entre mundos, Elemental",TipoDeCriatura="Ánima, Elemental"),10,0)</f>
        <v>15</v>
      </c>
      <c r="R1852" s="2818">
        <f>COUNTIF(PoderesDeCriatura_Adquiridos,Tablas!O1852)</f>
        <v>0</v>
      </c>
      <c r="S1852" s="422"/>
      <c r="T1852" s="2809"/>
      <c r="V1852" s="2868" t="s">
        <v>9508</v>
      </c>
      <c r="W1852" s="2836"/>
      <c r="X1852" s="2340" t="str">
        <f t="shared" si="108"/>
        <v>PodHab_MagiaInnata</v>
      </c>
      <c r="Y1852" s="2855" t="s">
        <v>9730</v>
      </c>
      <c r="Z1852" s="2852" t="s">
        <v>9731</v>
      </c>
      <c r="AA1852" s="2852" t="s">
        <v>9545</v>
      </c>
      <c r="AB1852" s="2852" t="s">
        <v>9732</v>
      </c>
      <c r="AC1852" s="2852" t="s">
        <v>9546</v>
      </c>
      <c r="AD1852" s="2852" t="s">
        <v>9547</v>
      </c>
      <c r="AE1852" s="2852" t="s">
        <v>9548</v>
      </c>
      <c r="AF1852" s="2852" t="s">
        <v>9549</v>
      </c>
      <c r="AG1852" s="2852" t="s">
        <v>9550</v>
      </c>
      <c r="AH1852" s="2852"/>
      <c r="AI1852" s="2852"/>
      <c r="AJ1852" s="2852"/>
      <c r="AK1852" s="2852"/>
      <c r="AL1852" s="2852"/>
      <c r="AM1852" s="2852"/>
      <c r="AN1852" s="2852"/>
      <c r="AO1852" s="2852"/>
      <c r="AP1852" s="2852"/>
      <c r="AQ1852" s="2852"/>
      <c r="AR1852" s="2852"/>
      <c r="AS1852" s="2852"/>
      <c r="AT1852" s="2852"/>
      <c r="AU1852" s="2852"/>
      <c r="AV1852" s="2852"/>
      <c r="AW1852" s="2852"/>
      <c r="AX1852" s="2852"/>
      <c r="AY1852" s="2852"/>
      <c r="AZ1852" s="2852"/>
      <c r="BA1852" s="2852"/>
      <c r="BB1852" s="2852"/>
      <c r="BC1852" s="2852"/>
      <c r="BD1852" s="2852"/>
      <c r="BE1852" s="2852"/>
      <c r="BF1852" s="2852"/>
      <c r="BG1852" s="2852"/>
      <c r="BH1852" s="2852"/>
      <c r="BI1852" s="2852"/>
      <c r="BJ1852" s="2852"/>
      <c r="BK1852" s="2852"/>
      <c r="BL1852" s="2842"/>
      <c r="BM1852" s="2842"/>
      <c r="BN1852" s="2842"/>
      <c r="BO1852" s="2842"/>
      <c r="BP1852" s="2842"/>
      <c r="BQ1852" s="2842"/>
      <c r="BR1852" s="2842"/>
      <c r="BS1852" s="2842"/>
      <c r="BT1852" s="2842"/>
      <c r="BU1852" s="2842"/>
      <c r="BV1852" s="2842"/>
      <c r="BW1852" s="2842"/>
      <c r="BX1852" s="2842"/>
      <c r="BY1852" s="2842"/>
      <c r="BZ1852" s="2842"/>
      <c r="CA1852" s="2869"/>
    </row>
    <row r="1853" spans="1:79" ht="12.75" customHeight="1" x14ac:dyDescent="0.2">
      <c r="A1853" s="2029">
        <v>211</v>
      </c>
      <c r="B1853" s="4995"/>
      <c r="C1853" s="2813"/>
      <c r="D1853" s="260"/>
      <c r="E1853" s="2816" t="s">
        <v>10298</v>
      </c>
      <c r="F1853" s="218">
        <v>25</v>
      </c>
      <c r="G1853" s="218">
        <v>180</v>
      </c>
      <c r="H1853" s="218">
        <f>COUNTIF(HabilidadesEsenciales_Adquiridas,Tablas!E1853)</f>
        <v>0</v>
      </c>
      <c r="I1853" s="2818">
        <v>1</v>
      </c>
      <c r="J1853" s="422"/>
      <c r="K1853" s="2809"/>
      <c r="M1853" s="1959"/>
      <c r="N1853" s="100"/>
      <c r="O1853" s="468" t="s">
        <v>9847</v>
      </c>
      <c r="P1853" s="2811">
        <v>10</v>
      </c>
      <c r="Q1853" s="575">
        <f>20+IF(OR(TipoDeCriatura="Entre mundos, Elemental",TipoDeCriatura="Ánima, Elemental"),10,0)</f>
        <v>20</v>
      </c>
      <c r="R1853" s="2818">
        <f>COUNTIF(PoderesDeCriatura_Adquiridos,Tablas!O1853)</f>
        <v>0</v>
      </c>
      <c r="S1853" s="422"/>
      <c r="T1853" s="2809"/>
      <c r="V1853" s="2868" t="s">
        <v>9475</v>
      </c>
      <c r="W1853" s="2836"/>
      <c r="X1853" s="2340" t="str">
        <f t="shared" si="108"/>
        <v>PodHab_Psíquicainnata</v>
      </c>
      <c r="Y1853" s="2855" t="s">
        <v>9733</v>
      </c>
      <c r="Z1853" s="2852" t="s">
        <v>9731</v>
      </c>
      <c r="AA1853" s="2852" t="s">
        <v>9545</v>
      </c>
      <c r="AB1853" s="2852" t="s">
        <v>9732</v>
      </c>
      <c r="AC1853" s="2852" t="s">
        <v>9546</v>
      </c>
      <c r="AD1853" s="2852" t="s">
        <v>9547</v>
      </c>
      <c r="AE1853" s="2852" t="s">
        <v>9548</v>
      </c>
      <c r="AF1853" s="2852" t="s">
        <v>9549</v>
      </c>
      <c r="AG1853" s="2852" t="s">
        <v>9550</v>
      </c>
      <c r="AH1853" s="2852"/>
      <c r="AI1853" s="1876"/>
      <c r="AJ1853" s="1876"/>
      <c r="AK1853" s="2852"/>
      <c r="AL1853" s="2852"/>
      <c r="AM1853" s="2852"/>
      <c r="AN1853" s="2852"/>
      <c r="AO1853" s="2852"/>
      <c r="AP1853" s="2852"/>
      <c r="AQ1853" s="2852"/>
      <c r="AR1853" s="2852"/>
      <c r="AS1853" s="2852"/>
      <c r="AT1853" s="2852"/>
      <c r="AU1853" s="2852"/>
      <c r="AV1853" s="2852"/>
      <c r="AW1853" s="2852"/>
      <c r="AX1853" s="2852"/>
      <c r="AY1853" s="2852"/>
      <c r="AZ1853" s="2852"/>
      <c r="BA1853" s="2852"/>
      <c r="BB1853" s="2852"/>
      <c r="BC1853" s="2852"/>
      <c r="BD1853" s="2852"/>
      <c r="BE1853" s="2852"/>
      <c r="BF1853" s="2852"/>
      <c r="BG1853" s="2852"/>
      <c r="BH1853" s="2852"/>
      <c r="BI1853" s="2852"/>
      <c r="BJ1853" s="2852"/>
      <c r="BK1853" s="2852"/>
      <c r="BL1853" s="2842"/>
      <c r="BM1853" s="2842"/>
      <c r="BN1853" s="2842"/>
      <c r="BO1853" s="2842"/>
      <c r="BP1853" s="2842"/>
      <c r="BQ1853" s="2842"/>
      <c r="BR1853" s="2842"/>
      <c r="BS1853" s="2842"/>
      <c r="BT1853" s="2842"/>
      <c r="BU1853" s="2842"/>
      <c r="BV1853" s="2842"/>
      <c r="BW1853" s="2842"/>
      <c r="BX1853" s="2842"/>
      <c r="BY1853" s="2842"/>
      <c r="BZ1853" s="2842"/>
      <c r="CA1853" s="2869"/>
    </row>
    <row r="1854" spans="1:79" ht="12.75" customHeight="1" x14ac:dyDescent="0.2">
      <c r="A1854" s="2029">
        <v>211</v>
      </c>
      <c r="B1854" s="4995"/>
      <c r="C1854" s="2813"/>
      <c r="D1854" s="260"/>
      <c r="E1854" s="2816" t="s">
        <v>10299</v>
      </c>
      <c r="F1854" s="218">
        <v>0</v>
      </c>
      <c r="G1854" s="218">
        <v>20</v>
      </c>
      <c r="H1854" s="218">
        <f>COUNTIF(HabilidadesEsenciales_Adquiridas,Tablas!E1854)</f>
        <v>0</v>
      </c>
      <c r="I1854" s="2818">
        <v>1</v>
      </c>
      <c r="J1854" s="422"/>
      <c r="K1854" s="2809"/>
      <c r="M1854" s="1959"/>
      <c r="N1854" s="100"/>
      <c r="O1854" s="468" t="s">
        <v>9848</v>
      </c>
      <c r="P1854" s="2811">
        <v>10</v>
      </c>
      <c r="Q1854" s="575">
        <f>25+IF(OR(TipoDeCriatura="Entre mundos, Elemental",TipoDeCriatura="Ánima, Elemental"),10,0)</f>
        <v>25</v>
      </c>
      <c r="R1854" s="2818">
        <f>COUNTIF(PoderesDeCriatura_Adquiridos,Tablas!O1854)</f>
        <v>0</v>
      </c>
      <c r="S1854" s="422"/>
      <c r="T1854" s="2809"/>
      <c r="V1854" s="2868" t="s">
        <v>1</v>
      </c>
      <c r="W1854" s="2836"/>
      <c r="X1854" s="2340" t="str">
        <f t="shared" si="108"/>
        <v>PodHab_Metamorfismo</v>
      </c>
      <c r="Y1854" s="2855" t="s">
        <v>9734</v>
      </c>
      <c r="Z1854" s="2852" t="s">
        <v>2062</v>
      </c>
      <c r="AA1854" s="2852" t="s">
        <v>4706</v>
      </c>
      <c r="AB1854" s="2852" t="s">
        <v>9732</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52"/>
      <c r="BJ1854" s="2852"/>
      <c r="BK1854" s="2852"/>
      <c r="BL1854" s="2842"/>
      <c r="BM1854" s="2842"/>
      <c r="BN1854" s="2842"/>
      <c r="BO1854" s="2842"/>
      <c r="BP1854" s="2842"/>
      <c r="BQ1854" s="2842"/>
      <c r="BR1854" s="2842"/>
      <c r="BS1854" s="2842"/>
      <c r="BT1854" s="2842"/>
      <c r="BU1854" s="2842"/>
      <c r="BV1854" s="2842"/>
      <c r="BW1854" s="2842"/>
      <c r="BX1854" s="2842"/>
      <c r="BY1854" s="2842"/>
      <c r="BZ1854" s="2842"/>
      <c r="CA1854" s="2869"/>
    </row>
    <row r="1855" spans="1:79" ht="12.75" customHeight="1" x14ac:dyDescent="0.2">
      <c r="A1855" s="2029">
        <v>211</v>
      </c>
      <c r="B1855" s="4995"/>
      <c r="C1855" s="2813"/>
      <c r="D1855" s="260"/>
      <c r="E1855" s="2816" t="s">
        <v>10300</v>
      </c>
      <c r="F1855" s="218">
        <v>5</v>
      </c>
      <c r="G1855" s="218">
        <v>40</v>
      </c>
      <c r="H1855" s="218">
        <f>COUNTIF(HabilidadesEsenciales_Adquiridas,Tablas!E1855)</f>
        <v>0</v>
      </c>
      <c r="I1855" s="2818">
        <v>1</v>
      </c>
      <c r="J1855" s="422"/>
      <c r="K1855" s="2809"/>
      <c r="M1855" s="1959"/>
      <c r="N1855" s="100"/>
      <c r="O1855" s="468" t="s">
        <v>9849</v>
      </c>
      <c r="P1855" s="2811">
        <v>15</v>
      </c>
      <c r="Q1855" s="575">
        <f>30+IF(OR(TipoDeCriatura="Entre mundos, Elemental",TipoDeCriatura="Ánima, Elemental"),10,0)</f>
        <v>30</v>
      </c>
      <c r="R1855" s="2818">
        <f>COUNTIF(PoderesDeCriatura_Adquiridos,Tablas!O1855)</f>
        <v>0</v>
      </c>
      <c r="S1855" s="422"/>
      <c r="T1855" s="2809"/>
      <c r="V1855" s="2868" t="s">
        <v>5</v>
      </c>
      <c r="W1855" s="2131"/>
      <c r="X1855" s="2340" t="str">
        <f t="shared" si="108"/>
        <v/>
      </c>
      <c r="Y1855" s="2855"/>
      <c r="Z1855" s="2852"/>
      <c r="AA1855" s="2852"/>
      <c r="AB1855" s="2852"/>
      <c r="AC1855" s="2852"/>
      <c r="AD1855" s="2852"/>
      <c r="AE1855" s="2852"/>
      <c r="AF1855" s="2852"/>
      <c r="AG1855" s="2852"/>
      <c r="AH1855" s="2852"/>
      <c r="AI1855" s="2852"/>
      <c r="AJ1855" s="2852"/>
      <c r="AK1855" s="2852"/>
      <c r="AL1855" s="2852"/>
      <c r="AM1855" s="2852"/>
      <c r="AN1855" s="2852"/>
      <c r="AO1855" s="2852"/>
      <c r="AP1855" s="2852"/>
      <c r="AQ1855" s="2852"/>
      <c r="AR1855" s="2852"/>
      <c r="AS1855" s="2852"/>
      <c r="AT1855" s="2852"/>
      <c r="AU1855" s="2852"/>
      <c r="AV1855" s="2852"/>
      <c r="AW1855" s="2852"/>
      <c r="AX1855" s="2852"/>
      <c r="AY1855" s="2852"/>
      <c r="AZ1855" s="2852"/>
      <c r="BA1855" s="2852"/>
      <c r="BB1855" s="2852"/>
      <c r="BC1855" s="2852"/>
      <c r="BD1855" s="2852"/>
      <c r="BE1855" s="2852"/>
      <c r="BF1855" s="2852"/>
      <c r="BG1855" s="2852"/>
      <c r="BH1855" s="2852"/>
      <c r="BI1855" s="2852"/>
      <c r="BJ1855" s="2852"/>
      <c r="BK1855" s="2852"/>
      <c r="BL1855" s="2842"/>
      <c r="BM1855" s="2842"/>
      <c r="BN1855" s="2842"/>
      <c r="BO1855" s="2842"/>
      <c r="BP1855" s="2842"/>
      <c r="BQ1855" s="2842"/>
      <c r="BR1855" s="2842"/>
      <c r="BS1855" s="2842"/>
      <c r="BT1855" s="2842"/>
      <c r="BU1855" s="2842"/>
      <c r="BV1855" s="2842"/>
      <c r="BW1855" s="2842"/>
      <c r="BX1855" s="2842"/>
      <c r="BY1855" s="2842"/>
      <c r="BZ1855" s="2842"/>
      <c r="CA1855" s="2869"/>
    </row>
    <row r="1856" spans="1:79" ht="12.75" customHeight="1" x14ac:dyDescent="0.2">
      <c r="A1856" s="2029">
        <v>211</v>
      </c>
      <c r="B1856" s="4995"/>
      <c r="C1856" s="2813"/>
      <c r="D1856" s="260"/>
      <c r="E1856" s="2816" t="s">
        <v>10301</v>
      </c>
      <c r="F1856" s="218">
        <v>15</v>
      </c>
      <c r="G1856" s="218">
        <v>60</v>
      </c>
      <c r="H1856" s="218">
        <f>COUNTIF(HabilidadesEsenciales_Adquiridas,Tablas!E1856)</f>
        <v>0</v>
      </c>
      <c r="I1856" s="2818">
        <v>1</v>
      </c>
      <c r="J1856" s="422"/>
      <c r="K1856" s="2809"/>
      <c r="M1856" s="1959"/>
      <c r="N1856" s="100"/>
      <c r="O1856" s="468" t="s">
        <v>9850</v>
      </c>
      <c r="P1856" s="2811">
        <v>20</v>
      </c>
      <c r="Q1856" s="575">
        <f>50+IF(OR(TipoDeCriatura="Entre mundos, Elemental",TipoDeCriatura="Ánima, Elemental"),10,0)</f>
        <v>50</v>
      </c>
      <c r="R1856" s="2818">
        <f>COUNTIF(PoderesDeCriatura_Adquiridos,Tablas!O1856)</f>
        <v>0</v>
      </c>
      <c r="S1856" s="422"/>
      <c r="T1856" s="2809"/>
      <c r="V1856" s="2868" t="s">
        <v>9476</v>
      </c>
      <c r="W1856" s="2836"/>
      <c r="X1856" s="2340" t="str">
        <f t="shared" si="108"/>
        <v>PodHab_Detecciónsobrenatural</v>
      </c>
      <c r="Y1856" s="2855" t="s">
        <v>7478</v>
      </c>
      <c r="Z1856" s="2852" t="s">
        <v>7479</v>
      </c>
      <c r="AA1856" s="2852" t="s">
        <v>7480</v>
      </c>
      <c r="AB1856" s="2852" t="s">
        <v>7481</v>
      </c>
      <c r="AC1856" s="2852" t="s">
        <v>9735</v>
      </c>
      <c r="AD1856" s="2852" t="s">
        <v>9736</v>
      </c>
      <c r="AE1856" s="2852" t="s">
        <v>9737</v>
      </c>
      <c r="AF1856" s="2852" t="s">
        <v>5200</v>
      </c>
      <c r="AG1856" s="2852" t="s">
        <v>5157</v>
      </c>
      <c r="AH1856" s="2852" t="s">
        <v>4834</v>
      </c>
      <c r="AI1856" s="2852" t="s">
        <v>5381</v>
      </c>
      <c r="AJ1856" s="2852" t="s">
        <v>6420</v>
      </c>
      <c r="AK1856" s="2852" t="s">
        <v>9738</v>
      </c>
      <c r="AL1856" s="2852" t="s">
        <v>9739</v>
      </c>
      <c r="AM1856" s="2852"/>
      <c r="AN1856" s="1876"/>
      <c r="AO1856" s="1876"/>
      <c r="AP1856" s="1876"/>
      <c r="AQ1856" s="2852"/>
      <c r="AR1856" s="2852"/>
      <c r="AS1856" s="2852"/>
      <c r="AT1856" s="2852"/>
      <c r="AU1856" s="2852"/>
      <c r="AV1856" s="2852"/>
      <c r="AW1856" s="2852"/>
      <c r="AX1856" s="2852"/>
      <c r="AY1856" s="2852"/>
      <c r="AZ1856" s="2852"/>
      <c r="BA1856" s="2852"/>
      <c r="BB1856" s="2852"/>
      <c r="BC1856" s="2852"/>
      <c r="BD1856" s="2852"/>
      <c r="BE1856" s="2852"/>
      <c r="BF1856" s="2852"/>
      <c r="BG1856" s="2852"/>
      <c r="BH1856" s="2852"/>
      <c r="BI1856" s="2852"/>
      <c r="BJ1856" s="2852"/>
      <c r="BK1856" s="2852"/>
      <c r="BL1856" s="2842"/>
      <c r="BM1856" s="2842"/>
      <c r="BN1856" s="2842"/>
      <c r="BO1856" s="2842"/>
      <c r="BP1856" s="2842"/>
      <c r="BQ1856" s="2842"/>
      <c r="BR1856" s="2842"/>
      <c r="BS1856" s="2842"/>
      <c r="BT1856" s="2842"/>
      <c r="BU1856" s="2842"/>
      <c r="BV1856" s="2842"/>
      <c r="BW1856" s="2842"/>
      <c r="BX1856" s="2842"/>
      <c r="BY1856" s="2842"/>
      <c r="BZ1856" s="2842"/>
      <c r="CA1856" s="2869"/>
    </row>
    <row r="1857" spans="1:79" ht="12.75" customHeight="1" x14ac:dyDescent="0.2">
      <c r="A1857" s="2029">
        <v>211</v>
      </c>
      <c r="B1857" s="4995"/>
      <c r="C1857" s="2813"/>
      <c r="D1857" s="260"/>
      <c r="E1857" s="2816" t="s">
        <v>10302</v>
      </c>
      <c r="F1857" s="218">
        <v>20</v>
      </c>
      <c r="G1857" s="218">
        <v>120</v>
      </c>
      <c r="H1857" s="218">
        <f>COUNTIF(HabilidadesEsenciales_Adquiridas,Tablas!E1857)</f>
        <v>0</v>
      </c>
      <c r="I1857" s="2818"/>
      <c r="J1857" s="422"/>
      <c r="K1857" s="2809"/>
      <c r="M1857" s="1959"/>
      <c r="N1857" s="100"/>
      <c r="O1857" s="468" t="s">
        <v>9851</v>
      </c>
      <c r="P1857" s="2811">
        <v>20</v>
      </c>
      <c r="Q1857" s="575">
        <f>60+IF(OR(TipoDeCriatura="Entre mundos, Elemental",TipoDeCriatura="Ánima, Elemental"),10,0)</f>
        <v>60</v>
      </c>
      <c r="R1857" s="2818">
        <f>COUNTIF(PoderesDeCriatura_Adquiridos,Tablas!O1857)</f>
        <v>0</v>
      </c>
      <c r="S1857" s="422"/>
      <c r="T1857" s="2809"/>
      <c r="V1857" s="2868" t="s">
        <v>9493</v>
      </c>
      <c r="W1857" s="2836"/>
      <c r="X1857" s="2340" t="str">
        <f t="shared" si="108"/>
        <v>PodHab_Visiónespecial</v>
      </c>
      <c r="Y1857" s="2855" t="s">
        <v>2295</v>
      </c>
      <c r="Z1857" s="2852" t="s">
        <v>6</v>
      </c>
      <c r="AA1857" s="2852" t="s">
        <v>7</v>
      </c>
      <c r="AB1857" s="2852" t="s">
        <v>8</v>
      </c>
      <c r="AC1857" s="2852" t="s">
        <v>9</v>
      </c>
      <c r="AD1857" s="2852" t="s">
        <v>10</v>
      </c>
      <c r="AE1857" s="2852" t="s">
        <v>2808</v>
      </c>
      <c r="AF1857" s="2852"/>
      <c r="AG1857" s="2852"/>
      <c r="AH1857" s="2852"/>
      <c r="AI1857" s="2852"/>
      <c r="AJ1857" s="2852"/>
      <c r="AK1857" s="2852"/>
      <c r="AL1857" s="2852"/>
      <c r="AM1857" s="2852"/>
      <c r="AN1857" s="2852"/>
      <c r="AO1857" s="2852"/>
      <c r="AP1857" s="2852"/>
      <c r="AQ1857" s="2852"/>
      <c r="AR1857" s="2852"/>
      <c r="AS1857" s="2852"/>
      <c r="AT1857" s="2852"/>
      <c r="AU1857" s="2852"/>
      <c r="AV1857" s="2852"/>
      <c r="AW1857" s="2852"/>
      <c r="AX1857" s="2852"/>
      <c r="AY1857" s="2852"/>
      <c r="AZ1857" s="2852"/>
      <c r="BA1857" s="2852"/>
      <c r="BB1857" s="2852"/>
      <c r="BC1857" s="2852"/>
      <c r="BD1857" s="2852"/>
      <c r="BE1857" s="2852"/>
      <c r="BF1857" s="2852"/>
      <c r="BG1857" s="2852"/>
      <c r="BH1857" s="2852"/>
      <c r="BI1857" s="2852"/>
      <c r="BJ1857" s="2852"/>
      <c r="BK1857" s="2852"/>
      <c r="BL1857" s="2842"/>
      <c r="BM1857" s="2842"/>
      <c r="BN1857" s="2842"/>
      <c r="BO1857" s="2842"/>
      <c r="BP1857" s="2842"/>
      <c r="BQ1857" s="2842"/>
      <c r="BR1857" s="2842"/>
      <c r="BS1857" s="2842"/>
      <c r="BT1857" s="2842"/>
      <c r="BU1857" s="2842"/>
      <c r="BV1857" s="2842"/>
      <c r="BW1857" s="2842"/>
      <c r="BX1857" s="2842"/>
      <c r="BY1857" s="2842"/>
      <c r="BZ1857" s="2842"/>
      <c r="CA1857" s="2869"/>
    </row>
    <row r="1858" spans="1:79" ht="12.75" customHeight="1" x14ac:dyDescent="0.2">
      <c r="A1858" s="2029">
        <v>211</v>
      </c>
      <c r="B1858" s="4995"/>
      <c r="C1858" s="2813"/>
      <c r="D1858" s="260"/>
      <c r="E1858" s="2816" t="s">
        <v>10303</v>
      </c>
      <c r="F1858" s="218">
        <v>25</v>
      </c>
      <c r="G1858" s="218">
        <v>180</v>
      </c>
      <c r="H1858" s="218">
        <f>COUNTIF(HabilidadesEsenciales_Adquiridas,Tablas!E1858)</f>
        <v>0</v>
      </c>
      <c r="I1858" s="2818"/>
      <c r="J1858" s="422"/>
      <c r="K1858" s="2809"/>
      <c r="M1858" s="1959"/>
      <c r="N1858" s="100"/>
      <c r="O1858" s="468" t="s">
        <v>9852</v>
      </c>
      <c r="P1858" s="2811">
        <v>25</v>
      </c>
      <c r="Q1858" s="575">
        <f>80+IF(OR(TipoDeCriatura="Entre mundos, Elemental",TipoDeCriatura="Ánima, Elemental"),10,0)</f>
        <v>80</v>
      </c>
      <c r="R1858" s="2818">
        <f>COUNTIF(PoderesDeCriatura_Adquiridos,Tablas!O1858)</f>
        <v>0</v>
      </c>
      <c r="S1858" s="422"/>
      <c r="T1858" s="2809"/>
      <c r="V1858" s="2868" t="s">
        <v>11</v>
      </c>
      <c r="W1858" s="2131"/>
      <c r="X1858" s="2340" t="str">
        <f t="shared" si="108"/>
        <v/>
      </c>
      <c r="Y1858" s="2855"/>
      <c r="Z1858" s="2852"/>
      <c r="AA1858" s="2852"/>
      <c r="AB1858" s="2852"/>
      <c r="AC1858" s="2852"/>
      <c r="AD1858" s="2852"/>
      <c r="AE1858" s="2852"/>
      <c r="AF1858" s="2852"/>
      <c r="AG1858" s="2852"/>
      <c r="AH1858" s="2852"/>
      <c r="AI1858" s="2852"/>
      <c r="AJ1858" s="2852"/>
      <c r="AK1858" s="2852"/>
      <c r="AL1858" s="2852"/>
      <c r="AM1858" s="2852"/>
      <c r="AN1858" s="2852"/>
      <c r="AO1858" s="2852"/>
      <c r="AP1858" s="2852"/>
      <c r="AQ1858" s="2852"/>
      <c r="AR1858" s="2852"/>
      <c r="AS1858" s="2852"/>
      <c r="AT1858" s="2852"/>
      <c r="AU1858" s="2852"/>
      <c r="AV1858" s="2852"/>
      <c r="AW1858" s="2852"/>
      <c r="AX1858" s="2852"/>
      <c r="AY1858" s="2852"/>
      <c r="AZ1858" s="2852"/>
      <c r="BA1858" s="2852"/>
      <c r="BB1858" s="2852"/>
      <c r="BC1858" s="2852"/>
      <c r="BD1858" s="2852"/>
      <c r="BE1858" s="2852"/>
      <c r="BF1858" s="2852"/>
      <c r="BG1858" s="2852"/>
      <c r="BH1858" s="2852"/>
      <c r="BI1858" s="2852"/>
      <c r="BJ1858" s="2852"/>
      <c r="BK1858" s="2852"/>
      <c r="BL1858" s="2842"/>
      <c r="BM1858" s="2842"/>
      <c r="BN1858" s="2842"/>
      <c r="BO1858" s="2842"/>
      <c r="BP1858" s="2842"/>
      <c r="BQ1858" s="2842"/>
      <c r="BR1858" s="2842"/>
      <c r="BS1858" s="2842"/>
      <c r="BT1858" s="2842"/>
      <c r="BU1858" s="2842"/>
      <c r="BV1858" s="2842"/>
      <c r="BW1858" s="2842"/>
      <c r="BX1858" s="2842"/>
      <c r="BY1858" s="2842"/>
      <c r="BZ1858" s="2842"/>
      <c r="CA1858" s="2869"/>
    </row>
    <row r="1859" spans="1:79" ht="12.75" customHeight="1" x14ac:dyDescent="0.2">
      <c r="A1859" s="2029">
        <v>211</v>
      </c>
      <c r="B1859" s="4995"/>
      <c r="C1859" s="2813"/>
      <c r="D1859" s="260"/>
      <c r="E1859" s="2816" t="s">
        <v>10304</v>
      </c>
      <c r="F1859" s="218">
        <v>0</v>
      </c>
      <c r="G1859" s="218">
        <v>20</v>
      </c>
      <c r="H1859" s="218">
        <f>COUNTIF(HabilidadesEsenciales_Adquiridas,Tablas!E1859)</f>
        <v>0</v>
      </c>
      <c r="I1859" s="2818">
        <v>1</v>
      </c>
      <c r="J1859" s="422"/>
      <c r="K1859" s="2809"/>
      <c r="M1859" s="1959"/>
      <c r="N1859" s="100"/>
      <c r="O1859" s="468" t="s">
        <v>9853</v>
      </c>
      <c r="P1859" s="2811">
        <v>30</v>
      </c>
      <c r="Q1859" s="575">
        <f>100+IF(OR(TipoDeCriatura="Entre mundos, Elemental",TipoDeCriatura="Ánima, Elemental"),10,0)</f>
        <v>100</v>
      </c>
      <c r="R1859" s="2818">
        <f>COUNTIF(PoderesDeCriatura_Adquiridos,Tablas!O1859)</f>
        <v>0</v>
      </c>
      <c r="S1859" s="422"/>
      <c r="T1859" s="2809"/>
      <c r="V1859" s="2868" t="s">
        <v>9479</v>
      </c>
      <c r="W1859" s="2836"/>
      <c r="X1859" s="2340" t="str">
        <f t="shared" si="108"/>
        <v>PodHab_Acumularataque</v>
      </c>
      <c r="Y1859" s="2855" t="s">
        <v>9740</v>
      </c>
      <c r="Z1859" s="2852" t="s">
        <v>9741</v>
      </c>
      <c r="AA1859" s="2852" t="s">
        <v>9742</v>
      </c>
      <c r="AB1859" s="2852" t="s">
        <v>9743</v>
      </c>
      <c r="AC1859" s="2852" t="s">
        <v>9744</v>
      </c>
      <c r="AD1859" s="2852" t="s">
        <v>9745</v>
      </c>
      <c r="AE1859" s="2852" t="s">
        <v>9746</v>
      </c>
      <c r="AF1859" s="2852"/>
      <c r="AG1859" s="2852"/>
      <c r="AH1859" s="2852"/>
      <c r="AI1859" s="2852"/>
      <c r="AJ1859" s="2852"/>
      <c r="AK1859" s="1876"/>
      <c r="AL1859" s="1876"/>
      <c r="AM1859" s="1876"/>
      <c r="AN1859" s="1876"/>
      <c r="AO1859" s="1876"/>
      <c r="AP1859" s="1876"/>
      <c r="AQ1859" s="1876"/>
      <c r="AR1859" s="1876"/>
      <c r="AS1859" s="1876"/>
      <c r="AT1859" s="1876"/>
      <c r="AU1859" s="1876"/>
      <c r="AV1859" s="1876"/>
      <c r="AW1859" s="1876"/>
      <c r="AX1859" s="2852"/>
      <c r="AY1859" s="2852"/>
      <c r="AZ1859" s="2852"/>
      <c r="BA1859" s="2852"/>
      <c r="BB1859" s="2852"/>
      <c r="BC1859" s="2852"/>
      <c r="BD1859" s="2852"/>
      <c r="BE1859" s="2852"/>
      <c r="BF1859" s="2852"/>
      <c r="BG1859" s="2852"/>
      <c r="BH1859" s="2852"/>
      <c r="BI1859" s="2852"/>
      <c r="BJ1859" s="2852"/>
      <c r="BK1859" s="2852"/>
      <c r="BL1859" s="2842"/>
      <c r="BM1859" s="2842"/>
      <c r="BN1859" s="2842"/>
      <c r="BO1859" s="2842"/>
      <c r="BP1859" s="2842"/>
      <c r="BQ1859" s="2842"/>
      <c r="BR1859" s="2842"/>
      <c r="BS1859" s="2842"/>
      <c r="BT1859" s="2842"/>
      <c r="BU1859" s="2842"/>
      <c r="BV1859" s="2842"/>
      <c r="BW1859" s="2842"/>
      <c r="BX1859" s="2842"/>
      <c r="BY1859" s="2842"/>
      <c r="BZ1859" s="2842"/>
      <c r="CA1859" s="2869"/>
    </row>
    <row r="1860" spans="1:79" ht="12.75" customHeight="1" x14ac:dyDescent="0.2">
      <c r="A1860" s="2029">
        <v>211</v>
      </c>
      <c r="B1860" s="4995"/>
      <c r="C1860" s="2813"/>
      <c r="D1860" s="260"/>
      <c r="E1860" s="2816" t="s">
        <v>10305</v>
      </c>
      <c r="F1860" s="218">
        <v>5</v>
      </c>
      <c r="G1860" s="218">
        <v>40</v>
      </c>
      <c r="H1860" s="218">
        <f>COUNTIF(HabilidadesEsenciales_Adquiridas,Tablas!E1860)</f>
        <v>0</v>
      </c>
      <c r="I1860" s="2818">
        <v>1</v>
      </c>
      <c r="J1860" s="422"/>
      <c r="K1860" s="2809"/>
      <c r="M1860" s="1959"/>
      <c r="N1860" s="100"/>
      <c r="O1860" s="468" t="s">
        <v>9854</v>
      </c>
      <c r="P1860" s="2811">
        <v>10</v>
      </c>
      <c r="Q1860" s="575">
        <f>10+IF(OR(TipoDeCriatura="Entre mundos, Elemental",TipoDeCriatura="Ánima, Elemental"),10,0)</f>
        <v>10</v>
      </c>
      <c r="R1860" s="2818">
        <f>COUNTIF(PoderesDeCriatura_Adquiridos,Tablas!O1860)</f>
        <v>0</v>
      </c>
      <c r="S1860" s="422"/>
      <c r="T1860" s="2809"/>
      <c r="V1860" s="2868" t="s">
        <v>13</v>
      </c>
      <c r="W1860" s="2836"/>
      <c r="X1860" s="2340" t="str">
        <f t="shared" si="108"/>
        <v>PodHab_Armanaturaladistancia</v>
      </c>
      <c r="Y1860" s="2855" t="s">
        <v>9509</v>
      </c>
      <c r="Z1860" s="2852" t="s">
        <v>9510</v>
      </c>
      <c r="AA1860" s="2852" t="s">
        <v>9511</v>
      </c>
      <c r="AB1860" s="2852" t="s">
        <v>9512</v>
      </c>
      <c r="AC1860" s="2852"/>
      <c r="AD1860" s="2852"/>
      <c r="AE1860" s="2852"/>
      <c r="AF1860" s="2852"/>
      <c r="AG1860" s="2852"/>
      <c r="AH1860" s="2852"/>
      <c r="AI1860" s="2852"/>
      <c r="AJ1860" s="2852"/>
      <c r="AK1860" s="1876"/>
      <c r="AL1860" s="1876"/>
      <c r="AM1860" s="1876"/>
      <c r="AN1860" s="1876"/>
      <c r="AO1860" s="1876"/>
      <c r="AP1860" s="1876"/>
      <c r="AQ1860" s="1876"/>
      <c r="AR1860" s="1876"/>
      <c r="AS1860" s="1876"/>
      <c r="AT1860" s="1876"/>
      <c r="AU1860" s="1876"/>
      <c r="AV1860" s="1876"/>
      <c r="AW1860" s="1876"/>
      <c r="AX1860" s="2852"/>
      <c r="AY1860" s="2852"/>
      <c r="AZ1860" s="2852"/>
      <c r="BA1860" s="2852"/>
      <c r="BB1860" s="2852"/>
      <c r="BC1860" s="2852"/>
      <c r="BD1860" s="2852"/>
      <c r="BE1860" s="2852"/>
      <c r="BF1860" s="2852"/>
      <c r="BG1860" s="2852"/>
      <c r="BH1860" s="2852"/>
      <c r="BI1860" s="2852"/>
      <c r="BJ1860" s="2852"/>
      <c r="BK1860" s="2852"/>
      <c r="BL1860" s="2842"/>
      <c r="BM1860" s="2842"/>
      <c r="BN1860" s="2842"/>
      <c r="BO1860" s="2842"/>
      <c r="BP1860" s="2842"/>
      <c r="BQ1860" s="2842"/>
      <c r="BR1860" s="2842"/>
      <c r="BS1860" s="2842"/>
      <c r="BT1860" s="2842"/>
      <c r="BU1860" s="2842"/>
      <c r="BV1860" s="2842"/>
      <c r="BW1860" s="2842"/>
      <c r="BX1860" s="2842"/>
      <c r="BY1860" s="2842"/>
      <c r="BZ1860" s="2842"/>
      <c r="CA1860" s="2869"/>
    </row>
    <row r="1861" spans="1:79" ht="12.75" customHeight="1" x14ac:dyDescent="0.2">
      <c r="A1861" s="2029">
        <v>211</v>
      </c>
      <c r="B1861" s="4995"/>
      <c r="C1861" s="2813"/>
      <c r="D1861" s="260"/>
      <c r="E1861" s="2816" t="s">
        <v>10306</v>
      </c>
      <c r="F1861" s="218">
        <v>15</v>
      </c>
      <c r="G1861" s="218">
        <v>60</v>
      </c>
      <c r="H1861" s="218">
        <f>COUNTIF(HabilidadesEsenciales_Adquiridas,Tablas!E1861)</f>
        <v>0</v>
      </c>
      <c r="I1861" s="2818">
        <v>1</v>
      </c>
      <c r="J1861" s="422"/>
      <c r="K1861" s="2809"/>
      <c r="M1861" s="1959"/>
      <c r="N1861" s="100"/>
      <c r="O1861" s="468" t="s">
        <v>9855</v>
      </c>
      <c r="P1861" s="2811">
        <v>10</v>
      </c>
      <c r="Q1861" s="575">
        <f>20+IF(OR(TipoDeCriatura="Entre mundos, Elemental",TipoDeCriatura="Ánima, Elemental"),10,0)</f>
        <v>20</v>
      </c>
      <c r="R1861" s="2818">
        <f>COUNTIF(PoderesDeCriatura_Adquiridos,Tablas!O1861)</f>
        <v>0</v>
      </c>
      <c r="S1861" s="422"/>
      <c r="T1861" s="2809"/>
      <c r="V1861" s="2868" t="s">
        <v>9513</v>
      </c>
      <c r="W1861" s="2836"/>
      <c r="X1861" s="2340" t="str">
        <f t="shared" si="108"/>
        <v>PodHab_At.automáticocondicionado</v>
      </c>
      <c r="Y1861" s="2855" t="s">
        <v>9747</v>
      </c>
      <c r="Z1861" s="2852" t="s">
        <v>9748</v>
      </c>
      <c r="AA1861" s="2852" t="s">
        <v>9749</v>
      </c>
      <c r="AB1861" s="2852" t="s">
        <v>9750</v>
      </c>
      <c r="AC1861" s="2852" t="s">
        <v>9751</v>
      </c>
      <c r="AD1861" s="2852" t="s">
        <v>9752</v>
      </c>
      <c r="AE1861" s="2340" t="s">
        <v>1134</v>
      </c>
      <c r="AF1861" s="2852" t="s">
        <v>84</v>
      </c>
      <c r="AG1861" s="2852" t="s">
        <v>2629</v>
      </c>
      <c r="AH1861" s="2852" t="s">
        <v>9753</v>
      </c>
      <c r="AI1861" s="2852"/>
      <c r="AJ1861" s="2852"/>
      <c r="AK1861" s="1876"/>
      <c r="AL1861" s="1876"/>
      <c r="AM1861" s="1876"/>
      <c r="AN1861" s="1876"/>
      <c r="AO1861" s="1876"/>
      <c r="AP1861" s="1876"/>
      <c r="AQ1861" s="1876"/>
      <c r="AR1861" s="1876"/>
      <c r="AS1861" s="1876"/>
      <c r="AT1861" s="1876"/>
      <c r="AU1861" s="1876"/>
      <c r="AV1861" s="1876"/>
      <c r="AW1861" s="1876"/>
      <c r="AX1861" s="2852"/>
      <c r="AY1861" s="2852"/>
      <c r="AZ1861" s="2852"/>
      <c r="BA1861" s="2852"/>
      <c r="BB1861" s="2852"/>
      <c r="BC1861" s="2852"/>
      <c r="BD1861" s="2852"/>
      <c r="BE1861" s="2852"/>
      <c r="BF1861" s="2852"/>
      <c r="BG1861" s="2852"/>
      <c r="BH1861" s="2852"/>
      <c r="BI1861" s="2852"/>
      <c r="BJ1861" s="2852"/>
      <c r="BK1861" s="2852"/>
      <c r="BL1861" s="2842"/>
      <c r="BM1861" s="2842"/>
      <c r="BN1861" s="2842"/>
      <c r="BO1861" s="2842"/>
      <c r="BP1861" s="2842"/>
      <c r="BQ1861" s="2842"/>
      <c r="BR1861" s="2842"/>
      <c r="BS1861" s="2842"/>
      <c r="BT1861" s="2842"/>
      <c r="BU1861" s="2842"/>
      <c r="BV1861" s="2842"/>
      <c r="BW1861" s="2842"/>
      <c r="BX1861" s="2842"/>
      <c r="BY1861" s="2842"/>
      <c r="BZ1861" s="2842"/>
      <c r="CA1861" s="2869"/>
    </row>
    <row r="1862" spans="1:79" ht="12.75" customHeight="1" x14ac:dyDescent="0.2">
      <c r="A1862" s="2029">
        <v>211</v>
      </c>
      <c r="B1862" s="4995"/>
      <c r="C1862" s="2813"/>
      <c r="D1862" s="260"/>
      <c r="E1862" s="2816" t="s">
        <v>10307</v>
      </c>
      <c r="F1862" s="218">
        <v>20</v>
      </c>
      <c r="G1862" s="218">
        <v>120</v>
      </c>
      <c r="H1862" s="218">
        <f>COUNTIF(HabilidadesEsenciales_Adquiridas,Tablas!E1862)</f>
        <v>0</v>
      </c>
      <c r="I1862" s="2818"/>
      <c r="J1862" s="422"/>
      <c r="K1862" s="2809"/>
      <c r="M1862" s="1959"/>
      <c r="N1862" s="100"/>
      <c r="O1862" s="468" t="s">
        <v>9856</v>
      </c>
      <c r="P1862" s="2811">
        <v>15</v>
      </c>
      <c r="Q1862" s="575">
        <f>30+IF(OR(TipoDeCriatura="Entre mundos, Elemental",TipoDeCriatura="Ánima, Elemental"),10,0)</f>
        <v>30</v>
      </c>
      <c r="R1862" s="2818">
        <f>COUNTIF(PoderesDeCriatura_Adquiridos,Tablas!O1862)</f>
        <v>0</v>
      </c>
      <c r="S1862" s="422"/>
      <c r="T1862" s="2809"/>
      <c r="V1862" s="2868" t="s">
        <v>12</v>
      </c>
      <c r="W1862" s="2852"/>
      <c r="X1862" s="2340" t="str">
        <f t="shared" si="108"/>
        <v/>
      </c>
      <c r="Y1862" s="2855"/>
      <c r="Z1862" s="2852"/>
      <c r="AA1862" s="2852"/>
      <c r="AB1862" s="2852"/>
      <c r="AC1862" s="2852"/>
      <c r="AD1862" s="2852"/>
      <c r="AE1862" s="2852"/>
      <c r="AF1862" s="2852"/>
      <c r="AG1862" s="2852"/>
      <c r="AH1862" s="2852"/>
      <c r="AI1862" s="2852"/>
      <c r="AJ1862" s="2852"/>
      <c r="AK1862" s="1876"/>
      <c r="AL1862" s="1876"/>
      <c r="AM1862" s="1876"/>
      <c r="AN1862" s="1876"/>
      <c r="AO1862" s="1876"/>
      <c r="AP1862" s="1876"/>
      <c r="AQ1862" s="1876"/>
      <c r="AR1862" s="1876"/>
      <c r="AS1862" s="1876"/>
      <c r="AT1862" s="1876"/>
      <c r="AU1862" s="1876"/>
      <c r="AV1862" s="1876"/>
      <c r="AW1862" s="1876"/>
      <c r="AX1862" s="2852"/>
      <c r="AY1862" s="2852"/>
      <c r="AZ1862" s="2852"/>
      <c r="BA1862" s="2852"/>
      <c r="BB1862" s="2852"/>
      <c r="BC1862" s="2852"/>
      <c r="BD1862" s="2852"/>
      <c r="BE1862" s="2852"/>
      <c r="BF1862" s="2852"/>
      <c r="BG1862" s="2852"/>
      <c r="BH1862" s="2852"/>
      <c r="BI1862" s="2852"/>
      <c r="BJ1862" s="2852"/>
      <c r="BK1862" s="2852"/>
      <c r="BL1862" s="2842"/>
      <c r="BM1862" s="2842"/>
      <c r="BN1862" s="2842"/>
      <c r="BO1862" s="2842"/>
      <c r="BP1862" s="2842"/>
      <c r="BQ1862" s="2842"/>
      <c r="BR1862" s="2842"/>
      <c r="BS1862" s="2842"/>
      <c r="BT1862" s="2842"/>
      <c r="BU1862" s="2842"/>
      <c r="BV1862" s="2842"/>
      <c r="BW1862" s="2842"/>
      <c r="BX1862" s="2842"/>
      <c r="BY1862" s="2842"/>
      <c r="BZ1862" s="2842"/>
      <c r="CA1862" s="2869"/>
    </row>
    <row r="1863" spans="1:79" ht="12.75" customHeight="1" x14ac:dyDescent="0.2">
      <c r="A1863" s="2029">
        <v>211</v>
      </c>
      <c r="B1863" s="4995"/>
      <c r="C1863" s="2813"/>
      <c r="D1863" s="260"/>
      <c r="E1863" s="2816" t="s">
        <v>10308</v>
      </c>
      <c r="F1863" s="218">
        <v>25</v>
      </c>
      <c r="G1863" s="218">
        <v>180</v>
      </c>
      <c r="H1863" s="218">
        <f>COUNTIF(HabilidadesEsenciales_Adquiridas,Tablas!E1863)</f>
        <v>0</v>
      </c>
      <c r="I1863" s="2818"/>
      <c r="J1863" s="422"/>
      <c r="K1863" s="2809"/>
      <c r="M1863" s="1959"/>
      <c r="N1863" s="100"/>
      <c r="O1863" s="468" t="s">
        <v>9857</v>
      </c>
      <c r="P1863" s="2811">
        <v>20</v>
      </c>
      <c r="Q1863" s="575">
        <f>40+IF(OR(TipoDeCriatura="Entre mundos, Elemental",TipoDeCriatura="Ánima, Elemental"),10,0)</f>
        <v>40</v>
      </c>
      <c r="R1863" s="2818">
        <f>COUNTIF(PoderesDeCriatura_Adquiridos,Tablas!O1863)</f>
        <v>0</v>
      </c>
      <c r="S1863" s="422"/>
      <c r="T1863" s="2809"/>
      <c r="V1863" s="2868" t="s">
        <v>9495</v>
      </c>
      <c r="W1863" s="2836"/>
      <c r="X1863" s="2340" t="str">
        <f t="shared" si="108"/>
        <v>PodHab_Ataquecamuflado</v>
      </c>
      <c r="Y1863" s="2855" t="s">
        <v>9754</v>
      </c>
      <c r="Z1863" s="2852" t="s">
        <v>9755</v>
      </c>
      <c r="AA1863" s="2852" t="s">
        <v>9756</v>
      </c>
      <c r="AB1863" s="2852" t="s">
        <v>9757</v>
      </c>
      <c r="AC1863" s="2852" t="s">
        <v>9758</v>
      </c>
      <c r="AD1863" s="2852"/>
      <c r="AE1863" s="2852"/>
      <c r="AF1863" s="2852"/>
      <c r="AG1863" s="2852"/>
      <c r="AH1863" s="2852"/>
      <c r="AI1863" s="2852"/>
      <c r="AJ1863" s="2852"/>
      <c r="AK1863" s="1876"/>
      <c r="AL1863" s="1876"/>
      <c r="AM1863" s="1876"/>
      <c r="AN1863" s="1876"/>
      <c r="AO1863" s="1876"/>
      <c r="AP1863" s="1876"/>
      <c r="AQ1863" s="1876"/>
      <c r="AR1863" s="1876"/>
      <c r="AS1863" s="1876"/>
      <c r="AT1863" s="1876"/>
      <c r="AU1863" s="1876"/>
      <c r="AV1863" s="1876"/>
      <c r="AW1863" s="1876"/>
      <c r="AX1863" s="2852"/>
      <c r="AY1863" s="2852"/>
      <c r="AZ1863" s="2852"/>
      <c r="BA1863" s="2852"/>
      <c r="BB1863" s="2852"/>
      <c r="BC1863" s="2852"/>
      <c r="BD1863" s="2852"/>
      <c r="BE1863" s="2852"/>
      <c r="BF1863" s="2852"/>
      <c r="BG1863" s="2852"/>
      <c r="BH1863" s="2852"/>
      <c r="BI1863" s="2852"/>
      <c r="BJ1863" s="2852"/>
      <c r="BK1863" s="2852"/>
      <c r="BL1863" s="2842"/>
      <c r="BM1863" s="2842"/>
      <c r="BN1863" s="2842"/>
      <c r="BO1863" s="2842"/>
      <c r="BP1863" s="2842"/>
      <c r="BQ1863" s="2842"/>
      <c r="BR1863" s="2842"/>
      <c r="BS1863" s="2842"/>
      <c r="BT1863" s="2842"/>
      <c r="BU1863" s="2842"/>
      <c r="BV1863" s="2842"/>
      <c r="BW1863" s="2842"/>
      <c r="BX1863" s="2842"/>
      <c r="BY1863" s="2842"/>
      <c r="BZ1863" s="2842"/>
      <c r="CA1863" s="2869"/>
    </row>
    <row r="1864" spans="1:79" ht="12.75" customHeight="1" x14ac:dyDescent="0.2">
      <c r="A1864" s="2029">
        <v>211</v>
      </c>
      <c r="B1864" s="4995"/>
      <c r="C1864" s="2813"/>
      <c r="D1864" s="260"/>
      <c r="E1864" s="2816" t="s">
        <v>10309</v>
      </c>
      <c r="F1864" s="218">
        <v>0</v>
      </c>
      <c r="G1864" s="218">
        <v>20</v>
      </c>
      <c r="H1864" s="218">
        <f>COUNTIF(HabilidadesEsenciales_Adquiridas,Tablas!E1864)</f>
        <v>0</v>
      </c>
      <c r="I1864" s="2818">
        <v>1</v>
      </c>
      <c r="J1864" s="422"/>
      <c r="K1864" s="2809"/>
      <c r="M1864" s="1959"/>
      <c r="N1864" s="100"/>
      <c r="O1864" s="468" t="s">
        <v>9858</v>
      </c>
      <c r="P1864" s="2811">
        <v>25</v>
      </c>
      <c r="Q1864" s="575">
        <f>50+IF(OR(TipoDeCriatura="Entre mundos, Elemental",TipoDeCriatura="Ánima, Elemental"),10,0)</f>
        <v>50</v>
      </c>
      <c r="R1864" s="2818">
        <f>COUNTIF(PoderesDeCriatura_Adquiridos,Tablas!O1864)</f>
        <v>0</v>
      </c>
      <c r="S1864" s="422"/>
      <c r="T1864" s="2809"/>
      <c r="V1864" s="2868" t="s">
        <v>9484</v>
      </c>
      <c r="W1864" s="1876"/>
      <c r="X1864" s="2340" t="str">
        <f t="shared" si="108"/>
        <v>PodHab_Ataqueespecialincrementado</v>
      </c>
      <c r="Y1864" s="2855" t="s">
        <v>9759</v>
      </c>
      <c r="Z1864" s="2852" t="s">
        <v>9760</v>
      </c>
      <c r="AA1864" s="2852" t="s">
        <v>9761</v>
      </c>
      <c r="AB1864" s="2852" t="s">
        <v>9762</v>
      </c>
      <c r="AC1864" s="2852" t="s">
        <v>9763</v>
      </c>
      <c r="AD1864" s="2852" t="s">
        <v>8977</v>
      </c>
      <c r="AE1864" s="1876"/>
      <c r="AF1864" s="1876"/>
      <c r="AG1864" s="1876"/>
      <c r="AH1864" s="2852"/>
      <c r="AI1864" s="2852"/>
      <c r="AJ1864" s="2852"/>
      <c r="AK1864" s="1876"/>
      <c r="AL1864" s="1876"/>
      <c r="AM1864" s="1876"/>
      <c r="AN1864" s="1876"/>
      <c r="AO1864" s="1876"/>
      <c r="AP1864" s="1876"/>
      <c r="AQ1864" s="1876"/>
      <c r="AR1864" s="1876"/>
      <c r="AS1864" s="1876"/>
      <c r="AT1864" s="1876"/>
      <c r="AU1864" s="1876"/>
      <c r="AV1864" s="1876"/>
      <c r="AW1864" s="1876"/>
      <c r="AX1864" s="2852"/>
      <c r="AY1864" s="2852"/>
      <c r="AZ1864" s="2852"/>
      <c r="BA1864" s="2852"/>
      <c r="BB1864" s="2852"/>
      <c r="BC1864" s="2852"/>
      <c r="BD1864" s="2852"/>
      <c r="BE1864" s="2852"/>
      <c r="BF1864" s="2852"/>
      <c r="BG1864" s="2852"/>
      <c r="BH1864" s="2852"/>
      <c r="BI1864" s="2852"/>
      <c r="BJ1864" s="2852"/>
      <c r="BK1864" s="2852"/>
      <c r="BL1864" s="2842"/>
      <c r="BM1864" s="2842"/>
      <c r="BN1864" s="2842"/>
      <c r="BO1864" s="2842"/>
      <c r="BP1864" s="2842"/>
      <c r="BQ1864" s="2842"/>
      <c r="BR1864" s="2842"/>
      <c r="BS1864" s="2842"/>
      <c r="BT1864" s="2842"/>
      <c r="BU1864" s="2842"/>
      <c r="BV1864" s="2842"/>
      <c r="BW1864" s="2842"/>
      <c r="BX1864" s="2842"/>
      <c r="BY1864" s="2842"/>
      <c r="BZ1864" s="2842"/>
      <c r="CA1864" s="2869"/>
    </row>
    <row r="1865" spans="1:79" ht="12.75" customHeight="1" x14ac:dyDescent="0.2">
      <c r="A1865" s="2029">
        <v>211</v>
      </c>
      <c r="B1865" s="4995"/>
      <c r="C1865" s="2813"/>
      <c r="D1865" s="260"/>
      <c r="E1865" s="2816" t="s">
        <v>10310</v>
      </c>
      <c r="F1865" s="218">
        <v>5</v>
      </c>
      <c r="G1865" s="218">
        <v>40</v>
      </c>
      <c r="H1865" s="218">
        <f>COUNTIF(HabilidadesEsenciales_Adquiridas,Tablas!E1865)</f>
        <v>0</v>
      </c>
      <c r="I1865" s="2818">
        <v>1</v>
      </c>
      <c r="J1865" s="422"/>
      <c r="K1865" s="2809"/>
      <c r="M1865" s="1959"/>
      <c r="N1865" s="100"/>
      <c r="O1865" s="468" t="s">
        <v>9859</v>
      </c>
      <c r="P1865" s="2811">
        <v>30</v>
      </c>
      <c r="Q1865" s="575">
        <f>60+IF(OR(TipoDeCriatura="Entre mundos, Elemental",TipoDeCriatura="Ánima, Elemental"),10,0)</f>
        <v>60</v>
      </c>
      <c r="R1865" s="2818">
        <f>COUNTIF(PoderesDeCriatura_Adquiridos,Tablas!O1865)</f>
        <v>0</v>
      </c>
      <c r="S1865" s="422"/>
      <c r="T1865" s="2809"/>
      <c r="V1865" s="2868" t="s">
        <v>9496</v>
      </c>
      <c r="W1865" s="2836"/>
      <c r="X1865" s="2340" t="str">
        <f t="shared" si="108"/>
        <v>PodHab_Ataquemantenido</v>
      </c>
      <c r="Y1865" s="2855" t="s">
        <v>9764</v>
      </c>
      <c r="Z1865" s="2852" t="s">
        <v>9765</v>
      </c>
      <c r="AA1865" s="2852" t="s">
        <v>9766</v>
      </c>
      <c r="AB1865" s="2852" t="s">
        <v>9767</v>
      </c>
      <c r="AC1865" s="2852" t="s">
        <v>9768</v>
      </c>
      <c r="AD1865" s="2852"/>
      <c r="AE1865" s="2852"/>
      <c r="AF1865" s="2852"/>
      <c r="AG1865" s="2852"/>
      <c r="AH1865" s="2852"/>
      <c r="AI1865" s="2852"/>
      <c r="AJ1865" s="2852"/>
      <c r="AK1865" s="1876"/>
      <c r="AL1865" s="1876"/>
      <c r="AM1865" s="1876"/>
      <c r="AN1865" s="1876"/>
      <c r="AO1865" s="1876"/>
      <c r="AP1865" s="1876"/>
      <c r="AQ1865" s="1876"/>
      <c r="AR1865" s="1876"/>
      <c r="AS1865" s="1876"/>
      <c r="AT1865" s="1876"/>
      <c r="AU1865" s="1876"/>
      <c r="AV1865" s="1876"/>
      <c r="AW1865" s="1876"/>
      <c r="AX1865" s="2852"/>
      <c r="AY1865" s="2852"/>
      <c r="AZ1865" s="2852"/>
      <c r="BA1865" s="2852"/>
      <c r="BB1865" s="2852"/>
      <c r="BC1865" s="2852"/>
      <c r="BD1865" s="2852"/>
      <c r="BE1865" s="2852"/>
      <c r="BF1865" s="2852"/>
      <c r="BG1865" s="2852"/>
      <c r="BH1865" s="2852"/>
      <c r="BI1865" s="2852"/>
      <c r="BJ1865" s="2852"/>
      <c r="BK1865" s="2852"/>
      <c r="BL1865" s="2842"/>
      <c r="BM1865" s="2842"/>
      <c r="BN1865" s="2842"/>
      <c r="BO1865" s="2842"/>
      <c r="BP1865" s="2842"/>
      <c r="BQ1865" s="2842"/>
      <c r="BR1865" s="2842"/>
      <c r="BS1865" s="2842"/>
      <c r="BT1865" s="2842"/>
      <c r="BU1865" s="2842"/>
      <c r="BV1865" s="2842"/>
      <c r="BW1865" s="2842"/>
      <c r="BX1865" s="2842"/>
      <c r="BY1865" s="2842"/>
      <c r="BZ1865" s="2842"/>
      <c r="CA1865" s="2869"/>
    </row>
    <row r="1866" spans="1:79" ht="12.75" customHeight="1" x14ac:dyDescent="0.2">
      <c r="A1866" s="2029">
        <v>211</v>
      </c>
      <c r="B1866" s="4995"/>
      <c r="C1866" s="2813"/>
      <c r="D1866" s="260"/>
      <c r="E1866" s="2816" t="s">
        <v>10311</v>
      </c>
      <c r="F1866" s="218">
        <v>15</v>
      </c>
      <c r="G1866" s="218">
        <v>60</v>
      </c>
      <c r="H1866" s="218">
        <f>COUNTIF(HabilidadesEsenciales_Adquiridas,Tablas!E1866)</f>
        <v>0</v>
      </c>
      <c r="I1866" s="2818">
        <v>1</v>
      </c>
      <c r="J1866" s="422"/>
      <c r="K1866" s="2809"/>
      <c r="M1866" s="1959"/>
      <c r="N1866" s="100"/>
      <c r="O1866" s="468" t="s">
        <v>9860</v>
      </c>
      <c r="P1866" s="2811">
        <v>35</v>
      </c>
      <c r="Q1866" s="575">
        <f>80+IF(OR(TipoDeCriatura="Entre mundos, Elemental",TipoDeCriatura="Ánima, Elemental"),10,0)</f>
        <v>80</v>
      </c>
      <c r="R1866" s="2818">
        <f>COUNTIF(PoderesDeCriatura_Adquiridos,Tablas!O1866)</f>
        <v>0</v>
      </c>
      <c r="S1866" s="422"/>
      <c r="T1866" s="2809"/>
      <c r="V1866" s="2868" t="s">
        <v>9494</v>
      </c>
      <c r="W1866" s="2836"/>
      <c r="X1866" s="2340" t="str">
        <f t="shared" si="108"/>
        <v>PodHab_Ataqueretardado</v>
      </c>
      <c r="Y1866" s="2855" t="s">
        <v>9769</v>
      </c>
      <c r="Z1866" s="2852" t="s">
        <v>9770</v>
      </c>
      <c r="AA1866" s="2852" t="s">
        <v>9771</v>
      </c>
      <c r="AB1866" s="2852" t="s">
        <v>9772</v>
      </c>
      <c r="AC1866" s="2852"/>
      <c r="AD1866" s="2852"/>
      <c r="AE1866" s="2852"/>
      <c r="AF1866" s="2852"/>
      <c r="AG1866" s="2852"/>
      <c r="AH1866" s="2852"/>
      <c r="AI1866" s="2852"/>
      <c r="AJ1866" s="2852"/>
      <c r="AK1866" s="1876"/>
      <c r="AL1866" s="1876"/>
      <c r="AM1866" s="1876"/>
      <c r="AN1866" s="1876"/>
      <c r="AO1866" s="1876"/>
      <c r="AP1866" s="1876"/>
      <c r="AQ1866" s="1876"/>
      <c r="AR1866" s="1876"/>
      <c r="AS1866" s="1876"/>
      <c r="AT1866" s="1876"/>
      <c r="AU1866" s="1876"/>
      <c r="AV1866" s="1876"/>
      <c r="AW1866" s="1876"/>
      <c r="AX1866" s="2852"/>
      <c r="AY1866" s="2852"/>
      <c r="AZ1866" s="2852"/>
      <c r="BA1866" s="2852"/>
      <c r="BB1866" s="2852"/>
      <c r="BC1866" s="2852"/>
      <c r="BD1866" s="2852"/>
      <c r="BE1866" s="2852"/>
      <c r="BF1866" s="2852"/>
      <c r="BG1866" s="2852"/>
      <c r="BH1866" s="2852"/>
      <c r="BI1866" s="2852"/>
      <c r="BJ1866" s="2852"/>
      <c r="BK1866" s="2852"/>
      <c r="BL1866" s="2842"/>
      <c r="BM1866" s="2842"/>
      <c r="BN1866" s="2842"/>
      <c r="BO1866" s="2842"/>
      <c r="BP1866" s="2842"/>
      <c r="BQ1866" s="2842"/>
      <c r="BR1866" s="2842"/>
      <c r="BS1866" s="2842"/>
      <c r="BT1866" s="2842"/>
      <c r="BU1866" s="2842"/>
      <c r="BV1866" s="2842"/>
      <c r="BW1866" s="2842"/>
      <c r="BX1866" s="2842"/>
      <c r="BY1866" s="2842"/>
      <c r="BZ1866" s="2842"/>
      <c r="CA1866" s="2869"/>
    </row>
    <row r="1867" spans="1:79" ht="12.75" customHeight="1" x14ac:dyDescent="0.2">
      <c r="A1867" s="2029">
        <v>211</v>
      </c>
      <c r="B1867" s="4995"/>
      <c r="C1867" s="2813"/>
      <c r="D1867" s="260"/>
      <c r="E1867" s="2816" t="s">
        <v>10312</v>
      </c>
      <c r="F1867" s="218">
        <v>20</v>
      </c>
      <c r="G1867" s="218">
        <v>120</v>
      </c>
      <c r="H1867" s="218">
        <f>COUNTIF(HabilidadesEsenciales_Adquiridas,Tablas!E1867)</f>
        <v>0</v>
      </c>
      <c r="I1867" s="2818"/>
      <c r="J1867" s="422"/>
      <c r="K1867" s="2809"/>
      <c r="M1867" s="1959"/>
      <c r="N1867" s="100"/>
      <c r="O1867" s="468" t="s">
        <v>9861</v>
      </c>
      <c r="P1867" s="2811">
        <v>10</v>
      </c>
      <c r="Q1867" s="575">
        <f>5+IF(OR(TipoDeCriatura="Entre mundos, Elemental",TipoDeCriatura="Ánima, Elemental"),5,0)</f>
        <v>5</v>
      </c>
      <c r="R1867" s="2818">
        <f>COUNTIF(PoderesDeCriatura_Adquiridos,Tablas!O1867)</f>
        <v>0</v>
      </c>
      <c r="S1867" s="422"/>
      <c r="T1867" s="2809"/>
      <c r="V1867" s="2868" t="s">
        <v>9480</v>
      </c>
      <c r="W1867" s="2836"/>
      <c r="X1867" s="2340" t="str">
        <f t="shared" si="108"/>
        <v>PodHab_Ataquesmúltiplesaleatorios</v>
      </c>
      <c r="Y1867" s="2855" t="s">
        <v>9773</v>
      </c>
      <c r="Z1867" s="2852" t="s">
        <v>9774</v>
      </c>
      <c r="AA1867" s="2852" t="s">
        <v>9775</v>
      </c>
      <c r="AB1867" s="2852" t="s">
        <v>9747</v>
      </c>
      <c r="AC1867" s="2852" t="s">
        <v>9748</v>
      </c>
      <c r="AD1867" s="2852" t="s">
        <v>9749</v>
      </c>
      <c r="AE1867" s="2852" t="s">
        <v>9776</v>
      </c>
      <c r="AF1867" s="2852"/>
      <c r="AG1867" s="2852"/>
      <c r="AH1867" s="2852"/>
      <c r="AI1867" s="2852" t="s">
        <v>8977</v>
      </c>
      <c r="AJ1867" s="2852" t="s">
        <v>8977</v>
      </c>
      <c r="AK1867" s="1876"/>
      <c r="AL1867" s="1876"/>
      <c r="AM1867" s="1876"/>
      <c r="AN1867" s="1876"/>
      <c r="AO1867" s="1876"/>
      <c r="AP1867" s="1876"/>
      <c r="AQ1867" s="1876"/>
      <c r="AR1867" s="1876"/>
      <c r="AS1867" s="1876"/>
      <c r="AT1867" s="1876"/>
      <c r="AU1867" s="1876"/>
      <c r="AV1867" s="1876"/>
      <c r="AW1867" s="1876"/>
      <c r="AX1867" s="2852"/>
      <c r="AY1867" s="2852"/>
      <c r="AZ1867" s="2852"/>
      <c r="BA1867" s="2852"/>
      <c r="BB1867" s="2852"/>
      <c r="BC1867" s="2852"/>
      <c r="BD1867" s="2852"/>
      <c r="BE1867" s="2852"/>
      <c r="BF1867" s="2852"/>
      <c r="BG1867" s="2852"/>
      <c r="BH1867" s="2852"/>
      <c r="BI1867" s="2852"/>
      <c r="BJ1867" s="2852"/>
      <c r="BK1867" s="2852"/>
      <c r="BL1867" s="2842"/>
      <c r="BM1867" s="2842"/>
      <c r="BN1867" s="2842"/>
      <c r="BO1867" s="2842"/>
      <c r="BP1867" s="2842"/>
      <c r="BQ1867" s="2842"/>
      <c r="BR1867" s="2842"/>
      <c r="BS1867" s="2842"/>
      <c r="BT1867" s="2842"/>
      <c r="BU1867" s="2842"/>
      <c r="BV1867" s="2842"/>
      <c r="BW1867" s="2842"/>
      <c r="BX1867" s="2842"/>
      <c r="BY1867" s="2842"/>
      <c r="BZ1867" s="2842"/>
      <c r="CA1867" s="2869"/>
    </row>
    <row r="1868" spans="1:79" ht="12.75" customHeight="1" x14ac:dyDescent="0.2">
      <c r="A1868" s="2029">
        <v>211</v>
      </c>
      <c r="B1868" s="4995"/>
      <c r="C1868" s="2813"/>
      <c r="D1868" s="260"/>
      <c r="E1868" s="2816" t="s">
        <v>10313</v>
      </c>
      <c r="F1868" s="218">
        <v>25</v>
      </c>
      <c r="G1868" s="218">
        <v>180</v>
      </c>
      <c r="H1868" s="218">
        <f>COUNTIF(HabilidadesEsenciales_Adquiridas,Tablas!E1868)</f>
        <v>0</v>
      </c>
      <c r="I1868" s="2818"/>
      <c r="J1868" s="422"/>
      <c r="K1868" s="2809"/>
      <c r="M1868" s="1959"/>
      <c r="N1868" s="100"/>
      <c r="O1868" s="468" t="s">
        <v>9862</v>
      </c>
      <c r="P1868" s="2811">
        <v>20</v>
      </c>
      <c r="Q1868" s="575">
        <f>60+IF(OR(TipoDeCriatura="Entre mundos, Elemental",TipoDeCriatura="Ánima, Elemental"),10,0)</f>
        <v>60</v>
      </c>
      <c r="R1868" s="2818">
        <f>COUNTIF(PoderesDeCriatura_Adquiridos,Tablas!O1868)</f>
        <v>0</v>
      </c>
      <c r="S1868" s="422"/>
      <c r="T1868" s="2809"/>
      <c r="V1868" s="2868" t="s">
        <v>9481</v>
      </c>
      <c r="W1868" s="2852"/>
      <c r="X1868" s="2340" t="str">
        <f t="shared" si="108"/>
        <v/>
      </c>
      <c r="Y1868" s="2855" t="s">
        <v>8977</v>
      </c>
      <c r="Z1868" s="2852"/>
      <c r="AA1868" s="2852"/>
      <c r="AB1868" s="2852"/>
      <c r="AC1868" s="2852"/>
      <c r="AD1868" s="2852"/>
      <c r="AE1868" s="2852"/>
      <c r="AF1868" s="2852"/>
      <c r="AG1868" s="2852"/>
      <c r="AH1868" s="2852"/>
      <c r="AI1868" s="2852"/>
      <c r="AJ1868" s="2852"/>
      <c r="AK1868" s="1876"/>
      <c r="AL1868" s="1876"/>
      <c r="AM1868" s="1876"/>
      <c r="AN1868" s="1876"/>
      <c r="AO1868" s="1876"/>
      <c r="AP1868" s="1876"/>
      <c r="AQ1868" s="1876"/>
      <c r="AR1868" s="1876"/>
      <c r="AS1868" s="1876"/>
      <c r="AT1868" s="1876"/>
      <c r="AU1868" s="1876"/>
      <c r="AV1868" s="1876"/>
      <c r="AW1868" s="1876"/>
      <c r="AX1868" s="2852"/>
      <c r="AY1868" s="2852"/>
      <c r="AZ1868" s="2852"/>
      <c r="BA1868" s="2852"/>
      <c r="BB1868" s="2852"/>
      <c r="BC1868" s="2852"/>
      <c r="BD1868" s="2852"/>
      <c r="BE1868" s="2852"/>
      <c r="BF1868" s="2852"/>
      <c r="BG1868" s="2852"/>
      <c r="BH1868" s="2852"/>
      <c r="BI1868" s="2852"/>
      <c r="BJ1868" s="2852"/>
      <c r="BK1868" s="2852"/>
      <c r="BL1868" s="2842"/>
      <c r="BM1868" s="2842"/>
      <c r="BN1868" s="2842"/>
      <c r="BO1868" s="2842"/>
      <c r="BP1868" s="2842"/>
      <c r="BQ1868" s="2842"/>
      <c r="BR1868" s="2842"/>
      <c r="BS1868" s="2842"/>
      <c r="BT1868" s="2842"/>
      <c r="BU1868" s="2842"/>
      <c r="BV1868" s="2842"/>
      <c r="BW1868" s="2842"/>
      <c r="BX1868" s="2842"/>
      <c r="BY1868" s="2842"/>
      <c r="BZ1868" s="2842"/>
      <c r="CA1868" s="2869"/>
    </row>
    <row r="1869" spans="1:79" ht="12.75" customHeight="1" x14ac:dyDescent="0.2">
      <c r="A1869" s="2029">
        <v>211</v>
      </c>
      <c r="B1869" s="4995"/>
      <c r="C1869" s="2813"/>
      <c r="D1869" s="260"/>
      <c r="E1869" s="2816" t="s">
        <v>2791</v>
      </c>
      <c r="F1869" s="218">
        <v>0</v>
      </c>
      <c r="G1869" s="218">
        <v>10</v>
      </c>
      <c r="H1869" s="218">
        <f>COUNTIF(HabilidadesEsenciales_Adquiridas,Tablas!E1869)</f>
        <v>0</v>
      </c>
      <c r="I1869" s="2818">
        <v>1</v>
      </c>
      <c r="J1869" s="422"/>
      <c r="K1869" s="2809"/>
      <c r="M1869" s="1959"/>
      <c r="N1869" s="100"/>
      <c r="O1869" s="468" t="s">
        <v>9863</v>
      </c>
      <c r="P1869" s="2811">
        <v>5</v>
      </c>
      <c r="Q1869" s="575">
        <v>-10</v>
      </c>
      <c r="R1869" s="2818">
        <f>COUNTIF(PoderesDeCriatura_Adquiridos,Tablas!O1869)</f>
        <v>0</v>
      </c>
      <c r="S1869" s="422"/>
      <c r="T1869" s="2809"/>
      <c r="V1869" s="2868" t="s">
        <v>9478</v>
      </c>
      <c r="W1869" s="2852"/>
      <c r="X1869" s="2340" t="str">
        <f t="shared" si="108"/>
        <v/>
      </c>
      <c r="Y1869" s="2855"/>
      <c r="Z1869" s="2852"/>
      <c r="AA1869" s="2852"/>
      <c r="AB1869" s="2852"/>
      <c r="AC1869" s="2852"/>
      <c r="AD1869" s="2852"/>
      <c r="AE1869" s="2852"/>
      <c r="AF1869" s="2852"/>
      <c r="AG1869" s="2852"/>
      <c r="AH1869" s="2852"/>
      <c r="AI1869" s="2852"/>
      <c r="AJ1869" s="2852"/>
      <c r="AK1869" s="1876"/>
      <c r="AL1869" s="1876"/>
      <c r="AM1869" s="1876"/>
      <c r="AN1869" s="1876"/>
      <c r="AO1869" s="1876"/>
      <c r="AP1869" s="1876"/>
      <c r="AQ1869" s="1876"/>
      <c r="AR1869" s="1876"/>
      <c r="AS1869" s="1876"/>
      <c r="AT1869" s="1876"/>
      <c r="AU1869" s="1876"/>
      <c r="AV1869" s="1876"/>
      <c r="AW1869" s="1876"/>
      <c r="AX1869" s="2852"/>
      <c r="AY1869" s="2852"/>
      <c r="AZ1869" s="2852"/>
      <c r="BA1869" s="2852"/>
      <c r="BB1869" s="2852"/>
      <c r="BC1869" s="2852"/>
      <c r="BD1869" s="2852"/>
      <c r="BE1869" s="2852"/>
      <c r="BF1869" s="2852"/>
      <c r="BG1869" s="2852"/>
      <c r="BH1869" s="2852"/>
      <c r="BI1869" s="2852"/>
      <c r="BJ1869" s="2852"/>
      <c r="BK1869" s="2852"/>
      <c r="BL1869" s="2842"/>
      <c r="BM1869" s="2842"/>
      <c r="BN1869" s="2842"/>
      <c r="BO1869" s="2842"/>
      <c r="BP1869" s="2842"/>
      <c r="BQ1869" s="2842"/>
      <c r="BR1869" s="2842"/>
      <c r="BS1869" s="2842"/>
      <c r="BT1869" s="2842"/>
      <c r="BU1869" s="2842"/>
      <c r="BV1869" s="2842"/>
      <c r="BW1869" s="2842"/>
      <c r="BX1869" s="2842"/>
      <c r="BY1869" s="2842"/>
      <c r="BZ1869" s="2842"/>
      <c r="CA1869" s="2869"/>
    </row>
    <row r="1870" spans="1:79" ht="12.75" customHeight="1" x14ac:dyDescent="0.2">
      <c r="A1870" s="2029">
        <v>211</v>
      </c>
      <c r="B1870" s="4995"/>
      <c r="C1870" s="2813"/>
      <c r="D1870" s="260"/>
      <c r="E1870" s="2816" t="s">
        <v>2792</v>
      </c>
      <c r="F1870" s="218">
        <v>0</v>
      </c>
      <c r="G1870" s="218">
        <v>10</v>
      </c>
      <c r="H1870" s="218">
        <f>COUNTIF(HabilidadesEsenciales_Adquiridas,Tablas!E1870)</f>
        <v>0</v>
      </c>
      <c r="I1870" s="2818">
        <v>1</v>
      </c>
      <c r="J1870" s="422">
        <f t="array" ref="J1870">MAX({1;2;3;4;5;-1;-2;-3;-4;-5}*H1869:H1878)</f>
        <v>0</v>
      </c>
      <c r="K1870" s="2809" t="s">
        <v>2246</v>
      </c>
      <c r="M1870" s="1959"/>
      <c r="N1870" s="100"/>
      <c r="O1870" s="468" t="s">
        <v>9864</v>
      </c>
      <c r="P1870" s="2811">
        <v>5</v>
      </c>
      <c r="Q1870" s="575">
        <v>-20</v>
      </c>
      <c r="R1870" s="2818">
        <f>COUNTIF(PoderesDeCriatura_Adquiridos,Tablas!O1870)</f>
        <v>0</v>
      </c>
      <c r="S1870" s="422"/>
      <c r="T1870" s="2809"/>
      <c r="V1870" s="2868" t="s">
        <v>2644</v>
      </c>
      <c r="W1870" s="2836"/>
      <c r="X1870" s="2340" t="str">
        <f t="shared" si="108"/>
        <v>PodHab_Escudo</v>
      </c>
      <c r="Y1870" s="2855" t="s">
        <v>2646</v>
      </c>
      <c r="Z1870" s="2852" t="s">
        <v>2645</v>
      </c>
      <c r="AA1870" s="2852" t="s">
        <v>2643</v>
      </c>
      <c r="AB1870" s="2852" t="s">
        <v>9777</v>
      </c>
      <c r="AC1870" s="2852" t="s">
        <v>9778</v>
      </c>
      <c r="AD1870" s="2852" t="s">
        <v>9779</v>
      </c>
      <c r="AE1870" s="2852" t="s">
        <v>9780</v>
      </c>
      <c r="AF1870" s="2852" t="s">
        <v>9781</v>
      </c>
      <c r="AG1870" s="2852"/>
      <c r="AH1870" s="2852"/>
      <c r="AI1870" s="2852"/>
      <c r="AJ1870" s="2852"/>
      <c r="AK1870" s="1876"/>
      <c r="AL1870" s="1876"/>
      <c r="AM1870" s="1876"/>
      <c r="AN1870" s="1876"/>
      <c r="AO1870" s="1876"/>
      <c r="AP1870" s="1876"/>
      <c r="AQ1870" s="1876"/>
      <c r="AR1870" s="1876"/>
      <c r="AS1870" s="1876"/>
      <c r="AT1870" s="1876"/>
      <c r="AU1870" s="1876"/>
      <c r="AV1870" s="1876"/>
      <c r="AW1870" s="1876"/>
      <c r="AX1870" s="2852"/>
      <c r="AY1870" s="2852"/>
      <c r="AZ1870" s="2852"/>
      <c r="BA1870" s="2852"/>
      <c r="BB1870" s="2852"/>
      <c r="BC1870" s="2852"/>
      <c r="BD1870" s="2852"/>
      <c r="BE1870" s="2852"/>
      <c r="BF1870" s="2852"/>
      <c r="BG1870" s="2852"/>
      <c r="BH1870" s="2852"/>
      <c r="BI1870" s="2852"/>
      <c r="BJ1870" s="2852"/>
      <c r="BK1870" s="2852"/>
      <c r="BL1870" s="2842"/>
      <c r="BM1870" s="2842"/>
      <c r="BN1870" s="2842"/>
      <c r="BO1870" s="2842"/>
      <c r="BP1870" s="2842"/>
      <c r="BQ1870" s="2842"/>
      <c r="BR1870" s="2842"/>
      <c r="BS1870" s="2842"/>
      <c r="BT1870" s="2842"/>
      <c r="BU1870" s="2842"/>
      <c r="BV1870" s="2842"/>
      <c r="BW1870" s="2842"/>
      <c r="BX1870" s="2842"/>
      <c r="BY1870" s="2842"/>
      <c r="BZ1870" s="2842"/>
      <c r="CA1870" s="2869"/>
    </row>
    <row r="1871" spans="1:79" ht="12.75" customHeight="1" x14ac:dyDescent="0.2">
      <c r="A1871" s="2029">
        <v>211</v>
      </c>
      <c r="B1871" s="4995"/>
      <c r="C1871" s="2813"/>
      <c r="D1871" s="260"/>
      <c r="E1871" s="2816" t="s">
        <v>2793</v>
      </c>
      <c r="F1871" s="218">
        <v>0</v>
      </c>
      <c r="G1871" s="218">
        <v>10</v>
      </c>
      <c r="H1871" s="218">
        <f>COUNTIF(HabilidadesEsenciales_Adquiridas,Tablas!E1871)</f>
        <v>0</v>
      </c>
      <c r="I1871" s="2818">
        <v>1</v>
      </c>
      <c r="J1871" s="422"/>
      <c r="K1871" s="2809"/>
      <c r="M1871" s="1959"/>
      <c r="N1871" s="100"/>
      <c r="O1871" s="468" t="s">
        <v>9865</v>
      </c>
      <c r="P1871" s="2811">
        <v>5</v>
      </c>
      <c r="Q1871" s="575">
        <v>-30</v>
      </c>
      <c r="R1871" s="2818">
        <f>COUNTIF(PoderesDeCriatura_Adquiridos,Tablas!O1871)</f>
        <v>0</v>
      </c>
      <c r="S1871" s="422"/>
      <c r="T1871" s="2809"/>
      <c r="V1871" s="2868" t="s">
        <v>9483</v>
      </c>
      <c r="W1871" s="2852"/>
      <c r="X1871" s="2340" t="str">
        <f t="shared" si="108"/>
        <v/>
      </c>
      <c r="Y1871" s="2855"/>
      <c r="Z1871" s="2852"/>
      <c r="AA1871" s="2852"/>
      <c r="AB1871" s="2852"/>
      <c r="AC1871" s="2852"/>
      <c r="AD1871" s="2852"/>
      <c r="AE1871" s="2852"/>
      <c r="AF1871" s="2852"/>
      <c r="AG1871" s="2852"/>
      <c r="AH1871" s="2852"/>
      <c r="AI1871" s="2852" t="s">
        <v>8977</v>
      </c>
      <c r="AJ1871" s="2852" t="s">
        <v>8977</v>
      </c>
      <c r="AK1871" s="1876"/>
      <c r="AL1871" s="1876"/>
      <c r="AM1871" s="1876"/>
      <c r="AN1871" s="1876"/>
      <c r="AO1871" s="1876"/>
      <c r="AP1871" s="1876"/>
      <c r="AQ1871" s="1876"/>
      <c r="AR1871" s="1876"/>
      <c r="AS1871" s="1876"/>
      <c r="AT1871" s="1876"/>
      <c r="AU1871" s="1876"/>
      <c r="AV1871" s="1876"/>
      <c r="AW1871" s="1876"/>
      <c r="AX1871" s="2852"/>
      <c r="AY1871" s="2852"/>
      <c r="AZ1871" s="2852"/>
      <c r="BA1871" s="2852"/>
      <c r="BB1871" s="2852"/>
      <c r="BC1871" s="2852"/>
      <c r="BD1871" s="2852"/>
      <c r="BE1871" s="2852"/>
      <c r="BF1871" s="2852"/>
      <c r="BG1871" s="2852"/>
      <c r="BH1871" s="2852"/>
      <c r="BI1871" s="2852"/>
      <c r="BJ1871" s="2852"/>
      <c r="BK1871" s="2852"/>
      <c r="BL1871" s="2842"/>
      <c r="BM1871" s="2842"/>
      <c r="BN1871" s="2842"/>
      <c r="BO1871" s="2842"/>
      <c r="BP1871" s="2842"/>
      <c r="BQ1871" s="2842"/>
      <c r="BR1871" s="2842"/>
      <c r="BS1871" s="2842"/>
      <c r="BT1871" s="2842"/>
      <c r="BU1871" s="2842"/>
      <c r="BV1871" s="2842"/>
      <c r="BW1871" s="2842"/>
      <c r="BX1871" s="2842"/>
      <c r="BY1871" s="2842"/>
      <c r="BZ1871" s="2842"/>
      <c r="CA1871" s="2869"/>
    </row>
    <row r="1872" spans="1:79" ht="12.75" customHeight="1" x14ac:dyDescent="0.2">
      <c r="A1872" s="2029">
        <v>211</v>
      </c>
      <c r="B1872" s="4995"/>
      <c r="C1872" s="2813"/>
      <c r="D1872" s="260"/>
      <c r="E1872" s="2816" t="s">
        <v>2794</v>
      </c>
      <c r="F1872" s="218">
        <v>0</v>
      </c>
      <c r="G1872" s="218">
        <v>10</v>
      </c>
      <c r="H1872" s="218">
        <f>COUNTIF(HabilidadesEsenciales_Adquiridas,Tablas!E1872)</f>
        <v>0</v>
      </c>
      <c r="I1872" s="2818">
        <v>1</v>
      </c>
      <c r="J1872" s="422"/>
      <c r="K1872" s="2809"/>
      <c r="M1872" s="1959"/>
      <c r="N1872" s="100"/>
      <c r="O1872" s="468" t="s">
        <v>9866</v>
      </c>
      <c r="P1872" s="2811">
        <v>5</v>
      </c>
      <c r="Q1872" s="575">
        <v>-40</v>
      </c>
      <c r="R1872" s="2818">
        <f>COUNTIF(PoderesDeCriatura_Adquiridos,Tablas!O1872)</f>
        <v>0</v>
      </c>
      <c r="S1872" s="422"/>
      <c r="T1872" s="2809"/>
      <c r="V1872" s="2868" t="s">
        <v>9477</v>
      </c>
      <c r="W1872" s="2852" t="str">
        <f>MID(INDEX(Lista_PoderesCriatura,MATCH($V1867&amp;"*",Lista_PoderesCriatura,0)-1+Tablas!N$1),LEN($V1867)+3,200)</f>
        <v/>
      </c>
      <c r="X1872" s="2340" t="str">
        <f t="shared" si="108"/>
        <v/>
      </c>
      <c r="Y1872" s="2855" t="s">
        <v>8977</v>
      </c>
      <c r="Z1872" s="2852" t="s">
        <v>8977</v>
      </c>
      <c r="AA1872" s="2852"/>
      <c r="AB1872" s="2852"/>
      <c r="AC1872" s="2852"/>
      <c r="AD1872" s="2852"/>
      <c r="AE1872" s="2852"/>
      <c r="AF1872" s="2852"/>
      <c r="AG1872" s="2852"/>
      <c r="AH1872" s="2852"/>
      <c r="AI1872" s="2852"/>
      <c r="AJ1872" s="2852"/>
      <c r="AK1872" s="1876"/>
      <c r="AL1872" s="1876"/>
      <c r="AM1872" s="1876"/>
      <c r="AN1872" s="1876"/>
      <c r="AO1872" s="1876"/>
      <c r="AP1872" s="1876"/>
      <c r="AQ1872" s="1876"/>
      <c r="AR1872" s="1876"/>
      <c r="AS1872" s="1876"/>
      <c r="AT1872" s="1876"/>
      <c r="AU1872" s="1876"/>
      <c r="AV1872" s="1876"/>
      <c r="AW1872" s="1876"/>
      <c r="AX1872" s="2852"/>
      <c r="AY1872" s="2852"/>
      <c r="AZ1872" s="2852"/>
      <c r="BA1872" s="2852"/>
      <c r="BB1872" s="2852"/>
      <c r="BC1872" s="2852"/>
      <c r="BD1872" s="2852"/>
      <c r="BE1872" s="2852"/>
      <c r="BF1872" s="2852"/>
      <c r="BG1872" s="2852"/>
      <c r="BH1872" s="2852"/>
      <c r="BI1872" s="2852"/>
      <c r="BJ1872" s="2852"/>
      <c r="BK1872" s="2852"/>
      <c r="BL1872" s="2842"/>
      <c r="BM1872" s="2842"/>
      <c r="BN1872" s="2842"/>
      <c r="BO1872" s="2842"/>
      <c r="BP1872" s="2842"/>
      <c r="BQ1872" s="2842"/>
      <c r="BR1872" s="2842"/>
      <c r="BS1872" s="2842"/>
      <c r="BT1872" s="2842"/>
      <c r="BU1872" s="2842"/>
      <c r="BV1872" s="2842"/>
      <c r="BW1872" s="2842"/>
      <c r="BX1872" s="2842"/>
      <c r="BY1872" s="2842"/>
      <c r="BZ1872" s="2842"/>
      <c r="CA1872" s="2869"/>
    </row>
    <row r="1873" spans="1:79" ht="12.75" customHeight="1" x14ac:dyDescent="0.2">
      <c r="A1873" s="2029">
        <v>211</v>
      </c>
      <c r="B1873" s="4995"/>
      <c r="C1873" s="2813"/>
      <c r="D1873" s="260"/>
      <c r="E1873" s="2816" t="s">
        <v>2795</v>
      </c>
      <c r="F1873" s="218">
        <v>0</v>
      </c>
      <c r="G1873" s="218">
        <v>10</v>
      </c>
      <c r="H1873" s="218">
        <f>COUNTIF(HabilidadesEsenciales_Adquiridas,Tablas!E1873)</f>
        <v>0</v>
      </c>
      <c r="I1873" s="2818">
        <v>1</v>
      </c>
      <c r="J1873" s="422"/>
      <c r="K1873" s="2809"/>
      <c r="M1873" s="1959"/>
      <c r="N1873" s="100"/>
      <c r="O1873" s="468" t="s">
        <v>9867</v>
      </c>
      <c r="P1873" s="2827">
        <v>5</v>
      </c>
      <c r="Q1873" s="2695">
        <v>-50</v>
      </c>
      <c r="R1873" s="2818">
        <f>COUNTIF(PoderesDeCriatura_Adquiridos,Tablas!O1873)</f>
        <v>0</v>
      </c>
      <c r="S1873" s="422"/>
      <c r="T1873" s="2809"/>
      <c r="V1873" s="2868" t="s">
        <v>9214</v>
      </c>
      <c r="W1873" s="2836"/>
      <c r="X1873" s="2340" t="str">
        <f t="shared" si="108"/>
        <v>PodHab_Imparable</v>
      </c>
      <c r="Y1873" s="2855" t="s">
        <v>9782</v>
      </c>
      <c r="Z1873" s="2852" t="s">
        <v>9783</v>
      </c>
      <c r="AA1873" s="2852" t="s">
        <v>9784</v>
      </c>
      <c r="AB1873" s="2852"/>
      <c r="AC1873" s="2852"/>
      <c r="AD1873" s="2852"/>
      <c r="AE1873" s="2852"/>
      <c r="AF1873" s="2852"/>
      <c r="AG1873" s="2852"/>
      <c r="AH1873" s="2852"/>
      <c r="AI1873" s="2852"/>
      <c r="AJ1873" s="2852"/>
      <c r="AK1873" s="1876"/>
      <c r="AL1873" s="1876"/>
      <c r="AM1873" s="1876"/>
      <c r="AN1873" s="1876"/>
      <c r="AO1873" s="1876"/>
      <c r="AP1873" s="1876"/>
      <c r="AQ1873" s="1876"/>
      <c r="AR1873" s="1876"/>
      <c r="AS1873" s="1876"/>
      <c r="AT1873" s="1876"/>
      <c r="AU1873" s="1876"/>
      <c r="AV1873" s="1876"/>
      <c r="AW1873" s="1876"/>
      <c r="AX1873" s="2852"/>
      <c r="AY1873" s="2852"/>
      <c r="AZ1873" s="2852"/>
      <c r="BA1873" s="2852"/>
      <c r="BB1873" s="2852"/>
      <c r="BC1873" s="2852"/>
      <c r="BD1873" s="2852"/>
      <c r="BE1873" s="2852"/>
      <c r="BF1873" s="2852"/>
      <c r="BG1873" s="2852"/>
      <c r="BH1873" s="2852"/>
      <c r="BI1873" s="2852"/>
      <c r="BJ1873" s="2852"/>
      <c r="BK1873" s="2852"/>
      <c r="BL1873" s="2842"/>
      <c r="BM1873" s="2842"/>
      <c r="BN1873" s="2842"/>
      <c r="BO1873" s="2842"/>
      <c r="BP1873" s="2842"/>
      <c r="BQ1873" s="2842"/>
      <c r="BR1873" s="2842"/>
      <c r="BS1873" s="2842"/>
      <c r="BT1873" s="2842"/>
      <c r="BU1873" s="2842"/>
      <c r="BV1873" s="2842"/>
      <c r="BW1873" s="2842"/>
      <c r="BX1873" s="2842"/>
      <c r="BY1873" s="2842"/>
      <c r="BZ1873" s="2842"/>
      <c r="CA1873" s="2869"/>
    </row>
    <row r="1874" spans="1:79" ht="12.75" customHeight="1" x14ac:dyDescent="0.2">
      <c r="A1874" s="2029">
        <v>211</v>
      </c>
      <c r="B1874" s="4995"/>
      <c r="C1874" s="2813"/>
      <c r="D1874" s="260"/>
      <c r="E1874" s="2816" t="s">
        <v>2796</v>
      </c>
      <c r="F1874" s="218">
        <v>0</v>
      </c>
      <c r="G1874" s="218">
        <v>10</v>
      </c>
      <c r="H1874" s="218">
        <f>COUNTIF(HabilidadesEsenciales_Adquiridas,Tablas!E1874)</f>
        <v>0</v>
      </c>
      <c r="I1874" s="2818">
        <v>1</v>
      </c>
      <c r="J1874" s="422"/>
      <c r="K1874" s="2809"/>
      <c r="M1874" s="1959"/>
      <c r="N1874" s="100"/>
      <c r="O1874" s="2825" t="s">
        <v>9868</v>
      </c>
      <c r="P1874" s="2811">
        <v>0</v>
      </c>
      <c r="Q1874" s="575">
        <v>10</v>
      </c>
      <c r="R1874" s="2818">
        <f>COUNTIF(PoderesDeCriatura_Adquiridos,Tablas!O1874)</f>
        <v>0</v>
      </c>
      <c r="S1874" s="422"/>
      <c r="T1874" s="2809"/>
      <c r="V1874" s="2868" t="s">
        <v>9482</v>
      </c>
      <c r="W1874" s="2836"/>
      <c r="X1874" s="2340" t="str">
        <f t="shared" si="108"/>
        <v>PodHab_Reduccióndedaño</v>
      </c>
      <c r="Y1874" s="2855" t="s">
        <v>9785</v>
      </c>
      <c r="Z1874" s="2852" t="s">
        <v>9786</v>
      </c>
      <c r="AA1874" s="2852" t="s">
        <v>9787</v>
      </c>
      <c r="AB1874" s="2852" t="s">
        <v>9788</v>
      </c>
      <c r="AC1874" s="2852" t="s">
        <v>9789</v>
      </c>
      <c r="AD1874" s="2852" t="s">
        <v>9790</v>
      </c>
      <c r="AE1874" s="2852"/>
      <c r="AF1874" s="2852"/>
      <c r="AG1874" s="2852"/>
      <c r="AH1874" s="2852"/>
      <c r="AI1874" s="2852"/>
      <c r="AJ1874" s="2852"/>
      <c r="AK1874" s="1876"/>
      <c r="AL1874" s="1876"/>
      <c r="AM1874" s="1876"/>
      <c r="AN1874" s="1876"/>
      <c r="AO1874" s="1876"/>
      <c r="AP1874" s="1876"/>
      <c r="AQ1874" s="1876"/>
      <c r="AR1874" s="1876"/>
      <c r="AS1874" s="1876"/>
      <c r="AT1874" s="1876"/>
      <c r="AU1874" s="1876"/>
      <c r="AV1874" s="1876"/>
      <c r="AW1874" s="1876"/>
      <c r="AX1874" s="2852"/>
      <c r="AY1874" s="2852"/>
      <c r="AZ1874" s="2852"/>
      <c r="BA1874" s="2852"/>
      <c r="BB1874" s="2852"/>
      <c r="BC1874" s="2852"/>
      <c r="BD1874" s="2852"/>
      <c r="BE1874" s="2852"/>
      <c r="BF1874" s="2852"/>
      <c r="BG1874" s="2852"/>
      <c r="BH1874" s="2852"/>
      <c r="BI1874" s="2852"/>
      <c r="BJ1874" s="2852"/>
      <c r="BK1874" s="2852"/>
      <c r="BL1874" s="2842"/>
      <c r="BM1874" s="2842"/>
      <c r="BN1874" s="2842"/>
      <c r="BO1874" s="2842"/>
      <c r="BP1874" s="2842"/>
      <c r="BQ1874" s="2842"/>
      <c r="BR1874" s="2842"/>
      <c r="BS1874" s="2842"/>
      <c r="BT1874" s="2842"/>
      <c r="BU1874" s="2842"/>
      <c r="BV1874" s="2842"/>
      <c r="BW1874" s="2842"/>
      <c r="BX1874" s="2842"/>
      <c r="BY1874" s="2842"/>
      <c r="BZ1874" s="2842"/>
      <c r="CA1874" s="2869"/>
    </row>
    <row r="1875" spans="1:79" ht="12.75" customHeight="1" x14ac:dyDescent="0.2">
      <c r="A1875" s="2029">
        <v>211</v>
      </c>
      <c r="B1875" s="4995"/>
      <c r="C1875" s="2813"/>
      <c r="D1875" s="260"/>
      <c r="E1875" s="2816" t="s">
        <v>2797</v>
      </c>
      <c r="F1875" s="218">
        <v>0</v>
      </c>
      <c r="G1875" s="218">
        <v>10</v>
      </c>
      <c r="H1875" s="218">
        <f>COUNTIF(HabilidadesEsenciales_Adquiridas,Tablas!E1875)</f>
        <v>0</v>
      </c>
      <c r="I1875" s="2818">
        <v>1</v>
      </c>
      <c r="J1875" s="422"/>
      <c r="K1875" s="2809"/>
      <c r="M1875" s="1959"/>
      <c r="N1875" s="100"/>
      <c r="O1875" s="2825" t="s">
        <v>9869</v>
      </c>
      <c r="P1875" s="2811">
        <v>0</v>
      </c>
      <c r="Q1875" s="575">
        <v>20</v>
      </c>
      <c r="R1875" s="2818">
        <f>COUNTIF(PoderesDeCriatura_Adquiridos,Tablas!O1875)</f>
        <v>0</v>
      </c>
      <c r="S1875" s="422"/>
      <c r="T1875" s="2809"/>
      <c r="V1875" s="2868" t="s">
        <v>9497</v>
      </c>
      <c r="W1875" s="2836"/>
      <c r="X1875" s="2340" t="str">
        <f t="shared" si="108"/>
        <v>PodHab_Reflejarataques</v>
      </c>
      <c r="Y1875" s="2855" t="s">
        <v>1422</v>
      </c>
      <c r="Z1875" s="2852" t="s">
        <v>9791</v>
      </c>
      <c r="AA1875" s="2852" t="s">
        <v>9792</v>
      </c>
      <c r="AB1875" s="2852" t="s">
        <v>9793</v>
      </c>
      <c r="AC1875" s="2852"/>
      <c r="AD1875" s="2852"/>
      <c r="AE1875" s="2852"/>
      <c r="AF1875" s="2852"/>
      <c r="AG1875" s="2852"/>
      <c r="AH1875" s="2852"/>
      <c r="AI1875" s="2852"/>
      <c r="AJ1875" s="2852"/>
      <c r="AK1875" s="1876"/>
      <c r="AL1875" s="1876"/>
      <c r="AM1875" s="1876"/>
      <c r="AN1875" s="1876"/>
      <c r="AO1875" s="1876"/>
      <c r="AP1875" s="1876"/>
      <c r="AQ1875" s="1876"/>
      <c r="AR1875" s="1876"/>
      <c r="AS1875" s="1876"/>
      <c r="AT1875" s="1876"/>
      <c r="AU1875" s="1876"/>
      <c r="AV1875" s="1876"/>
      <c r="AW1875" s="1876"/>
      <c r="AX1875" s="2852"/>
      <c r="AY1875" s="2852"/>
      <c r="AZ1875" s="2852"/>
      <c r="BA1875" s="2852"/>
      <c r="BB1875" s="2852"/>
      <c r="BC1875" s="2852"/>
      <c r="BD1875" s="2852"/>
      <c r="BE1875" s="2852"/>
      <c r="BF1875" s="2852"/>
      <c r="BG1875" s="2852"/>
      <c r="BH1875" s="2852"/>
      <c r="BI1875" s="2852"/>
      <c r="BJ1875" s="2852"/>
      <c r="BK1875" s="2852"/>
      <c r="BL1875" s="2842"/>
      <c r="BM1875" s="2842"/>
      <c r="BN1875" s="2842"/>
      <c r="BO1875" s="2842"/>
      <c r="BP1875" s="2842"/>
      <c r="BQ1875" s="2842"/>
      <c r="BR1875" s="2842"/>
      <c r="BS1875" s="2842"/>
      <c r="BT1875" s="2842"/>
      <c r="BU1875" s="2842"/>
      <c r="BV1875" s="2842"/>
      <c r="BW1875" s="2842"/>
      <c r="BX1875" s="2842"/>
      <c r="BY1875" s="2842"/>
      <c r="BZ1875" s="2842"/>
      <c r="CA1875" s="2869"/>
    </row>
    <row r="1876" spans="1:79" ht="12.75" customHeight="1" x14ac:dyDescent="0.2">
      <c r="A1876" s="2029">
        <v>211</v>
      </c>
      <c r="B1876" s="4995"/>
      <c r="C1876" s="2813"/>
      <c r="D1876" s="260"/>
      <c r="E1876" s="2816" t="s">
        <v>2798</v>
      </c>
      <c r="F1876" s="218">
        <v>0</v>
      </c>
      <c r="G1876" s="218">
        <v>10</v>
      </c>
      <c r="H1876" s="218">
        <f>COUNTIF(HabilidadesEsenciales_Adquiridas,Tablas!E1876)</f>
        <v>0</v>
      </c>
      <c r="I1876" s="2818">
        <v>1</v>
      </c>
      <c r="J1876" s="422"/>
      <c r="K1876" s="2809"/>
      <c r="M1876" s="1959"/>
      <c r="N1876" s="100"/>
      <c r="O1876" s="2825" t="s">
        <v>9870</v>
      </c>
      <c r="P1876" s="2811">
        <v>0</v>
      </c>
      <c r="Q1876" s="575">
        <v>30</v>
      </c>
      <c r="R1876" s="2818">
        <f>COUNTIF(PoderesDeCriatura_Adquiridos,Tablas!O1876)</f>
        <v>0</v>
      </c>
      <c r="S1876" s="422"/>
      <c r="T1876" s="2809"/>
      <c r="V1876" s="2868" t="s">
        <v>1895</v>
      </c>
      <c r="W1876" s="2836"/>
      <c r="X1876" s="2340" t="str">
        <f t="shared" si="108"/>
        <v>PodHab_Rotura</v>
      </c>
      <c r="Y1876" s="2855" t="s">
        <v>8930</v>
      </c>
      <c r="Z1876" s="2852" t="s">
        <v>9623</v>
      </c>
      <c r="AA1876" s="2852" t="s">
        <v>9794</v>
      </c>
      <c r="AB1876" s="2852" t="s">
        <v>3281</v>
      </c>
      <c r="AC1876" s="2852" t="s">
        <v>9795</v>
      </c>
      <c r="AD1876" s="2852"/>
      <c r="AE1876" s="2852"/>
      <c r="AF1876" s="2852"/>
      <c r="AG1876" s="2852"/>
      <c r="AH1876" s="2852"/>
      <c r="AI1876" s="2852"/>
      <c r="AJ1876" s="2852"/>
      <c r="AK1876" s="2852"/>
      <c r="AL1876" s="2852"/>
      <c r="AM1876" s="2852"/>
      <c r="AN1876" s="2852"/>
      <c r="AO1876" s="2852"/>
      <c r="AP1876" s="2852"/>
      <c r="AQ1876" s="2852"/>
      <c r="AR1876" s="2852"/>
      <c r="AS1876" s="2852"/>
      <c r="AT1876" s="2852"/>
      <c r="AU1876" s="2852"/>
      <c r="AV1876" s="2852"/>
      <c r="AW1876" s="2852"/>
      <c r="AX1876" s="2852"/>
      <c r="AY1876" s="2852"/>
      <c r="AZ1876" s="2852"/>
      <c r="BA1876" s="2852"/>
      <c r="BB1876" s="2852"/>
      <c r="BC1876" s="2852"/>
      <c r="BD1876" s="2852"/>
      <c r="BE1876" s="2852"/>
      <c r="BF1876" s="2852"/>
      <c r="BG1876" s="2852"/>
      <c r="BH1876" s="2852"/>
      <c r="BI1876" s="2852"/>
      <c r="BJ1876" s="2852"/>
      <c r="BK1876" s="2852"/>
      <c r="BL1876" s="2842"/>
      <c r="BM1876" s="2842"/>
      <c r="BN1876" s="2842"/>
      <c r="BO1876" s="2842"/>
      <c r="BP1876" s="2842"/>
      <c r="BQ1876" s="2842"/>
      <c r="BR1876" s="2842"/>
      <c r="BS1876" s="2842"/>
      <c r="BT1876" s="2842"/>
      <c r="BU1876" s="2842"/>
      <c r="BV1876" s="2842"/>
      <c r="BW1876" s="2842"/>
      <c r="BX1876" s="2842"/>
      <c r="BY1876" s="2842"/>
      <c r="BZ1876" s="2842"/>
      <c r="CA1876" s="2869"/>
    </row>
    <row r="1877" spans="1:79" ht="12.75" customHeight="1" x14ac:dyDescent="0.2">
      <c r="A1877" s="2029">
        <v>211</v>
      </c>
      <c r="B1877" s="4995"/>
      <c r="C1877" s="2813"/>
      <c r="D1877" s="260"/>
      <c r="E1877" s="2816" t="s">
        <v>2799</v>
      </c>
      <c r="F1877" s="218">
        <v>0</v>
      </c>
      <c r="G1877" s="218">
        <v>10</v>
      </c>
      <c r="H1877" s="218">
        <f>COUNTIF(HabilidadesEsenciales_Adquiridas,Tablas!E1877)</f>
        <v>0</v>
      </c>
      <c r="I1877" s="2818">
        <v>1</v>
      </c>
      <c r="J1877" s="422"/>
      <c r="K1877" s="2809"/>
      <c r="M1877" s="1959"/>
      <c r="N1877" s="100"/>
      <c r="O1877" s="2825" t="s">
        <v>9871</v>
      </c>
      <c r="P1877" s="2811">
        <v>0</v>
      </c>
      <c r="Q1877" s="575">
        <v>40</v>
      </c>
      <c r="R1877" s="2818">
        <f>COUNTIF(PoderesDeCriatura_Adquiridos,Tablas!O1877)</f>
        <v>0</v>
      </c>
      <c r="S1877" s="422"/>
      <c r="T1877" s="2809"/>
      <c r="V1877" s="2868" t="s">
        <v>18</v>
      </c>
      <c r="W1877" s="2131"/>
      <c r="X1877" s="2340" t="str">
        <f t="shared" si="108"/>
        <v/>
      </c>
      <c r="Y1877" s="2855"/>
      <c r="Z1877" s="2852"/>
      <c r="AA1877" s="2852"/>
      <c r="AB1877" s="2852"/>
      <c r="AC1877" s="2852"/>
      <c r="AD1877" s="2852"/>
      <c r="AE1877" s="2852"/>
      <c r="AF1877" s="2852"/>
      <c r="AG1877" s="2852"/>
      <c r="AH1877" s="2852"/>
      <c r="AI1877" s="2852"/>
      <c r="AJ1877" s="2852"/>
      <c r="AK1877" s="2852"/>
      <c r="AL1877" s="2852"/>
      <c r="AM1877" s="2852"/>
      <c r="AN1877" s="2852"/>
      <c r="AO1877" s="2852"/>
      <c r="AP1877" s="2852"/>
      <c r="AQ1877" s="2852"/>
      <c r="AR1877" s="2852"/>
      <c r="AS1877" s="2852"/>
      <c r="AT1877" s="2852"/>
      <c r="AU1877" s="2852"/>
      <c r="AV1877" s="2852"/>
      <c r="AW1877" s="2852"/>
      <c r="AX1877" s="2852"/>
      <c r="AY1877" s="2852"/>
      <c r="AZ1877" s="2852"/>
      <c r="BA1877" s="2852"/>
      <c r="BB1877" s="2852"/>
      <c r="BC1877" s="2852"/>
      <c r="BD1877" s="2852"/>
      <c r="BE1877" s="2852"/>
      <c r="BF1877" s="2852"/>
      <c r="BG1877" s="2852"/>
      <c r="BH1877" s="2852"/>
      <c r="BI1877" s="2852"/>
      <c r="BJ1877" s="2852"/>
      <c r="BK1877" s="2852"/>
      <c r="BL1877" s="2842"/>
      <c r="BM1877" s="2842"/>
      <c r="BN1877" s="2842"/>
      <c r="BO1877" s="2842"/>
      <c r="BP1877" s="2842"/>
      <c r="BQ1877" s="2842"/>
      <c r="BR1877" s="2842"/>
      <c r="BS1877" s="2842"/>
      <c r="BT1877" s="2842"/>
      <c r="BU1877" s="2842"/>
      <c r="BV1877" s="2842"/>
      <c r="BW1877" s="2842"/>
      <c r="BX1877" s="2842"/>
      <c r="BY1877" s="2842"/>
      <c r="BZ1877" s="2842"/>
      <c r="CA1877" s="2869"/>
    </row>
    <row r="1878" spans="1:79" ht="12.75" customHeight="1" x14ac:dyDescent="0.2">
      <c r="A1878" s="2029">
        <v>211</v>
      </c>
      <c r="B1878" s="4995"/>
      <c r="C1878" s="2813"/>
      <c r="D1878" s="260"/>
      <c r="E1878" s="2816" t="s">
        <v>2800</v>
      </c>
      <c r="F1878" s="218">
        <v>0</v>
      </c>
      <c r="G1878" s="218">
        <v>10</v>
      </c>
      <c r="H1878" s="218">
        <f>COUNTIF(HabilidadesEsenciales_Adquiridas,Tablas!E1878)</f>
        <v>0</v>
      </c>
      <c r="I1878" s="2818">
        <v>1</v>
      </c>
      <c r="J1878" s="422"/>
      <c r="K1878" s="2809"/>
      <c r="M1878" s="1959"/>
      <c r="N1878" s="100"/>
      <c r="O1878" s="2825" t="s">
        <v>9872</v>
      </c>
      <c r="P1878" s="2811">
        <v>0</v>
      </c>
      <c r="Q1878" s="575">
        <v>50</v>
      </c>
      <c r="R1878" s="2818">
        <f>COUNTIF(PoderesDeCriatura_Adquiridos,Tablas!O1878)</f>
        <v>0</v>
      </c>
      <c r="S1878" s="422"/>
      <c r="T1878" s="2809"/>
      <c r="V1878" s="2868" t="s">
        <v>9499</v>
      </c>
      <c r="W1878" s="2836"/>
      <c r="X1878" s="2340" t="str">
        <f t="shared" si="108"/>
        <v>PodHab_Efectopermanente</v>
      </c>
      <c r="Y1878" s="2855" t="s">
        <v>9796</v>
      </c>
      <c r="Z1878" s="2852" t="s">
        <v>9797</v>
      </c>
      <c r="AA1878" s="2852"/>
      <c r="AB1878" s="1876"/>
      <c r="AC1878" s="2852"/>
      <c r="AD1878" s="2852"/>
      <c r="AE1878" s="2852"/>
      <c r="AF1878" s="2852"/>
      <c r="AG1878" s="2852"/>
      <c r="AH1878" s="2852"/>
      <c r="AI1878" s="2852"/>
      <c r="AJ1878" s="2852"/>
      <c r="AK1878" s="2852"/>
      <c r="AL1878" s="2852"/>
      <c r="AM1878" s="2852"/>
      <c r="AN1878" s="2852"/>
      <c r="AO1878" s="2852"/>
      <c r="AP1878" s="2852"/>
      <c r="AQ1878" s="2852"/>
      <c r="AR1878" s="2852"/>
      <c r="AS1878" s="2852"/>
      <c r="AT1878" s="2852"/>
      <c r="AU1878" s="2852"/>
      <c r="AV1878" s="2852"/>
      <c r="AW1878" s="2852"/>
      <c r="AX1878" s="2852"/>
      <c r="AY1878" s="2852"/>
      <c r="AZ1878" s="2852"/>
      <c r="BA1878" s="2852"/>
      <c r="BB1878" s="2852"/>
      <c r="BC1878" s="2852"/>
      <c r="BD1878" s="2852"/>
      <c r="BE1878" s="2852"/>
      <c r="BF1878" s="2852"/>
      <c r="BG1878" s="2852"/>
      <c r="BH1878" s="2852"/>
      <c r="BI1878" s="2852"/>
      <c r="BJ1878" s="2852"/>
      <c r="BK1878" s="2852"/>
      <c r="BL1878" s="2842"/>
      <c r="BM1878" s="2842"/>
      <c r="BN1878" s="2842"/>
      <c r="BO1878" s="2842"/>
      <c r="BP1878" s="2842"/>
      <c r="BQ1878" s="2842"/>
      <c r="BR1878" s="2842"/>
      <c r="BS1878" s="2842"/>
      <c r="BT1878" s="2842"/>
      <c r="BU1878" s="2842"/>
      <c r="BV1878" s="2842"/>
      <c r="BW1878" s="2842"/>
      <c r="BX1878" s="2842"/>
      <c r="BY1878" s="2842"/>
      <c r="BZ1878" s="2842"/>
      <c r="CA1878" s="2869"/>
    </row>
    <row r="1879" spans="1:79" ht="12.75" customHeight="1" x14ac:dyDescent="0.2">
      <c r="A1879" s="2029">
        <v>211</v>
      </c>
      <c r="B1879" s="4995"/>
      <c r="C1879" s="2813"/>
      <c r="D1879" s="260"/>
      <c r="E1879" s="2816" t="s">
        <v>1566</v>
      </c>
      <c r="F1879" s="218">
        <v>0</v>
      </c>
      <c r="G1879" s="218">
        <v>30</v>
      </c>
      <c r="H1879" s="218">
        <f>COUNTIF(HabilidadesEsenciales_Adquiridas,Tablas!E1879)</f>
        <v>0</v>
      </c>
      <c r="I1879" s="2818">
        <v>1</v>
      </c>
      <c r="J1879" s="422"/>
      <c r="K1879" s="2809"/>
      <c r="M1879" s="1959"/>
      <c r="N1879" s="100"/>
      <c r="O1879" s="2825" t="s">
        <v>9873</v>
      </c>
      <c r="P1879" s="2828">
        <v>0</v>
      </c>
      <c r="Q1879" s="575">
        <v>60</v>
      </c>
      <c r="R1879" s="2818">
        <f>COUNTIF(PoderesDeCriatura_Adquiridos,Tablas!O1879)</f>
        <v>0</v>
      </c>
      <c r="S1879" s="422"/>
      <c r="T1879" s="2809"/>
      <c r="V1879" s="2868" t="s">
        <v>22</v>
      </c>
      <c r="W1879" s="2836"/>
      <c r="X1879" s="2340" t="str">
        <f t="shared" si="108"/>
        <v/>
      </c>
      <c r="Y1879" s="2855"/>
      <c r="Z1879" s="2852"/>
      <c r="AA1879" s="2852"/>
      <c r="AB1879" s="2852"/>
      <c r="AC1879" s="2852"/>
      <c r="AD1879" s="2852"/>
      <c r="AE1879" s="2852"/>
      <c r="AF1879" s="2852"/>
      <c r="AG1879" s="2852"/>
      <c r="AH1879" s="2852"/>
      <c r="AI1879" s="2852"/>
      <c r="AJ1879" s="2852"/>
      <c r="AK1879" s="2852"/>
      <c r="AL1879" s="2852"/>
      <c r="AM1879" s="2852"/>
      <c r="AN1879" s="2852"/>
      <c r="AO1879" s="2852"/>
      <c r="AP1879" s="2852"/>
      <c r="AQ1879" s="2852"/>
      <c r="AR1879" s="2852"/>
      <c r="AS1879" s="2852"/>
      <c r="AT1879" s="2852"/>
      <c r="AU1879" s="2852"/>
      <c r="AV1879" s="2852"/>
      <c r="AW1879" s="2852"/>
      <c r="AX1879" s="2852"/>
      <c r="AY1879" s="2852"/>
      <c r="AZ1879" s="2852"/>
      <c r="BA1879" s="2852"/>
      <c r="BB1879" s="2852"/>
      <c r="BC1879" s="2852"/>
      <c r="BD1879" s="2852"/>
      <c r="BE1879" s="2852"/>
      <c r="BF1879" s="2852"/>
      <c r="BG1879" s="2852"/>
      <c r="BH1879" s="2852"/>
      <c r="BI1879" s="2852"/>
      <c r="BJ1879" s="2852"/>
      <c r="BK1879" s="2852"/>
      <c r="BL1879" s="2842"/>
      <c r="BM1879" s="2842"/>
      <c r="BN1879" s="2842"/>
      <c r="BO1879" s="2842"/>
      <c r="BP1879" s="2842"/>
      <c r="BQ1879" s="2842"/>
      <c r="BR1879" s="2842"/>
      <c r="BS1879" s="2842"/>
      <c r="BT1879" s="2842"/>
      <c r="BU1879" s="2842"/>
      <c r="BV1879" s="2842"/>
      <c r="BW1879" s="2842"/>
      <c r="BX1879" s="2842"/>
      <c r="BY1879" s="2842"/>
      <c r="BZ1879" s="2842"/>
      <c r="CA1879" s="2869"/>
    </row>
    <row r="1880" spans="1:79" ht="12.75" customHeight="1" x14ac:dyDescent="0.2">
      <c r="A1880" s="2029">
        <v>211</v>
      </c>
      <c r="B1880" s="4995"/>
      <c r="C1880" s="2813"/>
      <c r="D1880" s="260"/>
      <c r="E1880" s="2816" t="s">
        <v>2011</v>
      </c>
      <c r="F1880" s="218">
        <v>0</v>
      </c>
      <c r="G1880" s="218">
        <v>10</v>
      </c>
      <c r="H1880" s="218">
        <f>COUNTIF(HabilidadesEsenciales_Adquiridas,Tablas!E1880)</f>
        <v>0</v>
      </c>
      <c r="I1880" s="2818">
        <v>2</v>
      </c>
      <c r="J1880" s="422"/>
      <c r="K1880" s="2809"/>
      <c r="M1880" s="1959"/>
      <c r="N1880" s="100"/>
      <c r="O1880" s="2825" t="s">
        <v>9874</v>
      </c>
      <c r="P1880" s="2828">
        <v>0</v>
      </c>
      <c r="Q1880" s="575">
        <v>80</v>
      </c>
      <c r="R1880" s="2818">
        <f>COUNTIF(PoderesDeCriatura_Adquiridos,Tablas!O1880)</f>
        <v>0</v>
      </c>
      <c r="S1880" s="422"/>
      <c r="T1880" s="2809"/>
      <c r="V1880" s="2868" t="s">
        <v>9498</v>
      </c>
      <c r="W1880" s="2836"/>
      <c r="X1880" s="2340" t="str">
        <f t="shared" ref="X1880:X1891" si="110">IF(Y1880="","",SUBSTITUTE("PodHab_"&amp;V1880," ",""))</f>
        <v>PodHab_Sentidosespeciales</v>
      </c>
      <c r="Y1880" s="2855" t="s">
        <v>19</v>
      </c>
      <c r="Z1880" s="2852" t="s">
        <v>20</v>
      </c>
      <c r="AA1880" s="2852" t="s">
        <v>21</v>
      </c>
      <c r="AB1880" s="2852"/>
      <c r="AC1880" s="2852"/>
      <c r="AD1880" s="2852"/>
      <c r="AE1880" s="2852"/>
      <c r="AF1880" s="2852"/>
      <c r="AG1880" s="1876"/>
      <c r="AH1880" s="1876"/>
      <c r="AI1880" s="1876"/>
      <c r="AJ1880" s="1876"/>
      <c r="AK1880" s="1876"/>
      <c r="AL1880" s="1876"/>
      <c r="AM1880" s="1876"/>
      <c r="AN1880" s="2852"/>
      <c r="AO1880" s="2852"/>
      <c r="AP1880" s="2852"/>
      <c r="AQ1880" s="2852"/>
      <c r="AR1880" s="2852"/>
      <c r="AS1880" s="2852"/>
      <c r="AT1880" s="2852"/>
      <c r="AU1880" s="2852"/>
      <c r="AV1880" s="2852"/>
      <c r="AW1880" s="2852"/>
      <c r="AX1880" s="2852"/>
      <c r="AY1880" s="2852"/>
      <c r="AZ1880" s="2852"/>
      <c r="BA1880" s="2852"/>
      <c r="BB1880" s="2852"/>
      <c r="BC1880" s="2852"/>
      <c r="BD1880" s="2852"/>
      <c r="BE1880" s="2852"/>
      <c r="BF1880" s="2852"/>
      <c r="BG1880" s="2852"/>
      <c r="BH1880" s="2852"/>
      <c r="BI1880" s="2852"/>
      <c r="BJ1880" s="2852"/>
      <c r="BK1880" s="2852"/>
      <c r="BL1880" s="2842"/>
      <c r="BM1880" s="2842"/>
      <c r="BN1880" s="2842"/>
      <c r="BO1880" s="2842"/>
      <c r="BP1880" s="2842"/>
      <c r="BQ1880" s="2842"/>
      <c r="BR1880" s="2842"/>
      <c r="BS1880" s="2842"/>
      <c r="BT1880" s="2842"/>
      <c r="BU1880" s="2842"/>
      <c r="BV1880" s="2842"/>
      <c r="BW1880" s="2842"/>
      <c r="BX1880" s="2842"/>
      <c r="BY1880" s="2842"/>
      <c r="BZ1880" s="2842"/>
      <c r="CA1880" s="2869"/>
    </row>
    <row r="1881" spans="1:79" ht="12.75" customHeight="1" x14ac:dyDescent="0.2">
      <c r="A1881" s="2029">
        <v>211</v>
      </c>
      <c r="B1881" s="4995"/>
      <c r="C1881" s="2813"/>
      <c r="D1881" s="260"/>
      <c r="E1881" s="2816" t="s">
        <v>2012</v>
      </c>
      <c r="F1881" s="218">
        <v>25</v>
      </c>
      <c r="G1881" s="218">
        <v>20</v>
      </c>
      <c r="H1881" s="218">
        <f>COUNTIF(HabilidadesEsenciales_Adquiridas,Tablas!E1881)</f>
        <v>0</v>
      </c>
      <c r="I1881" s="2818">
        <v>2</v>
      </c>
      <c r="J1881" s="422"/>
      <c r="K1881" s="2809"/>
      <c r="M1881" s="1959"/>
      <c r="N1881" s="100"/>
      <c r="O1881" s="2825" t="s">
        <v>9875</v>
      </c>
      <c r="P1881" s="2828">
        <v>10</v>
      </c>
      <c r="Q1881" s="575">
        <v>100</v>
      </c>
      <c r="R1881" s="2818">
        <f>COUNTIF(PoderesDeCriatura_Adquiridos,Tablas!O1881)</f>
        <v>0</v>
      </c>
      <c r="S1881" s="422"/>
      <c r="T1881" s="2809"/>
      <c r="V1881" s="2868" t="s">
        <v>2359</v>
      </c>
      <c r="W1881" s="2836"/>
      <c r="X1881" s="2340" t="str">
        <f t="shared" si="110"/>
        <v>PodHab_Transformación</v>
      </c>
      <c r="Y1881" s="2855" t="s">
        <v>9798</v>
      </c>
      <c r="Z1881" s="2852" t="s">
        <v>9799</v>
      </c>
      <c r="AA1881" s="2852" t="s">
        <v>9800</v>
      </c>
      <c r="AB1881" s="2852" t="s">
        <v>9801</v>
      </c>
      <c r="AC1881" s="2852" t="s">
        <v>9802</v>
      </c>
      <c r="AD1881" s="2852"/>
      <c r="AE1881" s="2852"/>
      <c r="AF1881" s="2852"/>
      <c r="AG1881" s="2852"/>
      <c r="AH1881" s="2852"/>
      <c r="AI1881" s="2852"/>
      <c r="AJ1881" s="2852"/>
      <c r="AK1881" s="2852"/>
      <c r="AL1881" s="2852" t="s">
        <v>8977</v>
      </c>
      <c r="AM1881" s="2852" t="s">
        <v>8977</v>
      </c>
      <c r="AN1881" s="2852" t="s">
        <v>8977</v>
      </c>
      <c r="AO1881" s="2852" t="s">
        <v>8977</v>
      </c>
      <c r="AP1881" s="2852"/>
      <c r="AQ1881" s="2852"/>
      <c r="AR1881" s="2852"/>
      <c r="AS1881" s="2852"/>
      <c r="AT1881" s="2852"/>
      <c r="AU1881" s="2852"/>
      <c r="AV1881" s="2852"/>
      <c r="AW1881" s="2852"/>
      <c r="AX1881" s="2852"/>
      <c r="AY1881" s="2852"/>
      <c r="AZ1881" s="2852"/>
      <c r="BA1881" s="2852"/>
      <c r="BB1881" s="2852"/>
      <c r="BC1881" s="2852"/>
      <c r="BD1881" s="2852"/>
      <c r="BE1881" s="2852"/>
      <c r="BF1881" s="2852"/>
      <c r="BG1881" s="2852"/>
      <c r="BH1881" s="2852"/>
      <c r="BI1881" s="2852"/>
      <c r="BJ1881" s="2852"/>
      <c r="BK1881" s="2852"/>
      <c r="BL1881" s="2842"/>
      <c r="BM1881" s="2842"/>
      <c r="BN1881" s="2842"/>
      <c r="BO1881" s="2842"/>
      <c r="BP1881" s="2842"/>
      <c r="BQ1881" s="2842"/>
      <c r="BR1881" s="2842"/>
      <c r="BS1881" s="2842"/>
      <c r="BT1881" s="2842"/>
      <c r="BU1881" s="2842"/>
      <c r="BV1881" s="2842"/>
      <c r="BW1881" s="2842"/>
      <c r="BX1881" s="2842"/>
      <c r="BY1881" s="2842"/>
      <c r="BZ1881" s="2842"/>
      <c r="CA1881" s="2869"/>
    </row>
    <row r="1882" spans="1:79" ht="12.75" customHeight="1" x14ac:dyDescent="0.2">
      <c r="A1882" s="2029">
        <v>211</v>
      </c>
      <c r="B1882" s="4995"/>
      <c r="C1882" s="2813"/>
      <c r="D1882" s="260"/>
      <c r="E1882" s="2816" t="s">
        <v>1567</v>
      </c>
      <c r="F1882" s="218">
        <v>0</v>
      </c>
      <c r="G1882" s="218">
        <v>10</v>
      </c>
      <c r="H1882" s="218">
        <f>COUNTIF(HabilidadesEsenciales_Adquiridas,Tablas!E1882)</f>
        <v>0</v>
      </c>
      <c r="I1882" s="2818"/>
      <c r="J1882" s="422"/>
      <c r="K1882" s="2809"/>
      <c r="M1882" s="1959"/>
      <c r="N1882" s="100"/>
      <c r="O1882" s="2825" t="s">
        <v>9876</v>
      </c>
      <c r="P1882" s="2828">
        <v>20</v>
      </c>
      <c r="Q1882" s="575">
        <v>140</v>
      </c>
      <c r="R1882" s="2818">
        <f>COUNTIF(PoderesDeCriatura_Adquiridos,Tablas!O1882)</f>
        <v>0</v>
      </c>
      <c r="S1882" s="422"/>
      <c r="T1882" s="2809"/>
      <c r="V1882" s="2868" t="s">
        <v>23</v>
      </c>
      <c r="W1882" s="2131"/>
      <c r="X1882" s="2340" t="str">
        <f t="shared" si="110"/>
        <v/>
      </c>
      <c r="Y1882" s="2855" t="s">
        <v>8977</v>
      </c>
      <c r="Z1882" s="2852" t="s">
        <v>8977</v>
      </c>
      <c r="AA1882" s="2852" t="s">
        <v>8977</v>
      </c>
      <c r="AB1882" s="2852" t="s">
        <v>8977</v>
      </c>
      <c r="AC1882" s="2852" t="s">
        <v>8977</v>
      </c>
      <c r="AD1882" s="2852" t="s">
        <v>8977</v>
      </c>
      <c r="AE1882" s="2852" t="s">
        <v>8977</v>
      </c>
      <c r="AF1882" s="2852" t="s">
        <v>8977</v>
      </c>
      <c r="AG1882" s="2852" t="s">
        <v>8977</v>
      </c>
      <c r="AH1882" s="2852" t="s">
        <v>8977</v>
      </c>
      <c r="AI1882" s="2852" t="s">
        <v>8977</v>
      </c>
      <c r="AJ1882" s="2852" t="s">
        <v>8977</v>
      </c>
      <c r="AK1882" s="2852" t="s">
        <v>8977</v>
      </c>
      <c r="AL1882" s="2852" t="s">
        <v>8977</v>
      </c>
      <c r="AM1882" s="2852" t="s">
        <v>8977</v>
      </c>
      <c r="AN1882" s="2852" t="s">
        <v>8977</v>
      </c>
      <c r="AO1882" s="2852" t="s">
        <v>8977</v>
      </c>
      <c r="AP1882" s="2852"/>
      <c r="AQ1882" s="2852"/>
      <c r="AR1882" s="2852"/>
      <c r="AS1882" s="2852"/>
      <c r="AT1882" s="2852"/>
      <c r="AU1882" s="2852"/>
      <c r="AV1882" s="2852"/>
      <c r="AW1882" s="2852"/>
      <c r="AX1882" s="2852"/>
      <c r="AY1882" s="2852"/>
      <c r="AZ1882" s="2852"/>
      <c r="BA1882" s="2852"/>
      <c r="BB1882" s="2852"/>
      <c r="BC1882" s="2852"/>
      <c r="BD1882" s="2852"/>
      <c r="BE1882" s="2852"/>
      <c r="BF1882" s="2852"/>
      <c r="BG1882" s="2852"/>
      <c r="BH1882" s="2852"/>
      <c r="BI1882" s="2852"/>
      <c r="BJ1882" s="2852"/>
      <c r="BK1882" s="2852"/>
      <c r="BL1882" s="2842"/>
      <c r="BM1882" s="2842"/>
      <c r="BN1882" s="2842"/>
      <c r="BO1882" s="2842"/>
      <c r="BP1882" s="2842"/>
      <c r="BQ1882" s="2842"/>
      <c r="BR1882" s="2842"/>
      <c r="BS1882" s="2842"/>
      <c r="BT1882" s="2842"/>
      <c r="BU1882" s="2842"/>
      <c r="BV1882" s="2842"/>
      <c r="BW1882" s="2842"/>
      <c r="BX1882" s="2842"/>
      <c r="BY1882" s="2842"/>
      <c r="BZ1882" s="2842"/>
      <c r="CA1882" s="2869"/>
    </row>
    <row r="1883" spans="1:79" ht="12.75" customHeight="1" x14ac:dyDescent="0.2">
      <c r="A1883" s="2029">
        <v>211</v>
      </c>
      <c r="B1883" s="4995"/>
      <c r="C1883" s="2813"/>
      <c r="D1883" s="260"/>
      <c r="E1883" s="2816" t="s">
        <v>1568</v>
      </c>
      <c r="F1883" s="218">
        <v>5</v>
      </c>
      <c r="G1883" s="218">
        <v>10</v>
      </c>
      <c r="H1883" s="218">
        <f>COUNTIF(HabilidadesEsenciales_Adquiridas,Tablas!E1883)</f>
        <v>0</v>
      </c>
      <c r="I1883" s="2818"/>
      <c r="J1883" s="422"/>
      <c r="K1883" s="2809"/>
      <c r="M1883" s="1959"/>
      <c r="N1883" s="100"/>
      <c r="O1883" s="2825" t="s">
        <v>9877</v>
      </c>
      <c r="P1883" s="2828">
        <v>30</v>
      </c>
      <c r="Q1883" s="575">
        <v>180</v>
      </c>
      <c r="R1883" s="2818">
        <f>COUNTIF(PoderesDeCriatura_Adquiridos,Tablas!O1883)</f>
        <v>0</v>
      </c>
      <c r="S1883" s="422"/>
      <c r="T1883" s="2809"/>
      <c r="V1883" s="2868" t="s">
        <v>9500</v>
      </c>
      <c r="W1883" s="2836"/>
      <c r="X1883" s="2340" t="str">
        <f t="shared" si="110"/>
        <v>PodHab_Maestríasobrenatural</v>
      </c>
      <c r="Y1883" s="2855" t="s">
        <v>9803</v>
      </c>
      <c r="Z1883" s="2852" t="s">
        <v>9804</v>
      </c>
      <c r="AA1883" s="2852" t="s">
        <v>9805</v>
      </c>
      <c r="AB1883" s="2852" t="s">
        <v>9806</v>
      </c>
      <c r="AC1883" s="2852" t="s">
        <v>9807</v>
      </c>
      <c r="AD1883" s="2852" t="s">
        <v>9808</v>
      </c>
      <c r="AE1883" s="2852"/>
      <c r="AF1883" s="2852"/>
      <c r="AG1883" s="2852"/>
      <c r="AH1883" s="2852"/>
      <c r="AI1883" s="2852"/>
      <c r="AJ1883" s="2852"/>
      <c r="AK1883" s="2852"/>
      <c r="AL1883" s="2852"/>
      <c r="AM1883" s="2852"/>
      <c r="AN1883" s="2852"/>
      <c r="AO1883" s="2852"/>
      <c r="AP1883" s="2852"/>
      <c r="AQ1883" s="2852"/>
      <c r="AR1883" s="2852"/>
      <c r="AS1883" s="2852"/>
      <c r="AT1883" s="2852"/>
      <c r="AU1883" s="2852"/>
      <c r="AV1883" s="2852"/>
      <c r="AW1883" s="2852"/>
      <c r="AX1883" s="2852"/>
      <c r="AY1883" s="2852"/>
      <c r="AZ1883" s="2852"/>
      <c r="BA1883" s="2852"/>
      <c r="BB1883" s="2852"/>
      <c r="BC1883" s="2852"/>
      <c r="BD1883" s="2852"/>
      <c r="BE1883" s="2852"/>
      <c r="BF1883" s="2852"/>
      <c r="BG1883" s="2852"/>
      <c r="BH1883" s="2852"/>
      <c r="BI1883" s="2852"/>
      <c r="BJ1883" s="2852"/>
      <c r="BK1883" s="2852"/>
      <c r="BL1883" s="2842"/>
      <c r="BM1883" s="2842"/>
      <c r="BN1883" s="2842"/>
      <c r="BO1883" s="2842"/>
      <c r="BP1883" s="2842"/>
      <c r="BQ1883" s="2842"/>
      <c r="BR1883" s="2842"/>
      <c r="BS1883" s="2842"/>
      <c r="BT1883" s="2842"/>
      <c r="BU1883" s="2842"/>
      <c r="BV1883" s="2842"/>
      <c r="BW1883" s="2842"/>
      <c r="BX1883" s="2842"/>
      <c r="BY1883" s="2842"/>
      <c r="BZ1883" s="2842"/>
      <c r="CA1883" s="2869"/>
    </row>
    <row r="1884" spans="1:79" ht="12.75" customHeight="1" x14ac:dyDescent="0.2">
      <c r="A1884" s="2029">
        <v>211</v>
      </c>
      <c r="B1884" s="4995"/>
      <c r="C1884" s="2813"/>
      <c r="D1884" s="260"/>
      <c r="E1884" s="2816" t="s">
        <v>1569</v>
      </c>
      <c r="F1884" s="218">
        <v>15</v>
      </c>
      <c r="G1884" s="218">
        <v>20</v>
      </c>
      <c r="H1884" s="218">
        <f>COUNTIF(HabilidadesEsenciales_Adquiridas,Tablas!E1884)</f>
        <v>0</v>
      </c>
      <c r="I1884" s="2818">
        <v>1</v>
      </c>
      <c r="J1884" s="422"/>
      <c r="K1884" s="2809"/>
      <c r="M1884" s="1959"/>
      <c r="N1884" s="100"/>
      <c r="O1884" s="468" t="s">
        <v>9878</v>
      </c>
      <c r="P1884" s="2811">
        <v>5</v>
      </c>
      <c r="Q1884" s="575">
        <v>20</v>
      </c>
      <c r="R1884" s="2818">
        <f>COUNTIF(PoderesDeCriatura_Adquiridos,Tablas!O1884)</f>
        <v>0</v>
      </c>
      <c r="S1884" s="422"/>
      <c r="T1884" s="2809"/>
      <c r="V1884" s="2868" t="s">
        <v>8946</v>
      </c>
      <c r="W1884" s="2836"/>
      <c r="X1884" s="2340" t="str">
        <f t="shared" si="110"/>
        <v>PodHab_Magianatural</v>
      </c>
      <c r="Y1884" s="2855" t="s">
        <v>9809</v>
      </c>
      <c r="Z1884" s="2852" t="s">
        <v>2461</v>
      </c>
      <c r="AA1884" s="2852"/>
      <c r="AB1884" s="2852"/>
      <c r="AC1884" s="2852"/>
      <c r="AD1884" s="2852"/>
      <c r="AE1884" s="2852"/>
      <c r="AF1884" s="2852"/>
      <c r="AG1884" s="2852"/>
      <c r="AH1884" s="2852"/>
      <c r="AI1884" s="2852"/>
      <c r="AJ1884" s="2852"/>
      <c r="AK1884" s="2852"/>
      <c r="AL1884" s="2852"/>
      <c r="AM1884" s="2852"/>
      <c r="AN1884" s="2852"/>
      <c r="AO1884" s="2852" t="s">
        <v>8977</v>
      </c>
      <c r="AP1884" s="2852"/>
      <c r="AQ1884" s="2852"/>
      <c r="AR1884" s="2852"/>
      <c r="AS1884" s="2852"/>
      <c r="AT1884" s="2852"/>
      <c r="AU1884" s="2852"/>
      <c r="AV1884" s="2852"/>
      <c r="AW1884" s="2852"/>
      <c r="AX1884" s="2852"/>
      <c r="AY1884" s="2852"/>
      <c r="AZ1884" s="2852"/>
      <c r="BA1884" s="2852"/>
      <c r="BB1884" s="2852"/>
      <c r="BC1884" s="2852"/>
      <c r="BD1884" s="2852"/>
      <c r="BE1884" s="2852"/>
      <c r="BF1884" s="2852"/>
      <c r="BG1884" s="2852"/>
      <c r="BH1884" s="2852"/>
      <c r="BI1884" s="2852"/>
      <c r="BJ1884" s="2852"/>
      <c r="BK1884" s="2852"/>
      <c r="BL1884" s="2842"/>
      <c r="BM1884" s="2842"/>
      <c r="BN1884" s="2842"/>
      <c r="BO1884" s="2842"/>
      <c r="BP1884" s="2842"/>
      <c r="BQ1884" s="2842"/>
      <c r="BR1884" s="2842"/>
      <c r="BS1884" s="2842"/>
      <c r="BT1884" s="2842"/>
      <c r="BU1884" s="2842"/>
      <c r="BV1884" s="2842"/>
      <c r="BW1884" s="2842"/>
      <c r="BX1884" s="2842"/>
      <c r="BY1884" s="2842"/>
      <c r="BZ1884" s="2842"/>
      <c r="CA1884" s="2869"/>
    </row>
    <row r="1885" spans="1:79" ht="12.75" customHeight="1" x14ac:dyDescent="0.2">
      <c r="A1885" s="2029">
        <v>211</v>
      </c>
      <c r="B1885" s="4995"/>
      <c r="C1885" s="2813"/>
      <c r="D1885" s="260"/>
      <c r="E1885" s="2816" t="s">
        <v>1570</v>
      </c>
      <c r="F1885" s="218">
        <v>15</v>
      </c>
      <c r="G1885" s="218">
        <v>10</v>
      </c>
      <c r="H1885" s="218">
        <f>COUNTIF(HabilidadesEsenciales_Adquiridas,Tablas!E1885)</f>
        <v>0</v>
      </c>
      <c r="I1885" s="2818"/>
      <c r="J1885" s="422"/>
      <c r="K1885" s="2809"/>
      <c r="M1885" s="1959"/>
      <c r="N1885" s="100"/>
      <c r="O1885" s="468" t="s">
        <v>9879</v>
      </c>
      <c r="P1885" s="2811">
        <v>10</v>
      </c>
      <c r="Q1885" s="575">
        <v>30</v>
      </c>
      <c r="R1885" s="2818">
        <f>COUNTIF(PoderesDeCriatura_Adquiridos,Tablas!O1885)</f>
        <v>0</v>
      </c>
      <c r="S1885" s="422"/>
      <c r="T1885" s="2809"/>
      <c r="V1885" s="2868" t="s">
        <v>24</v>
      </c>
      <c r="W1885" s="2836"/>
      <c r="X1885" s="2340" t="str">
        <f t="shared" si="110"/>
        <v/>
      </c>
      <c r="Y1885" s="2855"/>
      <c r="Z1885" s="2852"/>
      <c r="AA1885" s="2852"/>
      <c r="AB1885" s="2852"/>
      <c r="AC1885" s="2852"/>
      <c r="AD1885" s="2852"/>
      <c r="AE1885" s="2852"/>
      <c r="AF1885" s="2852"/>
      <c r="AG1885" s="2852"/>
      <c r="AH1885" s="2852"/>
      <c r="AI1885" s="2852"/>
      <c r="AJ1885" s="2852"/>
      <c r="AK1885" s="2852"/>
      <c r="AL1885" s="2852" t="s">
        <v>8977</v>
      </c>
      <c r="AM1885" s="2852" t="s">
        <v>8977</v>
      </c>
      <c r="AN1885" s="2852" t="s">
        <v>8977</v>
      </c>
      <c r="AO1885" s="2852" t="s">
        <v>8977</v>
      </c>
      <c r="AP1885" s="2852"/>
      <c r="AQ1885" s="2852"/>
      <c r="AR1885" s="2852"/>
      <c r="AS1885" s="2852"/>
      <c r="AT1885" s="2852"/>
      <c r="AU1885" s="2852"/>
      <c r="AV1885" s="2852"/>
      <c r="AW1885" s="2852"/>
      <c r="AX1885" s="2852"/>
      <c r="AY1885" s="2852"/>
      <c r="AZ1885" s="2852"/>
      <c r="BA1885" s="2852"/>
      <c r="BB1885" s="2852"/>
      <c r="BC1885" s="2852"/>
      <c r="BD1885" s="2852"/>
      <c r="BE1885" s="2852"/>
      <c r="BF1885" s="2852"/>
      <c r="BG1885" s="2852"/>
      <c r="BH1885" s="2852"/>
      <c r="BI1885" s="2852"/>
      <c r="BJ1885" s="2852"/>
      <c r="BK1885" s="2852"/>
      <c r="BL1885" s="2842"/>
      <c r="BM1885" s="2842"/>
      <c r="BN1885" s="2842"/>
      <c r="BO1885" s="2842"/>
      <c r="BP1885" s="2842"/>
      <c r="BQ1885" s="2842"/>
      <c r="BR1885" s="2842"/>
      <c r="BS1885" s="2842"/>
      <c r="BT1885" s="2842"/>
      <c r="BU1885" s="2842"/>
      <c r="BV1885" s="2842"/>
      <c r="BW1885" s="2842"/>
      <c r="BX1885" s="2842"/>
      <c r="BY1885" s="2842"/>
      <c r="BZ1885" s="2842"/>
      <c r="CA1885" s="2869"/>
    </row>
    <row r="1886" spans="1:79" ht="12.75" customHeight="1" x14ac:dyDescent="0.2">
      <c r="A1886" s="2029">
        <v>211</v>
      </c>
      <c r="B1886" s="4995"/>
      <c r="C1886" s="2813"/>
      <c r="D1886" s="260"/>
      <c r="E1886" s="2816" t="s">
        <v>1571</v>
      </c>
      <c r="F1886" s="218">
        <v>15</v>
      </c>
      <c r="G1886" s="218">
        <v>10</v>
      </c>
      <c r="H1886" s="218">
        <f>COUNTIF(HabilidadesEsenciales_Adquiridas,Tablas!E1886)</f>
        <v>0</v>
      </c>
      <c r="I1886" s="2818"/>
      <c r="J1886" s="422"/>
      <c r="K1886" s="2809"/>
      <c r="M1886" s="1959"/>
      <c r="N1886" s="100"/>
      <c r="O1886" s="468" t="s">
        <v>9880</v>
      </c>
      <c r="P1886" s="2828">
        <v>15</v>
      </c>
      <c r="Q1886" s="575">
        <v>40</v>
      </c>
      <c r="R1886" s="2818">
        <f>COUNTIF(PoderesDeCriatura_Adquiridos,Tablas!O1886)</f>
        <v>0</v>
      </c>
      <c r="S1886" s="422"/>
      <c r="T1886" s="2809"/>
      <c r="V1886" s="2868" t="s">
        <v>25</v>
      </c>
      <c r="W1886" s="2131"/>
      <c r="X1886" s="2340" t="str">
        <f t="shared" si="110"/>
        <v/>
      </c>
      <c r="Y1886" s="2855"/>
      <c r="Z1886" s="2852"/>
      <c r="AA1886" s="2852"/>
      <c r="AB1886" s="2852"/>
      <c r="AC1886" s="2852"/>
      <c r="AD1886" s="2852"/>
      <c r="AE1886" s="2852"/>
      <c r="AF1886" s="2852"/>
      <c r="AG1886" s="2852"/>
      <c r="AH1886" s="2852"/>
      <c r="AI1886" s="2852"/>
      <c r="AJ1886" s="2852"/>
      <c r="AK1886" s="2852"/>
      <c r="AL1886" s="2852" t="s">
        <v>8977</v>
      </c>
      <c r="AM1886" s="2852" t="s">
        <v>8977</v>
      </c>
      <c r="AN1886" s="2852" t="s">
        <v>8977</v>
      </c>
      <c r="AO1886" s="2852" t="s">
        <v>8977</v>
      </c>
      <c r="AP1886" s="2852"/>
      <c r="AQ1886" s="2852"/>
      <c r="AR1886" s="2852"/>
      <c r="AS1886" s="2852"/>
      <c r="AT1886" s="2852"/>
      <c r="AU1886" s="2852"/>
      <c r="AV1886" s="2852"/>
      <c r="AW1886" s="2852"/>
      <c r="AX1886" s="2852"/>
      <c r="AY1886" s="2852"/>
      <c r="AZ1886" s="2852"/>
      <c r="BA1886" s="2852"/>
      <c r="BB1886" s="2852"/>
      <c r="BC1886" s="2852"/>
      <c r="BD1886" s="2852"/>
      <c r="BE1886" s="2852"/>
      <c r="BF1886" s="2852"/>
      <c r="BG1886" s="2852"/>
      <c r="BH1886" s="2852"/>
      <c r="BI1886" s="2852"/>
      <c r="BJ1886" s="2852"/>
      <c r="BK1886" s="2852"/>
      <c r="BL1886" s="2842"/>
      <c r="BM1886" s="2842"/>
      <c r="BN1886" s="2842"/>
      <c r="BO1886" s="2842"/>
      <c r="BP1886" s="2842"/>
      <c r="BQ1886" s="2842"/>
      <c r="BR1886" s="2842"/>
      <c r="BS1886" s="2842"/>
      <c r="BT1886" s="2842"/>
      <c r="BU1886" s="2842"/>
      <c r="BV1886" s="2842"/>
      <c r="BW1886" s="2842"/>
      <c r="BX1886" s="2842"/>
      <c r="BY1886" s="2842"/>
      <c r="BZ1886" s="2842"/>
      <c r="CA1886" s="2869"/>
    </row>
    <row r="1887" spans="1:79" ht="12.75" customHeight="1" x14ac:dyDescent="0.2">
      <c r="A1887" s="2029">
        <v>211</v>
      </c>
      <c r="B1887" s="4995"/>
      <c r="C1887" s="2813"/>
      <c r="D1887" s="260"/>
      <c r="E1887" s="2816" t="s">
        <v>1572</v>
      </c>
      <c r="F1887" s="218">
        <v>15</v>
      </c>
      <c r="G1887" s="218">
        <v>10</v>
      </c>
      <c r="H1887" s="218">
        <f>COUNTIF(HabilidadesEsenciales_Adquiridas,Tablas!E1887)</f>
        <v>0</v>
      </c>
      <c r="I1887" s="2818"/>
      <c r="J1887" s="422"/>
      <c r="K1887" s="2809"/>
      <c r="M1887" s="1959"/>
      <c r="N1887" s="100"/>
      <c r="O1887" s="468" t="s">
        <v>9881</v>
      </c>
      <c r="P1887" s="2828">
        <v>15</v>
      </c>
      <c r="Q1887" s="575">
        <v>50</v>
      </c>
      <c r="R1887" s="2818">
        <f>COUNTIF(PoderesDeCriatura_Adquiridos,Tablas!O1887)</f>
        <v>0</v>
      </c>
      <c r="S1887" s="422"/>
      <c r="T1887" s="2809"/>
      <c r="V1887" s="2868" t="s">
        <v>27</v>
      </c>
      <c r="W1887" s="2852"/>
      <c r="X1887" s="2340" t="str">
        <f t="shared" si="110"/>
        <v/>
      </c>
      <c r="Y1887" s="2855"/>
      <c r="Z1887" s="2852"/>
      <c r="AA1887" s="2852" t="s">
        <v>8977</v>
      </c>
      <c r="AB1887" s="2852" t="s">
        <v>8977</v>
      </c>
      <c r="AC1887" s="2852"/>
      <c r="AD1887" s="1876"/>
      <c r="AE1887" s="1876"/>
      <c r="AF1887" s="1876"/>
      <c r="AG1887" s="1876"/>
      <c r="AH1887" s="1876"/>
      <c r="AI1887" s="1876"/>
      <c r="AJ1887" s="1876"/>
      <c r="AK1887" s="2852" t="s">
        <v>8977</v>
      </c>
      <c r="AL1887" s="2852" t="s">
        <v>8977</v>
      </c>
      <c r="AM1887" s="2852" t="s">
        <v>8977</v>
      </c>
      <c r="AN1887" s="2852" t="s">
        <v>8977</v>
      </c>
      <c r="AO1887" s="2852" t="s">
        <v>8977</v>
      </c>
      <c r="AP1887" s="2852"/>
      <c r="AQ1887" s="2852"/>
      <c r="AR1887" s="2852"/>
      <c r="AS1887" s="2852"/>
      <c r="AT1887" s="2852"/>
      <c r="AU1887" s="2852"/>
      <c r="AV1887" s="2852"/>
      <c r="AW1887" s="2852"/>
      <c r="AX1887" s="2852"/>
      <c r="AY1887" s="2852"/>
      <c r="AZ1887" s="2852"/>
      <c r="BA1887" s="2852"/>
      <c r="BB1887" s="2852"/>
      <c r="BC1887" s="2852"/>
      <c r="BD1887" s="2852"/>
      <c r="BE1887" s="2852"/>
      <c r="BF1887" s="2852"/>
      <c r="BG1887" s="2852"/>
      <c r="BH1887" s="2852"/>
      <c r="BI1887" s="2852"/>
      <c r="BJ1887" s="2852"/>
      <c r="BK1887" s="2852"/>
      <c r="BL1887" s="2842"/>
      <c r="BM1887" s="2842"/>
      <c r="BN1887" s="2842"/>
      <c r="BO1887" s="2842"/>
      <c r="BP1887" s="2842"/>
      <c r="BQ1887" s="2842"/>
      <c r="BR1887" s="2842"/>
      <c r="BS1887" s="2842"/>
      <c r="BT1887" s="2842"/>
      <c r="BU1887" s="2842"/>
      <c r="BV1887" s="2842"/>
      <c r="BW1887" s="2842"/>
      <c r="BX1887" s="2842"/>
      <c r="BY1887" s="2842"/>
      <c r="BZ1887" s="2842"/>
      <c r="CA1887" s="2869"/>
    </row>
    <row r="1888" spans="1:79" ht="12.75" customHeight="1" x14ac:dyDescent="0.2">
      <c r="A1888" s="2029">
        <v>211</v>
      </c>
      <c r="B1888" s="4995"/>
      <c r="C1888" s="2813"/>
      <c r="D1888" s="260"/>
      <c r="E1888" s="2816" t="s">
        <v>1573</v>
      </c>
      <c r="F1888" s="218">
        <v>20</v>
      </c>
      <c r="G1888" s="218">
        <v>20</v>
      </c>
      <c r="H1888" s="218">
        <f>COUNTIF(HabilidadesEsenciales_Adquiridas,Tablas!E1888)</f>
        <v>0</v>
      </c>
      <c r="I1888" s="2818"/>
      <c r="J1888" s="422"/>
      <c r="K1888" s="2809"/>
      <c r="M1888" s="1959"/>
      <c r="N1888" s="100"/>
      <c r="O1888" s="468" t="s">
        <v>9882</v>
      </c>
      <c r="P1888" s="2828">
        <v>20</v>
      </c>
      <c r="Q1888" s="575">
        <v>60</v>
      </c>
      <c r="R1888" s="2818">
        <f>COUNTIF(PoderesDeCriatura_Adquiridos,Tablas!O1888)</f>
        <v>0</v>
      </c>
      <c r="S1888" s="422"/>
      <c r="T1888" s="2809"/>
      <c r="V1888" s="2868" t="s">
        <v>28</v>
      </c>
      <c r="W1888" s="2852"/>
      <c r="X1888" s="2340" t="str">
        <f t="shared" si="110"/>
        <v/>
      </c>
      <c r="Y1888" s="2855"/>
      <c r="Z1888" s="2852"/>
      <c r="AA1888" s="2852"/>
      <c r="AB1888" s="2852"/>
      <c r="AC1888" s="2852"/>
      <c r="AD1888" s="1876"/>
      <c r="AE1888" s="1876"/>
      <c r="AF1888" s="1876"/>
      <c r="AG1888" s="1876"/>
      <c r="AH1888" s="1876"/>
      <c r="AI1888" s="1876"/>
      <c r="AJ1888" s="1876"/>
      <c r="AK1888" s="2852"/>
      <c r="AL1888" s="2852"/>
      <c r="AM1888" s="2852"/>
      <c r="AN1888" s="2852"/>
      <c r="AO1888" s="2852"/>
      <c r="AP1888" s="2852"/>
      <c r="AQ1888" s="2852"/>
      <c r="AR1888" s="2852"/>
      <c r="AS1888" s="2852"/>
      <c r="AT1888" s="2852"/>
      <c r="AU1888" s="2852"/>
      <c r="AV1888" s="2852"/>
      <c r="AW1888" s="2852"/>
      <c r="AX1888" s="2852"/>
      <c r="AY1888" s="2852"/>
      <c r="AZ1888" s="2852"/>
      <c r="BA1888" s="2852"/>
      <c r="BB1888" s="2852"/>
      <c r="BC1888" s="2852"/>
      <c r="BD1888" s="2852"/>
      <c r="BE1888" s="2852"/>
      <c r="BF1888" s="2852"/>
      <c r="BG1888" s="2852"/>
      <c r="BH1888" s="2852"/>
      <c r="BI1888" s="2852"/>
      <c r="BJ1888" s="2852"/>
      <c r="BK1888" s="2852"/>
      <c r="BL1888" s="2842"/>
      <c r="BM1888" s="2842"/>
      <c r="BN1888" s="2842"/>
      <c r="BO1888" s="2842"/>
      <c r="BP1888" s="2842"/>
      <c r="BQ1888" s="2842"/>
      <c r="BR1888" s="2842"/>
      <c r="BS1888" s="2842"/>
      <c r="BT1888" s="2842"/>
      <c r="BU1888" s="2842"/>
      <c r="BV1888" s="2842"/>
      <c r="BW1888" s="2842"/>
      <c r="BX1888" s="2842"/>
      <c r="BY1888" s="2842"/>
      <c r="BZ1888" s="2842"/>
      <c r="CA1888" s="2869"/>
    </row>
    <row r="1889" spans="1:79" ht="12.75" customHeight="1" x14ac:dyDescent="0.2">
      <c r="A1889" s="2029">
        <v>211</v>
      </c>
      <c r="B1889" s="4995"/>
      <c r="C1889" s="2813"/>
      <c r="D1889" s="260"/>
      <c r="E1889" s="2816" t="s">
        <v>1574</v>
      </c>
      <c r="F1889" s="218">
        <v>20</v>
      </c>
      <c r="G1889" s="218">
        <v>10</v>
      </c>
      <c r="H1889" s="218">
        <f>COUNTIF(HabilidadesEsenciales_Adquiridas,Tablas!E1889)</f>
        <v>0</v>
      </c>
      <c r="I1889" s="2818"/>
      <c r="J1889" s="422"/>
      <c r="K1889" s="2809"/>
      <c r="M1889" s="1959"/>
      <c r="N1889" s="100"/>
      <c r="O1889" s="468" t="s">
        <v>9883</v>
      </c>
      <c r="P1889" s="2828">
        <v>25</v>
      </c>
      <c r="Q1889" s="575">
        <v>80</v>
      </c>
      <c r="R1889" s="2818">
        <f>COUNTIF(PoderesDeCriatura_Adquiridos,Tablas!O1889)</f>
        <v>0</v>
      </c>
      <c r="S1889" s="422"/>
      <c r="T1889" s="2809"/>
      <c r="V1889" s="2868" t="s">
        <v>9502</v>
      </c>
      <c r="W1889" s="2836"/>
      <c r="X1889" s="2340" t="str">
        <f t="shared" si="110"/>
        <v>PodHab_Espaciocerrado</v>
      </c>
      <c r="Y1889" s="2855" t="s">
        <v>9810</v>
      </c>
      <c r="Z1889" s="2852" t="s">
        <v>9811</v>
      </c>
      <c r="AA1889" s="2852" t="s">
        <v>9812</v>
      </c>
      <c r="AB1889" s="2852"/>
      <c r="AC1889" s="2852"/>
      <c r="AD1889" s="1876"/>
      <c r="AE1889" s="1876"/>
      <c r="AF1889" s="1876"/>
      <c r="AG1889" s="1876"/>
      <c r="AH1889" s="1876"/>
      <c r="AI1889" s="1876"/>
      <c r="AJ1889" s="1876"/>
      <c r="AK1889" s="2852"/>
      <c r="AL1889" s="2852"/>
      <c r="AM1889" s="2852"/>
      <c r="AN1889" s="2852"/>
      <c r="AO1889" s="2852"/>
      <c r="AP1889" s="2852"/>
      <c r="AQ1889" s="2852"/>
      <c r="AR1889" s="2852"/>
      <c r="AS1889" s="2852"/>
      <c r="AT1889" s="2852"/>
      <c r="AU1889" s="2852"/>
      <c r="AV1889" s="2852"/>
      <c r="AW1889" s="2852"/>
      <c r="AX1889" s="2852"/>
      <c r="AY1889" s="2852"/>
      <c r="AZ1889" s="2852"/>
      <c r="BA1889" s="2852"/>
      <c r="BB1889" s="2852"/>
      <c r="BC1889" s="2852"/>
      <c r="BD1889" s="2852"/>
      <c r="BE1889" s="2852"/>
      <c r="BF1889" s="2852"/>
      <c r="BG1889" s="2852"/>
      <c r="BH1889" s="2852"/>
      <c r="BI1889" s="2852"/>
      <c r="BJ1889" s="2852"/>
      <c r="BK1889" s="2852"/>
      <c r="BL1889" s="2842"/>
      <c r="BM1889" s="2842"/>
      <c r="BN1889" s="2842"/>
      <c r="BO1889" s="2842"/>
      <c r="BP1889" s="2842"/>
      <c r="BQ1889" s="2842"/>
      <c r="BR1889" s="2842"/>
      <c r="BS1889" s="2842"/>
      <c r="BT1889" s="2842"/>
      <c r="BU1889" s="2842"/>
      <c r="BV1889" s="2842"/>
      <c r="BW1889" s="2842"/>
      <c r="BX1889" s="2842"/>
      <c r="BY1889" s="2842"/>
      <c r="BZ1889" s="2842"/>
      <c r="CA1889" s="2869"/>
    </row>
    <row r="1890" spans="1:79" ht="12.75" customHeight="1" x14ac:dyDescent="0.2">
      <c r="A1890" s="2029">
        <v>211</v>
      </c>
      <c r="B1890" s="4995"/>
      <c r="C1890" s="2813"/>
      <c r="D1890" s="260"/>
      <c r="E1890" s="2816" t="s">
        <v>1575</v>
      </c>
      <c r="F1890" s="218">
        <v>15</v>
      </c>
      <c r="G1890" s="218">
        <v>10</v>
      </c>
      <c r="H1890" s="218">
        <f>COUNTIF(HabilidadesEsenciales_Adquiridas,Tablas!E1890)</f>
        <v>0</v>
      </c>
      <c r="I1890" s="2818"/>
      <c r="J1890" s="422"/>
      <c r="K1890" s="2809"/>
      <c r="M1890" s="1959"/>
      <c r="N1890" s="100"/>
      <c r="O1890" s="468" t="s">
        <v>9884</v>
      </c>
      <c r="P1890" s="2828">
        <v>30</v>
      </c>
      <c r="Q1890" s="575">
        <v>100</v>
      </c>
      <c r="R1890" s="2818">
        <f>COUNTIF(PoderesDeCriatura_Adquiridos,Tablas!O1890)</f>
        <v>0</v>
      </c>
      <c r="S1890" s="422"/>
      <c r="T1890" s="2809"/>
      <c r="V1890" s="2868" t="s">
        <v>9501</v>
      </c>
      <c r="W1890" s="2836"/>
      <c r="X1890" s="2340" t="str">
        <f t="shared" si="110"/>
        <v>PodHab_Existenciacompacta</v>
      </c>
      <c r="Y1890" s="2855" t="s">
        <v>2409</v>
      </c>
      <c r="Z1890" s="2852" t="s">
        <v>2410</v>
      </c>
      <c r="AA1890" s="2852"/>
      <c r="AB1890" s="2852"/>
      <c r="AC1890" s="2852"/>
      <c r="AD1890" s="1876"/>
      <c r="AE1890" s="1876"/>
      <c r="AF1890" s="1876"/>
      <c r="AG1890" s="1876"/>
      <c r="AH1890" s="1876"/>
      <c r="AI1890" s="1876"/>
      <c r="AJ1890" s="1876"/>
      <c r="AK1890" s="2852"/>
      <c r="AL1890" s="2852"/>
      <c r="AM1890" s="2852"/>
      <c r="AN1890" s="2852"/>
      <c r="AO1890" s="2852"/>
      <c r="AP1890" s="2852"/>
      <c r="AQ1890" s="2852"/>
      <c r="AR1890" s="2852"/>
      <c r="AS1890" s="2852"/>
      <c r="AT1890" s="2852"/>
      <c r="AU1890" s="2852"/>
      <c r="AV1890" s="2852"/>
      <c r="AW1890" s="2852"/>
      <c r="AX1890" s="2852"/>
      <c r="AY1890" s="2852"/>
      <c r="AZ1890" s="2852"/>
      <c r="BA1890" s="2852"/>
      <c r="BB1890" s="2852"/>
      <c r="BC1890" s="2852"/>
      <c r="BD1890" s="2852"/>
      <c r="BE1890" s="2852"/>
      <c r="BF1890" s="2852"/>
      <c r="BG1890" s="2852"/>
      <c r="BH1890" s="2852"/>
      <c r="BI1890" s="2852"/>
      <c r="BJ1890" s="2852"/>
      <c r="BK1890" s="2852"/>
      <c r="BL1890" s="2842"/>
      <c r="BM1890" s="2842"/>
      <c r="BN1890" s="2842"/>
      <c r="BO1890" s="2842"/>
      <c r="BP1890" s="2842"/>
      <c r="BQ1890" s="2842"/>
      <c r="BR1890" s="2842"/>
      <c r="BS1890" s="2842"/>
      <c r="BT1890" s="2842"/>
      <c r="BU1890" s="2842"/>
      <c r="BV1890" s="2842"/>
      <c r="BW1890" s="2842"/>
      <c r="BX1890" s="2842"/>
      <c r="BY1890" s="2842"/>
      <c r="BZ1890" s="2842"/>
      <c r="CA1890" s="2869"/>
    </row>
    <row r="1891" spans="1:79" ht="12.75" customHeight="1" x14ac:dyDescent="0.2">
      <c r="A1891" s="2029">
        <v>211</v>
      </c>
      <c r="B1891" s="4995"/>
      <c r="C1891" s="2813"/>
      <c r="D1891" s="260"/>
      <c r="E1891" s="2816" t="s">
        <v>1576</v>
      </c>
      <c r="F1891" s="218">
        <v>20</v>
      </c>
      <c r="G1891" s="218">
        <v>50</v>
      </c>
      <c r="H1891" s="218">
        <f>COUNTIF(HabilidadesEsenciales_Adquiridas,Tablas!E1891)</f>
        <v>0</v>
      </c>
      <c r="I1891" s="2818">
        <v>2</v>
      </c>
      <c r="J1891" s="422"/>
      <c r="K1891" s="2809"/>
      <c r="M1891" s="1959"/>
      <c r="N1891" s="100"/>
      <c r="O1891" s="468" t="s">
        <v>9885</v>
      </c>
      <c r="P1891" s="2828">
        <v>35</v>
      </c>
      <c r="Q1891" s="575">
        <v>120</v>
      </c>
      <c r="R1891" s="2818">
        <f>COUNTIF(PoderesDeCriatura_Adquiridos,Tablas!O1891)</f>
        <v>0</v>
      </c>
      <c r="S1891" s="422"/>
      <c r="T1891" s="2809"/>
      <c r="V1891" s="2868" t="s">
        <v>26</v>
      </c>
      <c r="W1891" s="2852"/>
      <c r="X1891" s="2340" t="str">
        <f t="shared" si="110"/>
        <v/>
      </c>
      <c r="Y1891" s="2855"/>
      <c r="Z1891" s="2852"/>
      <c r="AA1891" s="2852"/>
      <c r="AB1891" s="2852"/>
      <c r="AC1891" s="2852"/>
      <c r="AD1891" s="1876"/>
      <c r="AE1891" s="1876"/>
      <c r="AF1891" s="1876"/>
      <c r="AG1891" s="1876"/>
      <c r="AH1891" s="1876"/>
      <c r="AI1891" s="1876"/>
      <c r="AJ1891" s="1876"/>
      <c r="AK1891" s="2852"/>
      <c r="AL1891" s="2852"/>
      <c r="AM1891" s="2852"/>
      <c r="AN1891" s="2852"/>
      <c r="AO1891" s="2852"/>
      <c r="AP1891" s="2852"/>
      <c r="AQ1891" s="2852"/>
      <c r="AR1891" s="2852"/>
      <c r="AS1891" s="2852"/>
      <c r="AT1891" s="2852"/>
      <c r="AU1891" s="2852"/>
      <c r="AV1891" s="2852"/>
      <c r="AW1891" s="2852"/>
      <c r="AX1891" s="2852"/>
      <c r="AY1891" s="2852"/>
      <c r="AZ1891" s="2852"/>
      <c r="BA1891" s="2852"/>
      <c r="BB1891" s="2852"/>
      <c r="BC1891" s="2852"/>
      <c r="BD1891" s="2852"/>
      <c r="BE1891" s="2852"/>
      <c r="BF1891" s="2852"/>
      <c r="BG1891" s="2852"/>
      <c r="BH1891" s="2852"/>
      <c r="BI1891" s="2852"/>
      <c r="BJ1891" s="2852"/>
      <c r="BK1891" s="2852"/>
      <c r="BL1891" s="2842"/>
      <c r="BM1891" s="2842"/>
      <c r="BN1891" s="2842"/>
      <c r="BO1891" s="2842"/>
      <c r="BP1891" s="2842"/>
      <c r="BQ1891" s="2842"/>
      <c r="BR1891" s="2842"/>
      <c r="BS1891" s="2842"/>
      <c r="BT1891" s="2842"/>
      <c r="BU1891" s="2842"/>
      <c r="BV1891" s="2842"/>
      <c r="BW1891" s="2842"/>
      <c r="BX1891" s="2842"/>
      <c r="BY1891" s="2842"/>
      <c r="BZ1891" s="2842"/>
      <c r="CA1891" s="2869"/>
    </row>
    <row r="1892" spans="1:79" ht="12.75" customHeight="1" x14ac:dyDescent="0.2">
      <c r="A1892" s="2029">
        <v>211</v>
      </c>
      <c r="B1892" s="4995"/>
      <c r="C1892" s="2813"/>
      <c r="D1892" s="260"/>
      <c r="E1892" s="2816" t="s">
        <v>10314</v>
      </c>
      <c r="F1892" s="218">
        <v>20</v>
      </c>
      <c r="G1892" s="218">
        <v>10</v>
      </c>
      <c r="H1892" s="218">
        <f>COUNTIF(HabilidadesEsenciales_Adquiridas,Tablas!E1892)</f>
        <v>0</v>
      </c>
      <c r="I1892" s="2818"/>
      <c r="J1892" s="422"/>
      <c r="K1892" s="2809"/>
      <c r="M1892" s="1959"/>
      <c r="N1892" s="100"/>
      <c r="O1892" s="468" t="s">
        <v>9886</v>
      </c>
      <c r="P1892" s="2828">
        <v>40</v>
      </c>
      <c r="Q1892" s="575">
        <v>140</v>
      </c>
      <c r="R1892" s="2818">
        <f>COUNTIF(PoderesDeCriatura_Adquiridos,Tablas!O1892)</f>
        <v>0</v>
      </c>
      <c r="S1892" s="422"/>
      <c r="T1892" s="2809"/>
      <c r="V1892" s="2868" t="s">
        <v>29</v>
      </c>
      <c r="W1892" s="2131"/>
      <c r="X1892" s="2838"/>
      <c r="Y1892" s="2855"/>
      <c r="Z1892" s="2852"/>
      <c r="AA1892" s="2852"/>
      <c r="AB1892" s="2852"/>
      <c r="AC1892" s="2852"/>
      <c r="AD1892" s="2852"/>
      <c r="AE1892" s="2852"/>
      <c r="AF1892" s="2852"/>
      <c r="AG1892" s="2852"/>
      <c r="AH1892" s="2852"/>
      <c r="AI1892" s="2852"/>
      <c r="AJ1892" s="2852"/>
      <c r="AK1892" s="2852"/>
      <c r="AL1892" s="2852"/>
      <c r="AM1892" s="2852"/>
      <c r="AN1892" s="2852"/>
      <c r="AO1892" s="2852"/>
      <c r="AP1892" s="2852"/>
      <c r="AQ1892" s="2852"/>
      <c r="AR1892" s="2852"/>
      <c r="AS1892" s="2852"/>
      <c r="AT1892" s="2852"/>
      <c r="AU1892" s="2852"/>
      <c r="AV1892" s="2852"/>
      <c r="AW1892" s="2852"/>
      <c r="AX1892" s="2852"/>
      <c r="AY1892" s="2852"/>
      <c r="AZ1892" s="2852"/>
      <c r="BA1892" s="2852"/>
      <c r="BB1892" s="2852"/>
      <c r="BC1892" s="2852"/>
      <c r="BD1892" s="2852"/>
      <c r="BE1892" s="2852"/>
      <c r="BF1892" s="2852"/>
      <c r="BG1892" s="2852"/>
      <c r="BH1892" s="2852"/>
      <c r="BI1892" s="2852"/>
      <c r="BJ1892" s="2852"/>
      <c r="BK1892" s="2852"/>
      <c r="BL1892" s="2842"/>
      <c r="BM1892" s="2842"/>
      <c r="BN1892" s="2842"/>
      <c r="BO1892" s="2842"/>
      <c r="BP1892" s="2842"/>
      <c r="BQ1892" s="2842"/>
      <c r="BR1892" s="2842"/>
      <c r="BS1892" s="2842"/>
      <c r="BT1892" s="2842"/>
      <c r="BU1892" s="2842"/>
      <c r="BV1892" s="2842"/>
      <c r="BW1892" s="2842"/>
      <c r="BX1892" s="2842"/>
      <c r="BY1892" s="2842"/>
      <c r="BZ1892" s="2842"/>
      <c r="CA1892" s="2869"/>
    </row>
    <row r="1893" spans="1:79" ht="12.75" customHeight="1" x14ac:dyDescent="0.2">
      <c r="A1893" s="2029">
        <v>211</v>
      </c>
      <c r="B1893" s="4995"/>
      <c r="C1893" s="2813"/>
      <c r="D1893" s="260"/>
      <c r="E1893" s="2816" t="s">
        <v>9456</v>
      </c>
      <c r="F1893" s="218">
        <v>25</v>
      </c>
      <c r="G1893" s="218">
        <v>30</v>
      </c>
      <c r="H1893" s="218">
        <f>COUNTIF(HabilidadesEsenciales_Adquiridas,Tablas!E1893)</f>
        <v>0</v>
      </c>
      <c r="I1893" s="2818"/>
      <c r="J1893" s="422"/>
      <c r="K1893" s="2809"/>
      <c r="M1893" s="1959"/>
      <c r="N1893" s="100"/>
      <c r="O1893" s="468" t="s">
        <v>9887</v>
      </c>
      <c r="P1893" s="2811">
        <v>10</v>
      </c>
      <c r="Q1893" s="575">
        <f>20+IF(OR(TipoDeCriatura="Entre mundos, Elemental",TipoDeCriatura="Ánima, Elemental"),10,0)</f>
        <v>20</v>
      </c>
      <c r="R1893" s="2818">
        <f>COUNTIF(PoderesDeCriatura_Adquiridos,Tablas!O1893)</f>
        <v>0</v>
      </c>
      <c r="S1893" s="422"/>
      <c r="T1893" s="2809"/>
      <c r="V1893" s="2868" t="str">
        <f t="shared" ref="V1893:V1902" si="111">O2307</f>
        <v>Poder #1</v>
      </c>
      <c r="W1893" s="2836"/>
      <c r="X1893" s="2838"/>
      <c r="Y1893" s="2855"/>
      <c r="Z1893" s="2852"/>
      <c r="AA1893" s="2852"/>
      <c r="AB1893" s="2852"/>
      <c r="AC1893" s="2852"/>
      <c r="AD1893" s="2852"/>
      <c r="AE1893" s="2852"/>
      <c r="AF1893" s="2852"/>
      <c r="AG1893" s="2852"/>
      <c r="AH1893" s="2852"/>
      <c r="AI1893" s="2852"/>
      <c r="AJ1893" s="2852"/>
      <c r="AK1893" s="2852"/>
      <c r="AL1893" s="2852"/>
      <c r="AM1893" s="2852"/>
      <c r="AN1893" s="2852"/>
      <c r="AO1893" s="2852"/>
      <c r="AP1893" s="2852"/>
      <c r="AQ1893" s="2852"/>
      <c r="AR1893" s="2852"/>
      <c r="AS1893" s="2852"/>
      <c r="AT1893" s="2852"/>
      <c r="AU1893" s="2852"/>
      <c r="AV1893" s="2852"/>
      <c r="AW1893" s="2852"/>
      <c r="AX1893" s="2852"/>
      <c r="AY1893" s="2852"/>
      <c r="AZ1893" s="2852"/>
      <c r="BA1893" s="2852"/>
      <c r="BB1893" s="2852"/>
      <c r="BC1893" s="2852"/>
      <c r="BD1893" s="2852"/>
      <c r="BE1893" s="2852"/>
      <c r="BF1893" s="2852"/>
      <c r="BG1893" s="2852"/>
      <c r="BH1893" s="2852"/>
      <c r="BI1893" s="2852"/>
      <c r="BJ1893" s="2852"/>
      <c r="BK1893" s="2852"/>
      <c r="BL1893" s="2842"/>
      <c r="BM1893" s="2842"/>
      <c r="BN1893" s="2842"/>
      <c r="BO1893" s="2842"/>
      <c r="BP1893" s="2842"/>
      <c r="BQ1893" s="2842"/>
      <c r="BR1893" s="2842"/>
      <c r="BS1893" s="2842"/>
      <c r="BT1893" s="2842"/>
      <c r="BU1893" s="2842"/>
      <c r="BV1893" s="2842"/>
      <c r="BW1893" s="2842"/>
      <c r="BX1893" s="2842"/>
      <c r="BY1893" s="2842"/>
      <c r="BZ1893" s="2842"/>
      <c r="CA1893" s="2869"/>
    </row>
    <row r="1894" spans="1:79" ht="12.75" customHeight="1" x14ac:dyDescent="0.2">
      <c r="A1894" s="2029">
        <v>211</v>
      </c>
      <c r="B1894" s="4995"/>
      <c r="C1894" s="2813"/>
      <c r="D1894" s="260"/>
      <c r="E1894" s="2816" t="s">
        <v>1579</v>
      </c>
      <c r="F1894" s="218">
        <v>10</v>
      </c>
      <c r="G1894" s="218">
        <v>20</v>
      </c>
      <c r="H1894" s="218">
        <f>COUNTIF(HabilidadesEsenciales_Adquiridas,Tablas!E1894)</f>
        <v>0</v>
      </c>
      <c r="I1894" s="2818"/>
      <c r="J1894" s="422"/>
      <c r="K1894" s="2809"/>
      <c r="M1894" s="1959"/>
      <c r="N1894" s="100"/>
      <c r="O1894" s="468" t="s">
        <v>9888</v>
      </c>
      <c r="P1894" s="2811">
        <v>20</v>
      </c>
      <c r="Q1894" s="575">
        <f>20+IF(OR(TipoDeCriatura="Entre mundos, Elemental",TipoDeCriatura="Ánima, Elemental"),10,0)</f>
        <v>20</v>
      </c>
      <c r="R1894" s="2818">
        <f>COUNTIF(PoderesDeCriatura_Adquiridos,Tablas!O1894)</f>
        <v>0</v>
      </c>
      <c r="S1894" s="422"/>
      <c r="T1894" s="2809"/>
      <c r="V1894" s="2868" t="str">
        <f t="shared" si="111"/>
        <v>Poder #2</v>
      </c>
      <c r="W1894" s="2836"/>
      <c r="X1894" s="2838"/>
      <c r="Y1894" s="2855"/>
      <c r="Z1894" s="2852"/>
      <c r="AA1894" s="2852"/>
      <c r="AB1894" s="2852"/>
      <c r="AC1894" s="2852"/>
      <c r="AD1894" s="2852"/>
      <c r="AE1894" s="2852"/>
      <c r="AF1894" s="2852"/>
      <c r="AG1894" s="2852"/>
      <c r="AH1894" s="2852"/>
      <c r="AI1894" s="2852"/>
      <c r="AJ1894" s="2852"/>
      <c r="AK1894" s="2852"/>
      <c r="AL1894" s="2852"/>
      <c r="AM1894" s="2852"/>
      <c r="AN1894" s="2852"/>
      <c r="AO1894" s="2852"/>
      <c r="AP1894" s="2852"/>
      <c r="AQ1894" s="2852"/>
      <c r="AR1894" s="2852"/>
      <c r="AS1894" s="2852"/>
      <c r="AT1894" s="2852"/>
      <c r="AU1894" s="2852"/>
      <c r="AV1894" s="2852"/>
      <c r="AW1894" s="2852"/>
      <c r="AX1894" s="2852"/>
      <c r="AY1894" s="2852"/>
      <c r="AZ1894" s="2852"/>
      <c r="BA1894" s="2852"/>
      <c r="BB1894" s="2852"/>
      <c r="BC1894" s="2852"/>
      <c r="BD1894" s="2852"/>
      <c r="BE1894" s="2852"/>
      <c r="BF1894" s="2852"/>
      <c r="BG1894" s="2852"/>
      <c r="BH1894" s="2852"/>
      <c r="BI1894" s="2852"/>
      <c r="BJ1894" s="2852"/>
      <c r="BK1894" s="2852"/>
      <c r="BL1894" s="2842"/>
      <c r="BM1894" s="2842"/>
      <c r="BN1894" s="2842"/>
      <c r="BO1894" s="2842"/>
      <c r="BP1894" s="2842"/>
      <c r="BQ1894" s="2842"/>
      <c r="BR1894" s="2842"/>
      <c r="BS1894" s="2842"/>
      <c r="BT1894" s="2842"/>
      <c r="BU1894" s="2842"/>
      <c r="BV1894" s="2842"/>
      <c r="BW1894" s="2842"/>
      <c r="BX1894" s="2842"/>
      <c r="BY1894" s="2842"/>
      <c r="BZ1894" s="2842"/>
      <c r="CA1894" s="2869"/>
    </row>
    <row r="1895" spans="1:79" ht="12.75" customHeight="1" x14ac:dyDescent="0.2">
      <c r="A1895" s="2029">
        <v>211</v>
      </c>
      <c r="B1895" s="4995"/>
      <c r="C1895" s="2813"/>
      <c r="D1895" s="260"/>
      <c r="E1895" s="2816" t="s">
        <v>1580</v>
      </c>
      <c r="F1895" s="218">
        <v>0</v>
      </c>
      <c r="G1895" s="218">
        <v>0</v>
      </c>
      <c r="H1895" s="218"/>
      <c r="I1895" s="2818"/>
      <c r="J1895" s="422"/>
      <c r="K1895" s="2809"/>
      <c r="M1895" s="1959"/>
      <c r="N1895" s="100"/>
      <c r="O1895" s="468" t="s">
        <v>9889</v>
      </c>
      <c r="P1895" s="2828">
        <v>10</v>
      </c>
      <c r="Q1895" s="575">
        <f>20+IF(OR(TipoDeCriatura="Entre mundos, Elemental",TipoDeCriatura="Ánima, Elemental"),10,0)</f>
        <v>20</v>
      </c>
      <c r="R1895" s="2818">
        <f>COUNTIF(PoderesDeCriatura_Adquiridos,Tablas!O1895)</f>
        <v>0</v>
      </c>
      <c r="S1895" s="422"/>
      <c r="T1895" s="2809"/>
      <c r="V1895" s="2868" t="str">
        <f t="shared" si="111"/>
        <v>Poder #3</v>
      </c>
      <c r="W1895" s="2836"/>
      <c r="X1895" s="2838"/>
      <c r="Y1895" s="2857"/>
      <c r="Z1895" s="2842"/>
      <c r="AA1895" s="2842"/>
      <c r="AB1895" s="2842"/>
      <c r="AC1895" s="2842"/>
      <c r="AD1895" s="2842"/>
      <c r="AE1895" s="2842"/>
      <c r="AF1895" s="2842"/>
      <c r="AG1895" s="2842"/>
      <c r="AH1895" s="2842"/>
      <c r="AI1895" s="2842"/>
      <c r="AJ1895" s="2842"/>
      <c r="AK1895" s="2842"/>
      <c r="AL1895" s="2842"/>
      <c r="AM1895" s="2842"/>
      <c r="AN1895" s="2842"/>
      <c r="AO1895" s="2842"/>
      <c r="AP1895" s="2842"/>
      <c r="AQ1895" s="2842"/>
      <c r="AR1895" s="2842"/>
      <c r="AS1895" s="2842"/>
      <c r="AT1895" s="2842"/>
      <c r="AU1895" s="2842"/>
      <c r="AV1895" s="2842"/>
      <c r="AW1895" s="2842"/>
      <c r="AX1895" s="2842"/>
      <c r="AY1895" s="2842"/>
      <c r="AZ1895" s="2842"/>
      <c r="BA1895" s="2842"/>
      <c r="BB1895" s="2842"/>
      <c r="BC1895" s="2842"/>
      <c r="BD1895" s="2842"/>
      <c r="BE1895" s="2842"/>
      <c r="BF1895" s="2842"/>
      <c r="BG1895" s="2842"/>
      <c r="BH1895" s="2842"/>
      <c r="BI1895" s="2842"/>
      <c r="BJ1895" s="2842"/>
      <c r="BK1895" s="2842"/>
      <c r="BL1895" s="2842"/>
      <c r="BM1895" s="2842"/>
      <c r="BN1895" s="2842"/>
      <c r="BO1895" s="2842"/>
      <c r="BP1895" s="2842"/>
      <c r="BQ1895" s="2842"/>
      <c r="BR1895" s="2842"/>
      <c r="BS1895" s="2842"/>
      <c r="BT1895" s="2842"/>
      <c r="BU1895" s="2842"/>
      <c r="BV1895" s="2842"/>
      <c r="BW1895" s="2842"/>
      <c r="BX1895" s="2842"/>
      <c r="BY1895" s="2842"/>
      <c r="BZ1895" s="2842"/>
      <c r="CA1895" s="2869"/>
    </row>
    <row r="1896" spans="1:79" ht="12.75" customHeight="1" x14ac:dyDescent="0.2">
      <c r="A1896" s="2029">
        <v>211</v>
      </c>
      <c r="B1896" s="4995"/>
      <c r="C1896" s="2813"/>
      <c r="D1896" s="260"/>
      <c r="E1896" s="2816" t="s">
        <v>1581</v>
      </c>
      <c r="F1896" s="218">
        <v>5</v>
      </c>
      <c r="G1896" s="218">
        <v>30</v>
      </c>
      <c r="H1896" s="218">
        <f>COUNTIF(HabilidadesEsenciales_Adquiridas,Tablas!E1896)</f>
        <v>0</v>
      </c>
      <c r="I1896" s="2818">
        <v>1</v>
      </c>
      <c r="J1896" s="422"/>
      <c r="K1896" s="2809"/>
      <c r="M1896" s="1959"/>
      <c r="N1896" s="100"/>
      <c r="O1896" s="468" t="s">
        <v>9890</v>
      </c>
      <c r="P1896" s="2828">
        <v>20</v>
      </c>
      <c r="Q1896" s="575">
        <f>40+IF(OR(TipoDeCriatura="Entre mundos, Elemental",TipoDeCriatura="Ánima, Elemental"),10,0)</f>
        <v>40</v>
      </c>
      <c r="R1896" s="2818">
        <f>COUNTIF(PoderesDeCriatura_Adquiridos,Tablas!O1896)</f>
        <v>0</v>
      </c>
      <c r="S1896" s="422"/>
      <c r="T1896" s="2809"/>
      <c r="V1896" s="2868" t="str">
        <f t="shared" si="111"/>
        <v>Poder #4</v>
      </c>
      <c r="W1896" s="2836"/>
      <c r="X1896" s="2838"/>
      <c r="Y1896" s="2857"/>
      <c r="Z1896" s="2842"/>
      <c r="AA1896" s="2842"/>
      <c r="AB1896" s="2842"/>
      <c r="AC1896" s="2842"/>
      <c r="AD1896" s="2842"/>
      <c r="AE1896" s="2842"/>
      <c r="AF1896" s="2842"/>
      <c r="AG1896" s="2842"/>
      <c r="AH1896" s="2842"/>
      <c r="AI1896" s="2842"/>
      <c r="AJ1896" s="2842"/>
      <c r="AK1896" s="2842"/>
      <c r="AL1896" s="2842"/>
      <c r="AM1896" s="2842"/>
      <c r="AN1896" s="2842"/>
      <c r="AO1896" s="2842"/>
      <c r="AP1896" s="2842"/>
      <c r="AQ1896" s="2842"/>
      <c r="AR1896" s="2842"/>
      <c r="AS1896" s="2842"/>
      <c r="AT1896" s="2842"/>
      <c r="AU1896" s="2842"/>
      <c r="AV1896" s="2842"/>
      <c r="AW1896" s="2842"/>
      <c r="AX1896" s="2842"/>
      <c r="AY1896" s="2842"/>
      <c r="AZ1896" s="2842"/>
      <c r="BA1896" s="2842"/>
      <c r="BB1896" s="2842"/>
      <c r="BC1896" s="2842"/>
      <c r="BD1896" s="2842"/>
      <c r="BE1896" s="2842"/>
      <c r="BF1896" s="2842"/>
      <c r="BG1896" s="2842"/>
      <c r="BH1896" s="2842"/>
      <c r="BI1896" s="2842"/>
      <c r="BJ1896" s="2842"/>
      <c r="BK1896" s="2842"/>
      <c r="BL1896" s="2842"/>
      <c r="BM1896" s="2842"/>
      <c r="BN1896" s="2842"/>
      <c r="BO1896" s="2842"/>
      <c r="BP1896" s="2842"/>
      <c r="BQ1896" s="2842"/>
      <c r="BR1896" s="2842"/>
      <c r="BS1896" s="2842"/>
      <c r="BT1896" s="2842"/>
      <c r="BU1896" s="2842"/>
      <c r="BV1896" s="2842"/>
      <c r="BW1896" s="2842"/>
      <c r="BX1896" s="2842"/>
      <c r="BY1896" s="2842"/>
      <c r="BZ1896" s="2842"/>
      <c r="CA1896" s="2869"/>
    </row>
    <row r="1897" spans="1:79" ht="12.75" customHeight="1" x14ac:dyDescent="0.2">
      <c r="A1897" s="2029">
        <v>211</v>
      </c>
      <c r="B1897" s="4995"/>
      <c r="C1897" s="2813"/>
      <c r="D1897" s="260"/>
      <c r="E1897" s="2816" t="s">
        <v>10315</v>
      </c>
      <c r="F1897" s="218">
        <v>10</v>
      </c>
      <c r="G1897" s="218">
        <v>10</v>
      </c>
      <c r="H1897" s="218">
        <f>COUNTIF(HabilidadesEsenciales_Adquiridas,Tablas!E1897)</f>
        <v>0</v>
      </c>
      <c r="I1897" s="2818">
        <v>1</v>
      </c>
      <c r="J1897" s="422"/>
      <c r="K1897" s="2809"/>
      <c r="M1897" s="1959"/>
      <c r="N1897" s="100"/>
      <c r="O1897" s="468" t="s">
        <v>9891</v>
      </c>
      <c r="P1897" s="2828">
        <v>10</v>
      </c>
      <c r="Q1897" s="575">
        <f>50+IF(OR(TipoDeCriatura="Entre mundos, Elemental",TipoDeCriatura="Ánima, Elemental"),10,0)</f>
        <v>50</v>
      </c>
      <c r="R1897" s="2818">
        <f>COUNTIF(PoderesDeCriatura_Adquiridos,Tablas!O1897)</f>
        <v>0</v>
      </c>
      <c r="S1897" s="422"/>
      <c r="T1897" s="2809"/>
      <c r="V1897" s="2868" t="str">
        <f t="shared" si="111"/>
        <v>Poder #5</v>
      </c>
      <c r="W1897" s="2836"/>
      <c r="X1897" s="2838"/>
      <c r="Y1897" s="2857"/>
      <c r="Z1897" s="2842"/>
      <c r="AA1897" s="2842"/>
      <c r="AB1897" s="2842"/>
      <c r="AC1897" s="2842"/>
      <c r="AD1897" s="2842"/>
      <c r="AE1897" s="2842"/>
      <c r="AF1897" s="2842"/>
      <c r="AG1897" s="2842"/>
      <c r="AH1897" s="2842"/>
      <c r="AI1897" s="2842"/>
      <c r="AJ1897" s="2842"/>
      <c r="AK1897" s="2842"/>
      <c r="AL1897" s="2842"/>
      <c r="AM1897" s="2842"/>
      <c r="AN1897" s="2842"/>
      <c r="AO1897" s="2842"/>
      <c r="AP1897" s="2842"/>
      <c r="AQ1897" s="2842"/>
      <c r="AR1897" s="2842"/>
      <c r="AS1897" s="2842"/>
      <c r="AT1897" s="2842"/>
      <c r="AU1897" s="2842"/>
      <c r="AV1897" s="2842"/>
      <c r="AW1897" s="2842"/>
      <c r="AX1897" s="2842"/>
      <c r="AY1897" s="2842"/>
      <c r="AZ1897" s="2842"/>
      <c r="BA1897" s="2842"/>
      <c r="BB1897" s="2842"/>
      <c r="BC1897" s="2842"/>
      <c r="BD1897" s="2842"/>
      <c r="BE1897" s="2842"/>
      <c r="BF1897" s="2842"/>
      <c r="BG1897" s="2842"/>
      <c r="BH1897" s="2842"/>
      <c r="BI1897" s="2842"/>
      <c r="BJ1897" s="2842"/>
      <c r="BK1897" s="2842"/>
      <c r="BL1897" s="2842"/>
      <c r="BM1897" s="2842"/>
      <c r="BN1897" s="2842"/>
      <c r="BO1897" s="2842"/>
      <c r="BP1897" s="2842"/>
      <c r="BQ1897" s="2842"/>
      <c r="BR1897" s="2842"/>
      <c r="BS1897" s="2842"/>
      <c r="BT1897" s="2842"/>
      <c r="BU1897" s="2842"/>
      <c r="BV1897" s="2842"/>
      <c r="BW1897" s="2842"/>
      <c r="BX1897" s="2842"/>
      <c r="BY1897" s="2842"/>
      <c r="BZ1897" s="2842"/>
      <c r="CA1897" s="2869"/>
    </row>
    <row r="1898" spans="1:79" ht="12.75" customHeight="1" x14ac:dyDescent="0.2">
      <c r="A1898" s="2029">
        <v>211</v>
      </c>
      <c r="B1898" s="4995"/>
      <c r="C1898" s="2813"/>
      <c r="D1898" s="260"/>
      <c r="E1898" s="2816" t="s">
        <v>10316</v>
      </c>
      <c r="F1898" s="218">
        <v>15</v>
      </c>
      <c r="G1898" s="218">
        <v>20</v>
      </c>
      <c r="H1898" s="218">
        <f>COUNTIF(HabilidadesEsenciales_Adquiridas,Tablas!E1898)</f>
        <v>0</v>
      </c>
      <c r="I1898" s="2818">
        <v>1</v>
      </c>
      <c r="J1898" s="422"/>
      <c r="K1898" s="2809"/>
      <c r="M1898" s="1959"/>
      <c r="N1898" s="100"/>
      <c r="O1898" s="468" t="s">
        <v>9892</v>
      </c>
      <c r="P1898" s="2828">
        <v>20</v>
      </c>
      <c r="Q1898" s="575">
        <f>40+IF(OR(TipoDeCriatura="Entre mundos, Elemental",TipoDeCriatura="Ánima, Elemental"),10,0)</f>
        <v>40</v>
      </c>
      <c r="R1898" s="2818">
        <f>COUNTIF(PoderesDeCriatura_Adquiridos,Tablas!O1898)</f>
        <v>0</v>
      </c>
      <c r="S1898" s="422"/>
      <c r="T1898" s="2809"/>
      <c r="V1898" s="2868" t="str">
        <f t="shared" si="111"/>
        <v>Poder #6</v>
      </c>
      <c r="W1898" s="2836"/>
      <c r="X1898" s="2838"/>
      <c r="Y1898" s="2857"/>
      <c r="Z1898" s="2842"/>
      <c r="AA1898" s="2842"/>
      <c r="AB1898" s="2842"/>
      <c r="AC1898" s="2842"/>
      <c r="AD1898" s="2842"/>
      <c r="AE1898" s="2842"/>
      <c r="AF1898" s="2842"/>
      <c r="AG1898" s="2842"/>
      <c r="AH1898" s="2842"/>
      <c r="AI1898" s="2842"/>
      <c r="AJ1898" s="2842"/>
      <c r="AK1898" s="2842"/>
      <c r="AL1898" s="2842"/>
      <c r="AM1898" s="2842"/>
      <c r="AN1898" s="2842"/>
      <c r="AO1898" s="2842"/>
      <c r="AP1898" s="2842"/>
      <c r="AQ1898" s="2842"/>
      <c r="AR1898" s="2842"/>
      <c r="AS1898" s="2842"/>
      <c r="AT1898" s="2842"/>
      <c r="AU1898" s="2842"/>
      <c r="AV1898" s="2842"/>
      <c r="AW1898" s="2842"/>
      <c r="AX1898" s="2842"/>
      <c r="AY1898" s="2842"/>
      <c r="AZ1898" s="2842"/>
      <c r="BA1898" s="2842"/>
      <c r="BB1898" s="2842"/>
      <c r="BC1898" s="2842"/>
      <c r="BD1898" s="2842"/>
      <c r="BE1898" s="2842"/>
      <c r="BF1898" s="2842"/>
      <c r="BG1898" s="2842"/>
      <c r="BH1898" s="2842"/>
      <c r="BI1898" s="2842"/>
      <c r="BJ1898" s="2842"/>
      <c r="BK1898" s="2842"/>
      <c r="BL1898" s="2842"/>
      <c r="BM1898" s="2842"/>
      <c r="BN1898" s="2842"/>
      <c r="BO1898" s="2842"/>
      <c r="BP1898" s="2842"/>
      <c r="BQ1898" s="2842"/>
      <c r="BR1898" s="2842"/>
      <c r="BS1898" s="2842"/>
      <c r="BT1898" s="2842"/>
      <c r="BU1898" s="2842"/>
      <c r="BV1898" s="2842"/>
      <c r="BW1898" s="2842"/>
      <c r="BX1898" s="2842"/>
      <c r="BY1898" s="2842"/>
      <c r="BZ1898" s="2842"/>
      <c r="CA1898" s="2869"/>
    </row>
    <row r="1899" spans="1:79" ht="12.75" customHeight="1" x14ac:dyDescent="0.2">
      <c r="A1899" s="2029">
        <v>211</v>
      </c>
      <c r="B1899" s="4995"/>
      <c r="C1899" s="2813"/>
      <c r="D1899" s="260"/>
      <c r="E1899" s="2816" t="s">
        <v>10317</v>
      </c>
      <c r="F1899" s="218">
        <v>20</v>
      </c>
      <c r="G1899" s="218">
        <v>30</v>
      </c>
      <c r="H1899" s="218">
        <f>COUNTIF(HabilidadesEsenciales_Adquiridas,Tablas!E1899)</f>
        <v>0</v>
      </c>
      <c r="I1899" s="2818">
        <v>1</v>
      </c>
      <c r="J1899" s="422"/>
      <c r="K1899" s="2809"/>
      <c r="M1899" s="1959"/>
      <c r="N1899" s="100"/>
      <c r="O1899" s="468" t="s">
        <v>9893</v>
      </c>
      <c r="P1899" s="2828">
        <v>20</v>
      </c>
      <c r="Q1899" s="575">
        <f>80+IF(OR(TipoDeCriatura="Entre mundos, Elemental",TipoDeCriatura="Ánima, Elemental"),10,0)</f>
        <v>80</v>
      </c>
      <c r="R1899" s="2818">
        <f>COUNTIF(PoderesDeCriatura_Adquiridos,Tablas!O1899)</f>
        <v>0</v>
      </c>
      <c r="S1899" s="422"/>
      <c r="T1899" s="2809"/>
      <c r="V1899" s="2868" t="str">
        <f t="shared" si="111"/>
        <v>Poder #7</v>
      </c>
      <c r="W1899" s="2836"/>
      <c r="X1899" s="2838"/>
      <c r="Y1899" s="2857"/>
      <c r="Z1899" s="2842"/>
      <c r="AA1899" s="2842"/>
      <c r="AB1899" s="2842"/>
      <c r="AC1899" s="2842"/>
      <c r="AD1899" s="2842"/>
      <c r="AE1899" s="2842"/>
      <c r="AF1899" s="2842"/>
      <c r="AG1899" s="2842"/>
      <c r="AH1899" s="2842"/>
      <c r="AI1899" s="2842"/>
      <c r="AJ1899" s="2842"/>
      <c r="AK1899" s="2842"/>
      <c r="AL1899" s="2842"/>
      <c r="AM1899" s="2842"/>
      <c r="AN1899" s="2842"/>
      <c r="AO1899" s="2842"/>
      <c r="AP1899" s="2842"/>
      <c r="AQ1899" s="2842"/>
      <c r="AR1899" s="2842"/>
      <c r="AS1899" s="2842"/>
      <c r="AT1899" s="2842"/>
      <c r="AU1899" s="2842"/>
      <c r="AV1899" s="2842"/>
      <c r="AW1899" s="2842"/>
      <c r="AX1899" s="2842"/>
      <c r="AY1899" s="2842"/>
      <c r="AZ1899" s="2842"/>
      <c r="BA1899" s="2842"/>
      <c r="BB1899" s="2842"/>
      <c r="BC1899" s="2842"/>
      <c r="BD1899" s="2842"/>
      <c r="BE1899" s="2842"/>
      <c r="BF1899" s="2842"/>
      <c r="BG1899" s="2842"/>
      <c r="BH1899" s="2842"/>
      <c r="BI1899" s="2842"/>
      <c r="BJ1899" s="2842"/>
      <c r="BK1899" s="2842"/>
      <c r="BL1899" s="2842"/>
      <c r="BM1899" s="2842"/>
      <c r="BN1899" s="2842"/>
      <c r="BO1899" s="2842"/>
      <c r="BP1899" s="2842"/>
      <c r="BQ1899" s="2842"/>
      <c r="BR1899" s="2842"/>
      <c r="BS1899" s="2842"/>
      <c r="BT1899" s="2842"/>
      <c r="BU1899" s="2842"/>
      <c r="BV1899" s="2842"/>
      <c r="BW1899" s="2842"/>
      <c r="BX1899" s="2842"/>
      <c r="BY1899" s="2842"/>
      <c r="BZ1899" s="2842"/>
      <c r="CA1899" s="2869"/>
    </row>
    <row r="1900" spans="1:79" ht="12.75" customHeight="1" x14ac:dyDescent="0.2">
      <c r="A1900" s="2029">
        <v>211</v>
      </c>
      <c r="B1900" s="4995"/>
      <c r="C1900" s="2813"/>
      <c r="D1900" s="260"/>
      <c r="E1900" s="2816" t="s">
        <v>10318</v>
      </c>
      <c r="F1900" s="218">
        <v>25</v>
      </c>
      <c r="G1900" s="218">
        <v>40</v>
      </c>
      <c r="H1900" s="218">
        <f>COUNTIF(HabilidadesEsenciales_Adquiridas,Tablas!E1900)</f>
        <v>0</v>
      </c>
      <c r="I1900" s="2818">
        <v>1</v>
      </c>
      <c r="J1900" s="422"/>
      <c r="K1900" s="2809"/>
      <c r="M1900" s="1959"/>
      <c r="N1900" s="100"/>
      <c r="O1900" s="468" t="s">
        <v>9894</v>
      </c>
      <c r="P1900" s="2828">
        <v>20</v>
      </c>
      <c r="Q1900" s="575">
        <f>20+IF(OR(TipoDeCriatura="Entre mundos, Elemental",TipoDeCriatura="Ánima, Elemental"),10,0)</f>
        <v>20</v>
      </c>
      <c r="R1900" s="2818">
        <f>COUNTIF(PoderesDeCriatura_Adquiridos,Tablas!O1900)</f>
        <v>0</v>
      </c>
      <c r="S1900" s="422"/>
      <c r="T1900" s="2809"/>
      <c r="V1900" s="2868" t="str">
        <f t="shared" si="111"/>
        <v>Poder #8</v>
      </c>
      <c r="W1900" s="2836"/>
      <c r="X1900" s="2838"/>
      <c r="Y1900" s="2857"/>
      <c r="Z1900" s="2842"/>
      <c r="AA1900" s="2842"/>
      <c r="AB1900" s="2842"/>
      <c r="AC1900" s="2842"/>
      <c r="AD1900" s="2842"/>
      <c r="AE1900" s="2842"/>
      <c r="AF1900" s="2842"/>
      <c r="AG1900" s="2842"/>
      <c r="AH1900" s="2842"/>
      <c r="AI1900" s="2842"/>
      <c r="AJ1900" s="2842"/>
      <c r="AK1900" s="2842"/>
      <c r="AL1900" s="2842"/>
      <c r="AM1900" s="2842"/>
      <c r="AN1900" s="2842"/>
      <c r="AO1900" s="2842"/>
      <c r="AP1900" s="2842"/>
      <c r="AQ1900" s="2842"/>
      <c r="AR1900" s="2842"/>
      <c r="AS1900" s="2842"/>
      <c r="AT1900" s="2842"/>
      <c r="AU1900" s="2842"/>
      <c r="AV1900" s="2842"/>
      <c r="AW1900" s="2842"/>
      <c r="AX1900" s="2842"/>
      <c r="AY1900" s="2842"/>
      <c r="AZ1900" s="2842"/>
      <c r="BA1900" s="2842"/>
      <c r="BB1900" s="2842"/>
      <c r="BC1900" s="2842"/>
      <c r="BD1900" s="2842"/>
      <c r="BE1900" s="2842"/>
      <c r="BF1900" s="2842"/>
      <c r="BG1900" s="2842"/>
      <c r="BH1900" s="2842"/>
      <c r="BI1900" s="2842"/>
      <c r="BJ1900" s="2842"/>
      <c r="BK1900" s="2842"/>
      <c r="BL1900" s="2842"/>
      <c r="BM1900" s="2842"/>
      <c r="BN1900" s="2842"/>
      <c r="BO1900" s="2842"/>
      <c r="BP1900" s="2842"/>
      <c r="BQ1900" s="2842"/>
      <c r="BR1900" s="2842"/>
      <c r="BS1900" s="2842"/>
      <c r="BT1900" s="2842"/>
      <c r="BU1900" s="2842"/>
      <c r="BV1900" s="2842"/>
      <c r="BW1900" s="2842"/>
      <c r="BX1900" s="2842"/>
      <c r="BY1900" s="2842"/>
      <c r="BZ1900" s="2842"/>
      <c r="CA1900" s="2869"/>
    </row>
    <row r="1901" spans="1:79" ht="12.75" customHeight="1" x14ac:dyDescent="0.2">
      <c r="A1901" s="2029">
        <v>211</v>
      </c>
      <c r="B1901" s="4995"/>
      <c r="C1901" s="2813"/>
      <c r="D1901" s="260"/>
      <c r="E1901" s="2816" t="s">
        <v>10319</v>
      </c>
      <c r="F1901" s="218">
        <v>30</v>
      </c>
      <c r="G1901" s="218">
        <v>50</v>
      </c>
      <c r="H1901" s="218">
        <f>COUNTIF(HabilidadesEsenciales_Adquiridas,Tablas!E1901)</f>
        <v>0</v>
      </c>
      <c r="I1901" s="2818">
        <v>1</v>
      </c>
      <c r="J1901" s="422"/>
      <c r="K1901" s="2809"/>
      <c r="M1901" s="1959"/>
      <c r="N1901" s="100"/>
      <c r="O1901" s="468" t="s">
        <v>9895</v>
      </c>
      <c r="P1901" s="2828">
        <v>10</v>
      </c>
      <c r="Q1901" s="575">
        <f>50+IF(OR(TipoDeCriatura="Entre mundos, Elemental",TipoDeCriatura="Ánima, Elemental"),10,0)</f>
        <v>50</v>
      </c>
      <c r="R1901" s="2818">
        <f>COUNTIF(PoderesDeCriatura_Adquiridos,Tablas!O1901)</f>
        <v>0</v>
      </c>
      <c r="S1901" s="422"/>
      <c r="T1901" s="2809"/>
      <c r="V1901" s="2868" t="str">
        <f t="shared" si="111"/>
        <v>Poder #9</v>
      </c>
      <c r="W1901" s="2836"/>
      <c r="X1901" s="2838"/>
      <c r="Y1901" s="2857"/>
      <c r="Z1901" s="2842"/>
      <c r="AA1901" s="2842"/>
      <c r="AB1901" s="2842"/>
      <c r="AC1901" s="2842"/>
      <c r="AD1901" s="2842"/>
      <c r="AE1901" s="2842"/>
      <c r="AF1901" s="2842"/>
      <c r="AG1901" s="2842"/>
      <c r="AH1901" s="2842"/>
      <c r="AI1901" s="2842"/>
      <c r="AJ1901" s="2842"/>
      <c r="AK1901" s="2842"/>
      <c r="AL1901" s="2842"/>
      <c r="AM1901" s="2842"/>
      <c r="AN1901" s="2842"/>
      <c r="AO1901" s="2842"/>
      <c r="AP1901" s="2842"/>
      <c r="AQ1901" s="2842"/>
      <c r="AR1901" s="2842"/>
      <c r="AS1901" s="2842"/>
      <c r="AT1901" s="2842"/>
      <c r="AU1901" s="2842"/>
      <c r="AV1901" s="2842"/>
      <c r="AW1901" s="2842"/>
      <c r="AX1901" s="2842"/>
      <c r="AY1901" s="2842"/>
      <c r="AZ1901" s="2842"/>
      <c r="BA1901" s="2842"/>
      <c r="BB1901" s="2842"/>
      <c r="BC1901" s="2842"/>
      <c r="BD1901" s="2842"/>
      <c r="BE1901" s="2842"/>
      <c r="BF1901" s="2842"/>
      <c r="BG1901" s="2842"/>
      <c r="BH1901" s="2842"/>
      <c r="BI1901" s="2842"/>
      <c r="BJ1901" s="2842"/>
      <c r="BK1901" s="2842"/>
      <c r="BL1901" s="2842"/>
      <c r="BM1901" s="2842"/>
      <c r="BN1901" s="2842"/>
      <c r="BO1901" s="2842"/>
      <c r="BP1901" s="2842"/>
      <c r="BQ1901" s="2842"/>
      <c r="BR1901" s="2842"/>
      <c r="BS1901" s="2842"/>
      <c r="BT1901" s="2842"/>
      <c r="BU1901" s="2842"/>
      <c r="BV1901" s="2842"/>
      <c r="BW1901" s="2842"/>
      <c r="BX1901" s="2842"/>
      <c r="BY1901" s="2842"/>
      <c r="BZ1901" s="2842"/>
      <c r="CA1901" s="2869"/>
    </row>
    <row r="1902" spans="1:79" ht="12.75" customHeight="1" x14ac:dyDescent="0.2">
      <c r="A1902" s="2029">
        <v>211</v>
      </c>
      <c r="B1902" s="4995"/>
      <c r="C1902" s="2813"/>
      <c r="D1902" s="260"/>
      <c r="E1902" s="2816" t="s">
        <v>10320</v>
      </c>
      <c r="F1902" s="218">
        <v>10</v>
      </c>
      <c r="G1902" s="218">
        <v>10</v>
      </c>
      <c r="H1902" s="218">
        <f>COUNTIF(HabilidadesEsenciales_Adquiridas,Tablas!E1902)</f>
        <v>0</v>
      </c>
      <c r="I1902" s="2818">
        <v>1</v>
      </c>
      <c r="J1902" s="422"/>
      <c r="K1902" s="2809"/>
      <c r="M1902" s="1959"/>
      <c r="N1902" s="100"/>
      <c r="O1902" s="468" t="s">
        <v>9896</v>
      </c>
      <c r="P1902" s="2828">
        <v>10</v>
      </c>
      <c r="Q1902" s="575">
        <f>10+IF(OR(TipoDeCriatura="Entre mundos, Elemental",TipoDeCriatura="Ánima, Elemental"),10,0)</f>
        <v>10</v>
      </c>
      <c r="R1902" s="2818">
        <f>COUNTIF(PoderesDeCriatura_Adquiridos,Tablas!O1902)</f>
        <v>0</v>
      </c>
      <c r="S1902" s="422"/>
      <c r="T1902" s="2809"/>
      <c r="V1902" s="2868" t="str">
        <f t="shared" si="111"/>
        <v>Poder #10</v>
      </c>
      <c r="W1902" s="2836"/>
      <c r="X1902" s="2838"/>
      <c r="Y1902" s="2857"/>
      <c r="Z1902" s="2842"/>
      <c r="AA1902" s="2842"/>
      <c r="AB1902" s="2842"/>
      <c r="AC1902" s="2842"/>
      <c r="AD1902" s="2842"/>
      <c r="AE1902" s="2842"/>
      <c r="AF1902" s="2842"/>
      <c r="AG1902" s="2842"/>
      <c r="AH1902" s="2842"/>
      <c r="AI1902" s="2842"/>
      <c r="AJ1902" s="2842"/>
      <c r="AK1902" s="2842"/>
      <c r="AL1902" s="2842"/>
      <c r="AM1902" s="2842"/>
      <c r="AN1902" s="2842"/>
      <c r="AO1902" s="2842"/>
      <c r="AP1902" s="2842"/>
      <c r="AQ1902" s="2842"/>
      <c r="AR1902" s="2842"/>
      <c r="AS1902" s="2842"/>
      <c r="AT1902" s="2842"/>
      <c r="AU1902" s="2842"/>
      <c r="AV1902" s="2842"/>
      <c r="AW1902" s="2842"/>
      <c r="AX1902" s="2842"/>
      <c r="AY1902" s="2842"/>
      <c r="AZ1902" s="2842"/>
      <c r="BA1902" s="2842"/>
      <c r="BB1902" s="2842"/>
      <c r="BC1902" s="2842"/>
      <c r="BD1902" s="2842"/>
      <c r="BE1902" s="2842"/>
      <c r="BF1902" s="2842"/>
      <c r="BG1902" s="2842"/>
      <c r="BH1902" s="2842"/>
      <c r="BI1902" s="2842"/>
      <c r="BJ1902" s="2842"/>
      <c r="BK1902" s="2842"/>
      <c r="BL1902" s="2842"/>
      <c r="BM1902" s="2842"/>
      <c r="BN1902" s="2842"/>
      <c r="BO1902" s="2842"/>
      <c r="BP1902" s="2842"/>
      <c r="BQ1902" s="2842"/>
      <c r="BR1902" s="2842"/>
      <c r="BS1902" s="2842"/>
      <c r="BT1902" s="2842"/>
      <c r="BU1902" s="2842"/>
      <c r="BV1902" s="2842"/>
      <c r="BW1902" s="2842"/>
      <c r="BX1902" s="2842"/>
      <c r="BY1902" s="2842"/>
      <c r="BZ1902" s="2842"/>
      <c r="CA1902" s="2869"/>
    </row>
    <row r="1903" spans="1:79" ht="12.75" customHeight="1" x14ac:dyDescent="0.2">
      <c r="A1903" s="2029">
        <v>211</v>
      </c>
      <c r="B1903" s="4995"/>
      <c r="C1903" s="2813"/>
      <c r="D1903" s="260"/>
      <c r="E1903" s="2816" t="s">
        <v>10321</v>
      </c>
      <c r="F1903" s="218">
        <v>15</v>
      </c>
      <c r="G1903" s="218">
        <v>20</v>
      </c>
      <c r="H1903" s="218">
        <f>COUNTIF(HabilidadesEsenciales_Adquiridas,Tablas!E1903)</f>
        <v>0</v>
      </c>
      <c r="I1903" s="2818">
        <v>1</v>
      </c>
      <c r="J1903" s="422"/>
      <c r="K1903" s="2809"/>
      <c r="M1903" s="1959"/>
      <c r="N1903" s="100"/>
      <c r="O1903" s="468" t="s">
        <v>9897</v>
      </c>
      <c r="P1903" s="2828">
        <v>10</v>
      </c>
      <c r="Q1903" s="575">
        <f>10+IF(OR(TipoDeCriatura="Entre mundos, Elemental",TipoDeCriatura="Ánima, Elemental"),10,0)</f>
        <v>10</v>
      </c>
      <c r="R1903" s="2818">
        <f>COUNTIF(PoderesDeCriatura_Adquiridos,Tablas!O1903)</f>
        <v>0</v>
      </c>
      <c r="S1903" s="422"/>
      <c r="T1903" s="2809"/>
      <c r="V1903" s="2870" t="s">
        <v>9503</v>
      </c>
      <c r="W1903" s="2840"/>
      <c r="X1903" s="2840"/>
      <c r="Y1903" s="2840"/>
      <c r="Z1903" s="2840"/>
      <c r="AA1903" s="2840"/>
      <c r="AB1903" s="2840"/>
      <c r="AC1903" s="2840"/>
      <c r="AD1903" s="2840"/>
      <c r="AE1903" s="2840"/>
      <c r="AF1903" s="2840"/>
      <c r="AG1903" s="2840"/>
      <c r="AH1903" s="2840"/>
      <c r="AI1903" s="2840"/>
      <c r="AJ1903" s="2840"/>
      <c r="AK1903" s="2840"/>
      <c r="AL1903" s="2840"/>
      <c r="AM1903" s="2840"/>
      <c r="AN1903" s="2840"/>
      <c r="AO1903" s="2840"/>
      <c r="AP1903" s="2840"/>
      <c r="AQ1903" s="2840"/>
      <c r="AR1903" s="2840"/>
      <c r="AS1903" s="2840"/>
      <c r="AT1903" s="2840"/>
      <c r="AU1903" s="2840"/>
      <c r="AV1903" s="2840"/>
      <c r="AW1903" s="2840"/>
      <c r="AX1903" s="2840"/>
      <c r="AY1903" s="2840"/>
      <c r="AZ1903" s="2840"/>
      <c r="BA1903" s="2840"/>
      <c r="BB1903" s="2840"/>
      <c r="BC1903" s="2840"/>
      <c r="BD1903" s="2840"/>
      <c r="BE1903" s="2840"/>
      <c r="BF1903" s="2840"/>
      <c r="BG1903" s="2840"/>
      <c r="BH1903" s="2840"/>
      <c r="BI1903" s="2840"/>
      <c r="BJ1903" s="5017"/>
      <c r="BK1903" s="5017"/>
      <c r="BL1903" s="5017"/>
      <c r="BM1903" s="5017"/>
      <c r="BN1903" s="5017"/>
      <c r="BO1903" s="5017"/>
      <c r="BP1903" s="5017"/>
      <c r="BQ1903" s="5017"/>
      <c r="BR1903" s="5017"/>
      <c r="BS1903" s="5017"/>
      <c r="BT1903" s="5017"/>
      <c r="BU1903" s="5017"/>
      <c r="BV1903" s="5017"/>
      <c r="BW1903" s="5017"/>
      <c r="BX1903" s="5017"/>
      <c r="BY1903" s="5017"/>
      <c r="BZ1903" s="5017"/>
      <c r="CA1903" s="5020"/>
    </row>
    <row r="1904" spans="1:79" ht="12.75" customHeight="1" x14ac:dyDescent="0.2">
      <c r="A1904" s="2029">
        <v>211</v>
      </c>
      <c r="B1904" s="4995"/>
      <c r="C1904" s="2813"/>
      <c r="D1904" s="260"/>
      <c r="E1904" s="2816" t="s">
        <v>10322</v>
      </c>
      <c r="F1904" s="218">
        <v>20</v>
      </c>
      <c r="G1904" s="218">
        <v>30</v>
      </c>
      <c r="H1904" s="218">
        <f>COUNTIF(HabilidadesEsenciales_Adquiridas,Tablas!E1904)</f>
        <v>0</v>
      </c>
      <c r="I1904" s="2818">
        <v>1</v>
      </c>
      <c r="J1904" s="422"/>
      <c r="K1904" s="2809"/>
      <c r="M1904" s="1959"/>
      <c r="N1904" s="100"/>
      <c r="O1904" s="468" t="s">
        <v>9898</v>
      </c>
      <c r="P1904" s="2828">
        <v>20</v>
      </c>
      <c r="Q1904" s="575">
        <f>20+IF(OR(TipoDeCriatura="Entre mundos, Elemental",TipoDeCriatura="Ánima, Elemental"),10,0)</f>
        <v>20</v>
      </c>
      <c r="R1904" s="2818">
        <f>COUNTIF(PoderesDeCriatura_Adquiridos,Tablas!O1904)</f>
        <v>0</v>
      </c>
      <c r="S1904" s="422"/>
      <c r="T1904" s="2809"/>
      <c r="V1904" s="2871" t="s">
        <v>1554</v>
      </c>
      <c r="W1904" s="2837"/>
      <c r="X1904" s="2340"/>
      <c r="Y1904" s="2842" t="s">
        <v>8977</v>
      </c>
      <c r="Z1904" s="2842"/>
      <c r="AA1904" s="2842"/>
      <c r="AB1904" s="2842"/>
      <c r="AC1904" s="2842"/>
      <c r="AD1904" s="2842"/>
      <c r="AE1904" s="2842"/>
      <c r="AF1904" s="2842"/>
      <c r="AG1904" s="2842"/>
      <c r="AH1904" s="2842"/>
      <c r="AI1904" s="2842"/>
      <c r="AJ1904" s="2842"/>
      <c r="AK1904" s="2842"/>
      <c r="AL1904" s="2842"/>
      <c r="AM1904" s="2842"/>
      <c r="AN1904" s="2842"/>
      <c r="AO1904" s="2842"/>
      <c r="AP1904" s="2842"/>
      <c r="AQ1904" s="2842"/>
      <c r="AR1904" s="2842"/>
      <c r="AS1904" s="2842"/>
      <c r="AT1904" s="2842"/>
      <c r="AU1904" s="2842"/>
      <c r="AV1904" s="2842"/>
      <c r="AW1904" s="2842"/>
      <c r="AX1904" s="2842"/>
      <c r="AY1904" s="2842"/>
      <c r="AZ1904" s="2842"/>
      <c r="BA1904" s="2842"/>
      <c r="BB1904" s="2842"/>
      <c r="BC1904" s="2842"/>
      <c r="BD1904" s="2842"/>
      <c r="BE1904" s="2842"/>
      <c r="BF1904" s="2842"/>
      <c r="BG1904" s="2842"/>
      <c r="BH1904" s="2842"/>
      <c r="BI1904" s="2842"/>
      <c r="BJ1904" s="2842"/>
      <c r="BK1904" s="2842"/>
      <c r="BL1904" s="2842"/>
      <c r="BM1904" s="2837"/>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4995"/>
      <c r="C1905" s="2813"/>
      <c r="D1905" s="260"/>
      <c r="E1905" s="2816" t="s">
        <v>10323</v>
      </c>
      <c r="F1905" s="218">
        <v>25</v>
      </c>
      <c r="G1905" s="218">
        <v>40</v>
      </c>
      <c r="H1905" s="218">
        <f>COUNTIF(HabilidadesEsenciales_Adquiridas,Tablas!E1905)</f>
        <v>0</v>
      </c>
      <c r="I1905" s="2818">
        <v>1</v>
      </c>
      <c r="J1905" s="422"/>
      <c r="K1905" s="2809"/>
      <c r="M1905" s="1959"/>
      <c r="N1905" s="100"/>
      <c r="O1905" s="468" t="s">
        <v>9899</v>
      </c>
      <c r="P1905" s="2828">
        <v>10</v>
      </c>
      <c r="Q1905" s="575">
        <f>30+IF(OR(TipoDeCriatura="Entre mundos, Elemental",TipoDeCriatura="Ánima, Elemental"),10,0)</f>
        <v>30</v>
      </c>
      <c r="R1905" s="2818">
        <f>COUNTIF(PoderesDeCriatura_Adquiridos,Tablas!O1905)</f>
        <v>0</v>
      </c>
      <c r="S1905" s="422"/>
      <c r="T1905" s="2809"/>
      <c r="V1905" s="2871" t="s">
        <v>1556</v>
      </c>
      <c r="W1905" s="2838"/>
      <c r="X1905" s="2340" t="str">
        <f t="shared" ref="X1905:X1968" si="112">IF(Y1905="","",SUBSTITUTE("PodHab_"&amp;V1905," ",""))</f>
        <v/>
      </c>
      <c r="Y1905" s="2852" t="s">
        <v>8977</v>
      </c>
      <c r="Z1905" s="2842"/>
      <c r="AA1905" s="2842"/>
      <c r="AB1905" s="2842"/>
      <c r="AC1905" s="2842"/>
      <c r="AD1905" s="2842"/>
      <c r="AE1905" s="2842"/>
      <c r="AF1905" s="2842"/>
      <c r="AG1905" s="2842"/>
      <c r="AH1905" s="2842"/>
      <c r="AI1905" s="2842"/>
      <c r="AJ1905" s="2842"/>
      <c r="AK1905" s="2842"/>
      <c r="AL1905" s="2842"/>
      <c r="AM1905" s="2842"/>
      <c r="AN1905" s="2842"/>
      <c r="AO1905" s="2842"/>
      <c r="AP1905" s="2842"/>
      <c r="AQ1905" s="2842"/>
      <c r="AR1905" s="2842"/>
      <c r="AS1905" s="2842"/>
      <c r="AT1905" s="2842"/>
      <c r="AU1905" s="2842"/>
      <c r="AV1905" s="2842"/>
      <c r="AW1905" s="2842"/>
      <c r="AX1905" s="2842"/>
      <c r="AY1905" s="2842"/>
      <c r="AZ1905" s="2842"/>
      <c r="BA1905" s="2842"/>
      <c r="BB1905" s="2842"/>
      <c r="BC1905" s="2842"/>
      <c r="BD1905" s="2842"/>
      <c r="BE1905" s="2842"/>
      <c r="BF1905" s="2842"/>
      <c r="BG1905" s="2842"/>
      <c r="BH1905" s="2842"/>
      <c r="BI1905" s="2842"/>
      <c r="BJ1905" s="2842"/>
      <c r="BK1905" s="2842"/>
      <c r="BL1905" s="2842"/>
      <c r="BM1905" s="2837"/>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4995"/>
      <c r="C1906" s="2813"/>
      <c r="D1906" s="260"/>
      <c r="E1906" s="2816" t="s">
        <v>10324</v>
      </c>
      <c r="F1906" s="218">
        <v>30</v>
      </c>
      <c r="G1906" s="218">
        <v>50</v>
      </c>
      <c r="H1906" s="218">
        <f>COUNTIF(HabilidadesEsenciales_Adquiridas,Tablas!E1906)</f>
        <v>0</v>
      </c>
      <c r="I1906" s="2818">
        <v>1</v>
      </c>
      <c r="J1906" s="422"/>
      <c r="K1906" s="2809"/>
      <c r="M1906" s="1959"/>
      <c r="N1906" s="100"/>
      <c r="O1906" s="468" t="s">
        <v>9900</v>
      </c>
      <c r="P1906" s="2828">
        <v>20</v>
      </c>
      <c r="Q1906" s="575">
        <f>60+IF(OR(TipoDeCriatura="Entre mundos, Elemental",TipoDeCriatura="Ánima, Elemental"),10,0)</f>
        <v>60</v>
      </c>
      <c r="R1906" s="2818">
        <f>COUNTIF(PoderesDeCriatura_Adquiridos,Tablas!O1906)</f>
        <v>0</v>
      </c>
      <c r="S1906" s="422"/>
      <c r="T1906" s="2809"/>
      <c r="U1906" s="500"/>
      <c r="V1906" s="2871" t="s">
        <v>1557</v>
      </c>
      <c r="W1906" s="2838"/>
      <c r="X1906" s="2340" t="str">
        <f t="shared" si="112"/>
        <v/>
      </c>
      <c r="Y1906" s="2852" t="s">
        <v>8977</v>
      </c>
      <c r="Z1906" s="2842"/>
      <c r="AA1906" s="2842"/>
      <c r="AB1906" s="2842"/>
      <c r="AC1906" s="2842"/>
      <c r="AD1906" s="2842"/>
      <c r="AE1906" s="2842"/>
      <c r="AF1906" s="2842"/>
      <c r="AG1906" s="2842"/>
      <c r="AH1906" s="2842"/>
      <c r="AI1906" s="2842"/>
      <c r="AJ1906" s="2842"/>
      <c r="AK1906" s="2842"/>
      <c r="AL1906" s="2842"/>
      <c r="AM1906" s="2842"/>
      <c r="AN1906" s="2842"/>
      <c r="AO1906" s="2842"/>
      <c r="AP1906" s="2842"/>
      <c r="AQ1906" s="2842"/>
      <c r="AR1906" s="2842"/>
      <c r="AS1906" s="2842"/>
      <c r="AT1906" s="2842"/>
      <c r="AU1906" s="2842"/>
      <c r="AV1906" s="2842"/>
      <c r="AW1906" s="2842"/>
      <c r="AX1906" s="2842"/>
      <c r="AY1906" s="2842"/>
      <c r="AZ1906" s="2842"/>
      <c r="BA1906" s="2842"/>
      <c r="BB1906" s="2842"/>
      <c r="BC1906" s="2842"/>
      <c r="BD1906" s="2842"/>
      <c r="BE1906" s="2842"/>
      <c r="BF1906" s="2842"/>
      <c r="BG1906" s="2842"/>
      <c r="BH1906" s="2842"/>
      <c r="BI1906" s="2842"/>
      <c r="BJ1906" s="2842"/>
      <c r="BK1906" s="2842"/>
      <c r="BL1906" s="2842"/>
      <c r="BM1906" s="2837"/>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4995"/>
      <c r="C1907" s="2813"/>
      <c r="D1907" s="260"/>
      <c r="E1907" s="2816" t="s">
        <v>10325</v>
      </c>
      <c r="F1907" s="218">
        <v>10</v>
      </c>
      <c r="G1907" s="218">
        <v>10</v>
      </c>
      <c r="H1907" s="218">
        <f>COUNTIF(HabilidadesEsenciales_Adquiridas,Tablas!E1907)</f>
        <v>0</v>
      </c>
      <c r="I1907" s="2818">
        <v>1</v>
      </c>
      <c r="J1907" s="422"/>
      <c r="K1907" s="2809"/>
      <c r="M1907" s="1959"/>
      <c r="N1907" s="100"/>
      <c r="O1907" s="468" t="s">
        <v>9901</v>
      </c>
      <c r="P1907" s="2828">
        <v>20</v>
      </c>
      <c r="Q1907" s="575">
        <f>10+IF(OR(TipoDeCriatura="Entre mundos, Elemental",TipoDeCriatura="Ánima, Elemental"),10,0)</f>
        <v>10</v>
      </c>
      <c r="R1907" s="2818">
        <f>COUNTIF(PoderesDeCriatura_Adquiridos,Tablas!O1907)</f>
        <v>0</v>
      </c>
      <c r="S1907" s="422"/>
      <c r="T1907" s="2809"/>
      <c r="U1907" s="500"/>
      <c r="V1907" s="2871" t="s">
        <v>1559</v>
      </c>
      <c r="W1907" s="2838"/>
      <c r="X1907" s="2340" t="str">
        <f t="shared" si="112"/>
        <v/>
      </c>
      <c r="Y1907" s="2852" t="s">
        <v>8977</v>
      </c>
      <c r="Z1907" s="2842"/>
      <c r="AA1907" s="2842"/>
      <c r="AB1907" s="2842"/>
      <c r="AC1907" s="2842"/>
      <c r="AD1907" s="2842"/>
      <c r="AE1907" s="2842"/>
      <c r="AF1907" s="2842"/>
      <c r="AG1907" s="2842"/>
      <c r="AH1907" s="2842"/>
      <c r="AI1907" s="2842"/>
      <c r="AJ1907" s="2842"/>
      <c r="AK1907" s="2842"/>
      <c r="AL1907" s="2842"/>
      <c r="AM1907" s="2842"/>
      <c r="AN1907" s="2842"/>
      <c r="AO1907" s="2842"/>
      <c r="AP1907" s="2842"/>
      <c r="AQ1907" s="2842"/>
      <c r="AR1907" s="2842"/>
      <c r="AS1907" s="2842"/>
      <c r="AT1907" s="2842"/>
      <c r="AU1907" s="2842"/>
      <c r="AV1907" s="2842"/>
      <c r="AW1907" s="2842"/>
      <c r="AX1907" s="2842"/>
      <c r="AY1907" s="2842"/>
      <c r="AZ1907" s="2842"/>
      <c r="BA1907" s="2842"/>
      <c r="BB1907" s="2842"/>
      <c r="BC1907" s="2842"/>
      <c r="BD1907" s="2842"/>
      <c r="BE1907" s="2842"/>
      <c r="BF1907" s="2842"/>
      <c r="BG1907" s="2842"/>
      <c r="BH1907" s="2842"/>
      <c r="BI1907" s="2842"/>
      <c r="BJ1907" s="2842"/>
      <c r="BK1907" s="2842"/>
      <c r="BL1907" s="2842"/>
      <c r="BM1907" s="2837"/>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4995"/>
      <c r="C1908" s="2813"/>
      <c r="D1908" s="260"/>
      <c r="E1908" s="2816" t="s">
        <v>10326</v>
      </c>
      <c r="F1908" s="218">
        <v>15</v>
      </c>
      <c r="G1908" s="218">
        <v>20</v>
      </c>
      <c r="H1908" s="218">
        <f>COUNTIF(HabilidadesEsenciales_Adquiridas,Tablas!E1908)</f>
        <v>0</v>
      </c>
      <c r="I1908" s="2818">
        <v>1</v>
      </c>
      <c r="J1908" s="422"/>
      <c r="K1908" s="2809"/>
      <c r="M1908" s="1959"/>
      <c r="N1908" s="100"/>
      <c r="O1908" s="468" t="s">
        <v>9902</v>
      </c>
      <c r="P1908" s="2828">
        <v>25</v>
      </c>
      <c r="Q1908" s="575">
        <f>120+IF(OR(TipoDeCriatura="Entre mundos, Elemental",TipoDeCriatura="Ánima, Elemental"),10,0)</f>
        <v>120</v>
      </c>
      <c r="R1908" s="2818">
        <f>COUNTIF(PoderesDeCriatura_Adquiridos,Tablas!O1908)</f>
        <v>0</v>
      </c>
      <c r="S1908" s="422"/>
      <c r="T1908" s="2809"/>
      <c r="U1908" s="500"/>
      <c r="V1908" s="2871" t="s">
        <v>1566</v>
      </c>
      <c r="W1908" s="2838"/>
      <c r="X1908" s="2340" t="str">
        <f t="shared" si="112"/>
        <v/>
      </c>
      <c r="Y1908" s="2852" t="s">
        <v>8977</v>
      </c>
      <c r="Z1908" s="2842"/>
      <c r="AA1908" s="2843"/>
      <c r="AB1908" s="2842"/>
      <c r="AC1908" s="2842"/>
      <c r="AD1908" s="2842"/>
      <c r="AE1908" s="2842"/>
      <c r="AF1908" s="2842"/>
      <c r="AG1908" s="2842"/>
      <c r="AH1908" s="2842"/>
      <c r="AI1908" s="2842"/>
      <c r="AJ1908" s="2842"/>
      <c r="AK1908" s="2842"/>
      <c r="AL1908" s="2842"/>
      <c r="AM1908" s="2842"/>
      <c r="AN1908" s="2842"/>
      <c r="AO1908" s="2842"/>
      <c r="AP1908" s="2842"/>
      <c r="AQ1908" s="2842"/>
      <c r="AR1908" s="2842"/>
      <c r="AS1908" s="2842"/>
      <c r="AT1908" s="2842"/>
      <c r="AU1908" s="2842"/>
      <c r="AV1908" s="2842"/>
      <c r="AW1908" s="2842"/>
      <c r="AX1908" s="2842"/>
      <c r="AY1908" s="2842"/>
      <c r="AZ1908" s="2842"/>
      <c r="BA1908" s="2842"/>
      <c r="BB1908" s="2842"/>
      <c r="BC1908" s="2842"/>
      <c r="BD1908" s="2842"/>
      <c r="BE1908" s="2842"/>
      <c r="BF1908" s="2842"/>
      <c r="BG1908" s="2842"/>
      <c r="BH1908" s="2842"/>
      <c r="BI1908" s="2842"/>
      <c r="BJ1908" s="2842"/>
      <c r="BK1908" s="2842"/>
      <c r="BL1908" s="2842"/>
      <c r="BM1908" s="2837"/>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4995"/>
      <c r="C1909" s="2813"/>
      <c r="D1909" s="260"/>
      <c r="E1909" s="2816" t="s">
        <v>10327</v>
      </c>
      <c r="F1909" s="218">
        <v>20</v>
      </c>
      <c r="G1909" s="218">
        <v>30</v>
      </c>
      <c r="H1909" s="218">
        <f>COUNTIF(HabilidadesEsenciales_Adquiridas,Tablas!E1909)</f>
        <v>0</v>
      </c>
      <c r="I1909" s="2818">
        <v>1</v>
      </c>
      <c r="J1909" s="422"/>
      <c r="K1909" s="2809"/>
      <c r="M1909" s="1959"/>
      <c r="N1909" s="100"/>
      <c r="O1909" s="468" t="s">
        <v>9903</v>
      </c>
      <c r="P1909" s="2828">
        <v>25</v>
      </c>
      <c r="Q1909" s="575">
        <f>140+IF(OR(TipoDeCriatura="Entre mundos, Elemental",TipoDeCriatura="Ánima, Elemental"),10,0)</f>
        <v>140</v>
      </c>
      <c r="R1909" s="2818">
        <f>COUNTIF(PoderesDeCriatura_Adquiridos,Tablas!O1909)</f>
        <v>0</v>
      </c>
      <c r="S1909" s="422"/>
      <c r="T1909" s="2809"/>
      <c r="U1909" s="500"/>
      <c r="V1909" s="2871" t="s">
        <v>1565</v>
      </c>
      <c r="W1909" s="2838"/>
      <c r="X1909" s="2340" t="str">
        <f t="shared" si="112"/>
        <v/>
      </c>
      <c r="Y1909" s="2852" t="s">
        <v>8977</v>
      </c>
      <c r="Z1909" s="2842"/>
      <c r="AA1909" s="2842"/>
      <c r="AB1909" s="2842"/>
      <c r="AC1909" s="2842"/>
      <c r="AD1909" s="2842"/>
      <c r="AE1909" s="2842"/>
      <c r="AF1909" s="2842"/>
      <c r="AG1909" s="2842"/>
      <c r="AH1909" s="2842"/>
      <c r="AI1909" s="2842"/>
      <c r="AJ1909" s="2842"/>
      <c r="AK1909" s="2842"/>
      <c r="AL1909" s="2842"/>
      <c r="AM1909" s="2842"/>
      <c r="AN1909" s="2842"/>
      <c r="AO1909" s="2842"/>
      <c r="AP1909" s="2842"/>
      <c r="AQ1909" s="2842"/>
      <c r="AR1909" s="2842"/>
      <c r="AS1909" s="2842"/>
      <c r="AT1909" s="2842"/>
      <c r="AU1909" s="2842"/>
      <c r="AV1909" s="2842"/>
      <c r="AW1909" s="2842"/>
      <c r="AX1909" s="2842"/>
      <c r="AY1909" s="2842"/>
      <c r="AZ1909" s="2842"/>
      <c r="BA1909" s="2842"/>
      <c r="BB1909" s="2842"/>
      <c r="BC1909" s="2842"/>
      <c r="BD1909" s="2842"/>
      <c r="BE1909" s="2842"/>
      <c r="BF1909" s="2842"/>
      <c r="BG1909" s="2842"/>
      <c r="BH1909" s="2842"/>
      <c r="BI1909" s="2842"/>
      <c r="BJ1909" s="2842"/>
      <c r="BK1909" s="2842"/>
      <c r="BL1909" s="2842"/>
      <c r="BM1909" s="2837"/>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4995"/>
      <c r="C1910" s="2813"/>
      <c r="D1910" s="260"/>
      <c r="E1910" s="2816" t="s">
        <v>10328</v>
      </c>
      <c r="F1910" s="218">
        <v>25</v>
      </c>
      <c r="G1910" s="218">
        <v>40</v>
      </c>
      <c r="H1910" s="218">
        <f>COUNTIF(HabilidadesEsenciales_Adquiridas,Tablas!E1910)</f>
        <v>0</v>
      </c>
      <c r="I1910" s="2818">
        <v>1</v>
      </c>
      <c r="J1910" s="422"/>
      <c r="K1910" s="2809"/>
      <c r="M1910" s="1959"/>
      <c r="N1910" s="100"/>
      <c r="O1910" s="468" t="s">
        <v>9904</v>
      </c>
      <c r="P1910" s="2828">
        <v>20</v>
      </c>
      <c r="Q1910" s="575">
        <f>20+IF(OR(TipoDeCriatura="Entre mundos, Elemental",TipoDeCriatura="Ánima, Elemental"),10,0)</f>
        <v>20</v>
      </c>
      <c r="R1910" s="2818">
        <f>COUNTIF(PoderesDeCriatura_Adquiridos,Tablas!O1910)</f>
        <v>0</v>
      </c>
      <c r="S1910" s="422"/>
      <c r="T1910" s="2809"/>
      <c r="U1910" s="500"/>
      <c r="V1910" s="2871" t="s">
        <v>1561</v>
      </c>
      <c r="W1910" s="2838"/>
      <c r="X1910" s="2340" t="str">
        <f t="shared" si="112"/>
        <v/>
      </c>
      <c r="Y1910" s="2852" t="s">
        <v>8977</v>
      </c>
      <c r="Z1910" s="2842"/>
      <c r="AA1910" s="2842"/>
      <c r="AB1910" s="2842"/>
      <c r="AC1910" s="2842"/>
      <c r="AD1910" s="2842"/>
      <c r="AE1910" s="2842"/>
      <c r="AF1910" s="2842"/>
      <c r="AG1910" s="2842"/>
      <c r="AH1910" s="2842"/>
      <c r="AI1910" s="2842"/>
      <c r="AJ1910" s="2842"/>
      <c r="AK1910" s="2842"/>
      <c r="AL1910" s="2842"/>
      <c r="AM1910" s="2842"/>
      <c r="AN1910" s="2842"/>
      <c r="AO1910" s="2842"/>
      <c r="AP1910" s="2842"/>
      <c r="AQ1910" s="2842"/>
      <c r="AR1910" s="2842"/>
      <c r="AS1910" s="2842"/>
      <c r="AT1910" s="2842"/>
      <c r="AU1910" s="2842"/>
      <c r="AV1910" s="2842"/>
      <c r="AW1910" s="2842"/>
      <c r="AX1910" s="2842"/>
      <c r="AY1910" s="2842"/>
      <c r="AZ1910" s="2842"/>
      <c r="BA1910" s="2842"/>
      <c r="BB1910" s="2842"/>
      <c r="BC1910" s="2842"/>
      <c r="BD1910" s="2842"/>
      <c r="BE1910" s="2842"/>
      <c r="BF1910" s="2842"/>
      <c r="BG1910" s="2842"/>
      <c r="BH1910" s="2842"/>
      <c r="BI1910" s="2842"/>
      <c r="BJ1910" s="2842"/>
      <c r="BK1910" s="2842"/>
      <c r="BL1910" s="2842"/>
      <c r="BM1910" s="2837"/>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4995"/>
      <c r="C1911" s="2813"/>
      <c r="D1911" s="260"/>
      <c r="E1911" s="2816" t="s">
        <v>10329</v>
      </c>
      <c r="F1911" s="218">
        <v>30</v>
      </c>
      <c r="G1911" s="218">
        <v>50</v>
      </c>
      <c r="H1911" s="218">
        <f>COUNTIF(HabilidadesEsenciales_Adquiridas,Tablas!E1911)</f>
        <v>0</v>
      </c>
      <c r="I1911" s="2818">
        <v>1</v>
      </c>
      <c r="J1911" s="422"/>
      <c r="K1911" s="2809"/>
      <c r="M1911" s="1959"/>
      <c r="N1911" s="100"/>
      <c r="O1911" s="468" t="s">
        <v>9905</v>
      </c>
      <c r="P1911" s="2828">
        <v>20</v>
      </c>
      <c r="Q1911" s="575">
        <f>60+IF(OR(TipoDeCriatura="Entre mundos, Elemental",TipoDeCriatura="Ánima, Elemental"),10,0)</f>
        <v>60</v>
      </c>
      <c r="R1911" s="2818">
        <f>COUNTIF(PoderesDeCriatura_Adquiridos,Tablas!O1911)</f>
        <v>0</v>
      </c>
      <c r="S1911" s="422"/>
      <c r="T1911" s="2809"/>
      <c r="U1911" s="500"/>
      <c r="V1911" s="2871" t="s">
        <v>1563</v>
      </c>
      <c r="W1911" s="2838"/>
      <c r="X1911" s="2340" t="str">
        <f t="shared" si="112"/>
        <v/>
      </c>
      <c r="Y1911" s="2852" t="s">
        <v>8977</v>
      </c>
      <c r="Z1911" s="2842"/>
      <c r="AA1911" s="2842"/>
      <c r="AB1911" s="2842"/>
      <c r="AC1911" s="2842"/>
      <c r="AD1911" s="2842"/>
      <c r="AE1911" s="2842"/>
      <c r="AF1911" s="2842"/>
      <c r="AG1911" s="2842"/>
      <c r="AH1911" s="2842"/>
      <c r="AI1911" s="2842"/>
      <c r="AJ1911" s="2842"/>
      <c r="AK1911" s="2842"/>
      <c r="AL1911" s="2842"/>
      <c r="AM1911" s="2842"/>
      <c r="AN1911" s="2842"/>
      <c r="AO1911" s="2842"/>
      <c r="AP1911" s="2842"/>
      <c r="AQ1911" s="2842"/>
      <c r="AR1911" s="2842"/>
      <c r="AS1911" s="2842"/>
      <c r="AT1911" s="2842"/>
      <c r="AU1911" s="2842"/>
      <c r="AV1911" s="2842"/>
      <c r="AW1911" s="2842"/>
      <c r="AX1911" s="2842"/>
      <c r="AY1911" s="2842"/>
      <c r="AZ1911" s="2842"/>
      <c r="BA1911" s="2842"/>
      <c r="BB1911" s="2842"/>
      <c r="BC1911" s="2842"/>
      <c r="BD1911" s="2842"/>
      <c r="BE1911" s="2842"/>
      <c r="BF1911" s="2842"/>
      <c r="BG1911" s="2842"/>
      <c r="BH1911" s="2842"/>
      <c r="BI1911" s="2842"/>
      <c r="BJ1911" s="2842"/>
      <c r="BK1911" s="2842"/>
      <c r="BL1911" s="2842"/>
      <c r="BM1911" s="2837"/>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4995"/>
      <c r="C1912" s="2813"/>
      <c r="D1912" s="260"/>
      <c r="E1912" s="2816" t="s">
        <v>10330</v>
      </c>
      <c r="F1912" s="218">
        <v>10</v>
      </c>
      <c r="G1912" s="218">
        <v>10</v>
      </c>
      <c r="H1912" s="218">
        <f>COUNTIF(HabilidadesEsenciales_Adquiridas,Tablas!E1912)</f>
        <v>0</v>
      </c>
      <c r="I1912" s="2818">
        <v>1</v>
      </c>
      <c r="J1912" s="422"/>
      <c r="K1912" s="2809"/>
      <c r="M1912" s="1959"/>
      <c r="N1912" s="100"/>
      <c r="O1912" s="468" t="s">
        <v>9906</v>
      </c>
      <c r="P1912" s="2828">
        <v>20</v>
      </c>
      <c r="Q1912" s="575">
        <f>120+IF(OR(TipoDeCriatura="Entre mundos, Elemental",TipoDeCriatura="Ánima, Elemental"),10,0)</f>
        <v>120</v>
      </c>
      <c r="R1912" s="2818">
        <f>COUNTIF(PoderesDeCriatura_Adquiridos,Tablas!O1912)</f>
        <v>0</v>
      </c>
      <c r="S1912" s="422"/>
      <c r="T1912" s="2809"/>
      <c r="U1912" s="500"/>
      <c r="V1912" s="2871" t="s">
        <v>1564</v>
      </c>
      <c r="W1912" s="2838"/>
      <c r="X1912" s="2340" t="str">
        <f t="shared" si="112"/>
        <v/>
      </c>
      <c r="Y1912" s="2852" t="s">
        <v>8977</v>
      </c>
      <c r="Z1912" s="2842"/>
      <c r="AA1912" s="2842"/>
      <c r="AB1912" s="2842"/>
      <c r="AC1912" s="2842"/>
      <c r="AD1912" s="2842"/>
      <c r="AE1912" s="2842"/>
      <c r="AF1912" s="2842"/>
      <c r="AG1912" s="2842"/>
      <c r="AH1912" s="2842"/>
      <c r="AI1912" s="2842"/>
      <c r="AJ1912" s="2842"/>
      <c r="AK1912" s="2842"/>
      <c r="AL1912" s="2842"/>
      <c r="AM1912" s="2842"/>
      <c r="AN1912" s="2842"/>
      <c r="AO1912" s="2842"/>
      <c r="AP1912" s="2842"/>
      <c r="AQ1912" s="2842"/>
      <c r="AR1912" s="2842"/>
      <c r="AS1912" s="2842"/>
      <c r="AT1912" s="2842"/>
      <c r="AU1912" s="2842"/>
      <c r="AV1912" s="2842"/>
      <c r="AW1912" s="2842"/>
      <c r="AX1912" s="2842"/>
      <c r="AY1912" s="2842"/>
      <c r="AZ1912" s="2842"/>
      <c r="BA1912" s="2842"/>
      <c r="BB1912" s="2842"/>
      <c r="BC1912" s="2842"/>
      <c r="BD1912" s="2842"/>
      <c r="BE1912" s="2842"/>
      <c r="BF1912" s="2842"/>
      <c r="BG1912" s="2842"/>
      <c r="BH1912" s="2842"/>
      <c r="BI1912" s="2842"/>
      <c r="BJ1912" s="2842"/>
      <c r="BK1912" s="2842"/>
      <c r="BL1912" s="2842"/>
      <c r="BM1912" s="2837"/>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4995"/>
      <c r="C1913" s="2813"/>
      <c r="D1913" s="260"/>
      <c r="E1913" s="2816" t="s">
        <v>10331</v>
      </c>
      <c r="F1913" s="218">
        <v>15</v>
      </c>
      <c r="G1913" s="218">
        <v>20</v>
      </c>
      <c r="H1913" s="218">
        <f>COUNTIF(HabilidadesEsenciales_Adquiridas,Tablas!E1913)</f>
        <v>0</v>
      </c>
      <c r="I1913" s="2818">
        <v>1</v>
      </c>
      <c r="J1913" s="422"/>
      <c r="K1913" s="2809"/>
      <c r="M1913" s="1959"/>
      <c r="N1913" s="100"/>
      <c r="O1913" s="468" t="s">
        <v>9907</v>
      </c>
      <c r="P1913" s="2828">
        <v>20</v>
      </c>
      <c r="Q1913" s="575">
        <f>60+IF(OR(TipoDeCriatura="Entre mundos, Elemental",TipoDeCriatura="Ánima, Elemental"),10,0)</f>
        <v>60</v>
      </c>
      <c r="R1913" s="2818">
        <f>COUNTIF(PoderesDeCriatura_Adquiridos,Tablas!O1913)</f>
        <v>0</v>
      </c>
      <c r="S1913" s="422"/>
      <c r="T1913" s="2809"/>
      <c r="U1913" s="500"/>
      <c r="V1913" s="2871" t="s">
        <v>1560</v>
      </c>
      <c r="W1913" s="2838"/>
      <c r="X1913" s="2340" t="str">
        <f t="shared" si="112"/>
        <v/>
      </c>
      <c r="Y1913" s="2852" t="s">
        <v>8977</v>
      </c>
      <c r="Z1913" s="2842"/>
      <c r="AA1913" s="2842"/>
      <c r="AB1913" s="2842"/>
      <c r="AC1913" s="2842"/>
      <c r="AD1913" s="2842"/>
      <c r="AE1913" s="2842"/>
      <c r="AF1913" s="2842"/>
      <c r="AG1913" s="2842"/>
      <c r="AH1913" s="2842"/>
      <c r="AI1913" s="2842"/>
      <c r="AJ1913" s="2842"/>
      <c r="AK1913" s="2842"/>
      <c r="AL1913" s="2842"/>
      <c r="AM1913" s="2842"/>
      <c r="AN1913" s="2842"/>
      <c r="AO1913" s="2842"/>
      <c r="AP1913" s="2842"/>
      <c r="AQ1913" s="2842"/>
      <c r="AR1913" s="2842"/>
      <c r="AS1913" s="2842"/>
      <c r="AT1913" s="2842"/>
      <c r="AU1913" s="2842"/>
      <c r="AV1913" s="2842"/>
      <c r="AW1913" s="2842"/>
      <c r="AX1913" s="2842"/>
      <c r="AY1913" s="2842"/>
      <c r="AZ1913" s="2842"/>
      <c r="BA1913" s="2842"/>
      <c r="BB1913" s="2842"/>
      <c r="BC1913" s="2842"/>
      <c r="BD1913" s="2842"/>
      <c r="BE1913" s="2842"/>
      <c r="BF1913" s="2842"/>
      <c r="BG1913" s="2842"/>
      <c r="BH1913" s="2842"/>
      <c r="BI1913" s="2842"/>
      <c r="BJ1913" s="2842"/>
      <c r="BK1913" s="2842"/>
      <c r="BL1913" s="2842"/>
      <c r="BM1913" s="2837"/>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4995"/>
      <c r="C1914" s="2813"/>
      <c r="D1914" s="260"/>
      <c r="E1914" s="2816" t="s">
        <v>10332</v>
      </c>
      <c r="F1914" s="218">
        <v>20</v>
      </c>
      <c r="G1914" s="218">
        <v>30</v>
      </c>
      <c r="H1914" s="218">
        <f>COUNTIF(HabilidadesEsenciales_Adquiridas,Tablas!E1914)</f>
        <v>0</v>
      </c>
      <c r="I1914" s="2818">
        <v>1</v>
      </c>
      <c r="J1914" s="422"/>
      <c r="K1914" s="2809"/>
      <c r="M1914" s="1959"/>
      <c r="N1914" s="100"/>
      <c r="O1914" s="468" t="s">
        <v>9908</v>
      </c>
      <c r="P1914" s="2828">
        <v>20</v>
      </c>
      <c r="Q1914" s="575">
        <f>120+IF(OR(TipoDeCriatura="Entre mundos, Elemental",TipoDeCriatura="Ánima, Elemental"),10,0)</f>
        <v>120</v>
      </c>
      <c r="R1914" s="2818">
        <f>COUNTIF(PoderesDeCriatura_Adquiridos,Tablas!O1914)</f>
        <v>0</v>
      </c>
      <c r="S1914" s="422"/>
      <c r="T1914" s="2809"/>
      <c r="U1914" s="500"/>
      <c r="V1914" s="2871" t="s">
        <v>1562</v>
      </c>
      <c r="W1914" s="2838"/>
      <c r="X1914" s="2340" t="str">
        <f t="shared" si="112"/>
        <v/>
      </c>
      <c r="Y1914" s="2852" t="s">
        <v>8977</v>
      </c>
      <c r="Z1914" s="2842"/>
      <c r="AA1914" s="2842"/>
      <c r="AB1914" s="2842"/>
      <c r="AC1914" s="2842"/>
      <c r="AD1914" s="2842"/>
      <c r="AE1914" s="2842"/>
      <c r="AF1914" s="2842"/>
      <c r="AG1914" s="2842"/>
      <c r="AH1914" s="2842"/>
      <c r="AI1914" s="2842"/>
      <c r="AJ1914" s="2842"/>
      <c r="AK1914" s="2842"/>
      <c r="AL1914" s="2842"/>
      <c r="AM1914" s="2842"/>
      <c r="AN1914" s="2842"/>
      <c r="AO1914" s="2842"/>
      <c r="AP1914" s="2842"/>
      <c r="AQ1914" s="2842"/>
      <c r="AR1914" s="2842"/>
      <c r="AS1914" s="2842"/>
      <c r="AT1914" s="2842"/>
      <c r="AU1914" s="2842"/>
      <c r="AV1914" s="2842"/>
      <c r="AW1914" s="2842"/>
      <c r="AX1914" s="2842"/>
      <c r="AY1914" s="2842"/>
      <c r="AZ1914" s="2842"/>
      <c r="BA1914" s="2842"/>
      <c r="BB1914" s="2842"/>
      <c r="BC1914" s="2842"/>
      <c r="BD1914" s="2842"/>
      <c r="BE1914" s="2842"/>
      <c r="BF1914" s="2842"/>
      <c r="BG1914" s="2842"/>
      <c r="BH1914" s="2842"/>
      <c r="BI1914" s="2842"/>
      <c r="BJ1914" s="2842"/>
      <c r="BK1914" s="2842"/>
      <c r="BL1914" s="2842"/>
      <c r="BM1914" s="2837"/>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4995"/>
      <c r="C1915" s="2813"/>
      <c r="D1915" s="260"/>
      <c r="E1915" s="2816" t="s">
        <v>10333</v>
      </c>
      <c r="F1915" s="218">
        <v>25</v>
      </c>
      <c r="G1915" s="218">
        <v>40</v>
      </c>
      <c r="H1915" s="218">
        <f>COUNTIF(HabilidadesEsenciales_Adquiridas,Tablas!E1915)</f>
        <v>0</v>
      </c>
      <c r="I1915" s="2818">
        <v>1</v>
      </c>
      <c r="J1915" s="422"/>
      <c r="K1915" s="2809"/>
      <c r="M1915" s="1959"/>
      <c r="N1915" s="100"/>
      <c r="O1915" s="468" t="s">
        <v>9909</v>
      </c>
      <c r="P1915" s="2828">
        <v>25</v>
      </c>
      <c r="Q1915" s="575">
        <f>120+IF(OR(TipoDeCriatura="Entre mundos, Elemental",TipoDeCriatura="Ánima, Elemental"),10,0)</f>
        <v>120</v>
      </c>
      <c r="R1915" s="2818">
        <f>COUNTIF(PoderesDeCriatura_Adquiridos,Tablas!O1915)</f>
        <v>0</v>
      </c>
      <c r="S1915" s="422"/>
      <c r="T1915" s="2809"/>
      <c r="U1915" s="500"/>
      <c r="V1915" s="2871" t="s">
        <v>10271</v>
      </c>
      <c r="W1915" s="2838"/>
      <c r="X1915" s="2340" t="str">
        <f t="shared" si="112"/>
        <v>PodHab_CaracterísticaIncrementada</v>
      </c>
      <c r="Y1915" s="2852" t="s">
        <v>10383</v>
      </c>
      <c r="Z1915" s="2852" t="s">
        <v>10384</v>
      </c>
      <c r="AA1915" s="2852" t="s">
        <v>10385</v>
      </c>
      <c r="AB1915" s="2852" t="s">
        <v>10386</v>
      </c>
      <c r="AC1915" s="2852" t="s">
        <v>10387</v>
      </c>
      <c r="AD1915" s="2852" t="s">
        <v>10388</v>
      </c>
      <c r="AE1915" s="2852" t="s">
        <v>10389</v>
      </c>
      <c r="AF1915" s="2852" t="s">
        <v>10390</v>
      </c>
      <c r="AG1915" s="2852" t="s">
        <v>10391</v>
      </c>
      <c r="AH1915" s="2852" t="s">
        <v>10392</v>
      </c>
      <c r="AI1915" s="2852" t="s">
        <v>10393</v>
      </c>
      <c r="AJ1915" s="2852" t="s">
        <v>10394</v>
      </c>
      <c r="AK1915" s="2852" t="s">
        <v>10395</v>
      </c>
      <c r="AL1915" s="2852" t="s">
        <v>10396</v>
      </c>
      <c r="AM1915" s="2852" t="s">
        <v>10397</v>
      </c>
      <c r="AN1915" s="2852" t="s">
        <v>10398</v>
      </c>
      <c r="AO1915" s="2852" t="s">
        <v>10399</v>
      </c>
      <c r="AP1915" s="2852" t="s">
        <v>10400</v>
      </c>
      <c r="AQ1915" s="2852" t="s">
        <v>10401</v>
      </c>
      <c r="AR1915" s="2852" t="s">
        <v>10402</v>
      </c>
      <c r="AS1915" s="2852" t="s">
        <v>10403</v>
      </c>
      <c r="AT1915" s="2852" t="s">
        <v>10404</v>
      </c>
      <c r="AU1915" s="2852" t="s">
        <v>10405</v>
      </c>
      <c r="AV1915" s="2852" t="s">
        <v>10406</v>
      </c>
      <c r="AW1915" s="2852" t="s">
        <v>10407</v>
      </c>
      <c r="AX1915" s="2852" t="s">
        <v>10408</v>
      </c>
      <c r="AY1915" s="2852" t="s">
        <v>10409</v>
      </c>
      <c r="AZ1915" s="2852" t="s">
        <v>10410</v>
      </c>
      <c r="BA1915" s="2852" t="s">
        <v>10411</v>
      </c>
      <c r="BB1915" s="2852" t="s">
        <v>10412</v>
      </c>
      <c r="BC1915" s="2852" t="s">
        <v>10413</v>
      </c>
      <c r="BD1915" s="2852" t="s">
        <v>10414</v>
      </c>
      <c r="BE1915" s="2852" t="s">
        <v>10415</v>
      </c>
      <c r="BF1915" s="2852" t="s">
        <v>10416</v>
      </c>
      <c r="BG1915" s="2852" t="s">
        <v>10417</v>
      </c>
      <c r="BH1915" s="2852" t="s">
        <v>10418</v>
      </c>
      <c r="BI1915" s="2852" t="s">
        <v>10419</v>
      </c>
      <c r="BJ1915" s="2852" t="s">
        <v>10420</v>
      </c>
      <c r="BK1915" s="2852" t="s">
        <v>10421</v>
      </c>
      <c r="BL1915" s="2852" t="s">
        <v>10422</v>
      </c>
      <c r="BM1915" s="2852"/>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4995"/>
      <c r="C1916" s="2813"/>
      <c r="D1916" s="260"/>
      <c r="E1916" s="2816" t="s">
        <v>10334</v>
      </c>
      <c r="F1916" s="218">
        <v>30</v>
      </c>
      <c r="G1916" s="218">
        <v>50</v>
      </c>
      <c r="H1916" s="218">
        <f>COUNTIF(HabilidadesEsenciales_Adquiridas,Tablas!E1916)</f>
        <v>0</v>
      </c>
      <c r="I1916" s="2818">
        <v>1</v>
      </c>
      <c r="J1916" s="422"/>
      <c r="K1916" s="2809"/>
      <c r="M1916" s="1959"/>
      <c r="N1916" s="100"/>
      <c r="O1916" s="468" t="s">
        <v>9910</v>
      </c>
      <c r="P1916" s="2828">
        <v>10</v>
      </c>
      <c r="Q1916" s="575">
        <f>20+IF(OR(TipoDeCriatura="Entre mundos, Elemental",TipoDeCriatura="Ánima, Elemental"),10,0)</f>
        <v>20</v>
      </c>
      <c r="R1916" s="2818">
        <f>COUNTIF(PoderesDeCriatura_Adquiridos,Tablas!O1916)</f>
        <v>0</v>
      </c>
      <c r="S1916" s="422"/>
      <c r="T1916" s="2809"/>
      <c r="U1916" s="500"/>
      <c r="V1916" s="2871" t="s">
        <v>2760</v>
      </c>
      <c r="W1916" s="2838"/>
      <c r="X1916" s="2340"/>
      <c r="Y1916" s="2852"/>
      <c r="Z1916" s="2852"/>
      <c r="AA1916" s="2852"/>
      <c r="AB1916" s="2852"/>
      <c r="AC1916" s="2852"/>
      <c r="AD1916" s="2852"/>
      <c r="AE1916" s="2852"/>
      <c r="AF1916" s="2852"/>
      <c r="AG1916" s="2852"/>
      <c r="AH1916" s="2852"/>
      <c r="AI1916" s="2852"/>
      <c r="AJ1916" s="2852"/>
      <c r="AK1916" s="2852"/>
      <c r="AL1916" s="2852"/>
      <c r="AM1916" s="2852"/>
      <c r="AN1916" s="2852"/>
      <c r="AO1916" s="2852"/>
      <c r="AP1916" s="2852"/>
      <c r="AQ1916" s="2852"/>
      <c r="AR1916" s="2852"/>
      <c r="AS1916" s="2852"/>
      <c r="AT1916" s="2852"/>
      <c r="AU1916" s="2852"/>
      <c r="AV1916" s="2852"/>
      <c r="AW1916" s="2852"/>
      <c r="AX1916" s="2852"/>
      <c r="AY1916" s="2852"/>
      <c r="AZ1916" s="2852"/>
      <c r="BA1916" s="2852"/>
      <c r="BB1916" s="2852"/>
      <c r="BC1916" s="2852"/>
      <c r="BD1916" s="2852"/>
      <c r="BE1916" s="2852"/>
      <c r="BF1916" s="2852"/>
      <c r="BG1916" s="2852"/>
      <c r="BH1916" s="2852"/>
      <c r="BI1916" s="2852"/>
      <c r="BJ1916" s="2852"/>
      <c r="BK1916" s="2852"/>
      <c r="BL1916" s="2852"/>
      <c r="BM1916" s="2837"/>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4995"/>
      <c r="C1917" s="2813"/>
      <c r="D1917" s="260"/>
      <c r="E1917" s="2816" t="s">
        <v>10335</v>
      </c>
      <c r="F1917" s="218">
        <v>10</v>
      </c>
      <c r="G1917" s="218">
        <v>10</v>
      </c>
      <c r="H1917" s="218">
        <f>COUNTIF(HabilidadesEsenciales_Adquiridas,Tablas!E1917)</f>
        <v>0</v>
      </c>
      <c r="I1917" s="2818">
        <v>1</v>
      </c>
      <c r="J1917" s="422"/>
      <c r="K1917" s="2809"/>
      <c r="M1917" s="1959"/>
      <c r="N1917" s="100"/>
      <c r="O1917" s="468" t="s">
        <v>9911</v>
      </c>
      <c r="P1917" s="2828">
        <v>15</v>
      </c>
      <c r="Q1917" s="575">
        <f>50+IF(OR(TipoDeCriatura="Entre mundos, Elemental",TipoDeCriatura="Ánima, Elemental"),10,0)</f>
        <v>50</v>
      </c>
      <c r="R1917" s="2818">
        <f>COUNTIF(PoderesDeCriatura_Adquiridos,Tablas!O1917)</f>
        <v>0</v>
      </c>
      <c r="S1917" s="422"/>
      <c r="T1917" s="2809"/>
      <c r="U1917" s="500"/>
      <c r="V1917" s="2871" t="s">
        <v>1576</v>
      </c>
      <c r="W1917" s="2837"/>
      <c r="X1917" s="2340" t="str">
        <f t="shared" si="112"/>
        <v/>
      </c>
      <c r="Y1917" s="2852" t="s">
        <v>8977</v>
      </c>
      <c r="Z1917" s="2842"/>
      <c r="AA1917" s="2842"/>
      <c r="AB1917" s="2842"/>
      <c r="AC1917" s="2842"/>
      <c r="AD1917" s="2842"/>
      <c r="AE1917" s="2842"/>
      <c r="AF1917" s="2842"/>
      <c r="AG1917" s="2842"/>
      <c r="AH1917" s="2842"/>
      <c r="AI1917" s="2842"/>
      <c r="AJ1917" s="2842"/>
      <c r="AK1917" s="2842"/>
      <c r="AL1917" s="2842"/>
      <c r="AM1917" s="2842"/>
      <c r="AN1917" s="2842"/>
      <c r="AO1917" s="2842"/>
      <c r="AP1917" s="2842"/>
      <c r="AQ1917" s="2842"/>
      <c r="AR1917" s="2842"/>
      <c r="AS1917" s="2842"/>
      <c r="AT1917" s="2842"/>
      <c r="AU1917" s="2842"/>
      <c r="AV1917" s="2842"/>
      <c r="AW1917" s="2842"/>
      <c r="AX1917" s="2842"/>
      <c r="AY1917" s="2842"/>
      <c r="AZ1917" s="2842"/>
      <c r="BA1917" s="2842"/>
      <c r="BB1917" s="2842"/>
      <c r="BC1917" s="2842"/>
      <c r="BD1917" s="2842"/>
      <c r="BE1917" s="2842"/>
      <c r="BF1917" s="2842"/>
      <c r="BG1917" s="2842"/>
      <c r="BH1917" s="2842"/>
      <c r="BI1917" s="2842"/>
      <c r="BJ1917" s="2842"/>
      <c r="BK1917" s="2842"/>
      <c r="BL1917" s="2842"/>
      <c r="BM1917" s="2837"/>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4995"/>
      <c r="C1918" s="2813"/>
      <c r="D1918" s="260"/>
      <c r="E1918" s="2816" t="s">
        <v>10336</v>
      </c>
      <c r="F1918" s="218">
        <v>15</v>
      </c>
      <c r="G1918" s="218">
        <v>20</v>
      </c>
      <c r="H1918" s="218">
        <f>COUNTIF(HabilidadesEsenciales_Adquiridas,Tablas!E1918)</f>
        <v>0</v>
      </c>
      <c r="I1918" s="2818">
        <v>1</v>
      </c>
      <c r="J1918" s="422"/>
      <c r="K1918" s="2809"/>
      <c r="M1918" s="1959"/>
      <c r="N1918" s="100"/>
      <c r="O1918" s="468" t="s">
        <v>9912</v>
      </c>
      <c r="P1918" s="2828">
        <v>20</v>
      </c>
      <c r="Q1918" s="575">
        <f>100+IF(OR(TipoDeCriatura="Entre mundos, Elemental",TipoDeCriatura="Ánima, Elemental"),10,0)</f>
        <v>100</v>
      </c>
      <c r="R1918" s="2818">
        <f>COUNTIF(PoderesDeCriatura_Adquiridos,Tablas!O1918)</f>
        <v>0</v>
      </c>
      <c r="S1918" s="422"/>
      <c r="T1918" s="2809"/>
      <c r="U1918" s="500"/>
      <c r="V1918" s="2872" t="s">
        <v>1569</v>
      </c>
      <c r="W1918" s="2837"/>
      <c r="X1918" s="2340" t="str">
        <f t="shared" si="112"/>
        <v/>
      </c>
      <c r="Y1918" s="2852" t="s">
        <v>8977</v>
      </c>
      <c r="Z1918" s="2859"/>
      <c r="AA1918" s="2859"/>
      <c r="AB1918" s="2859"/>
      <c r="AC1918" s="2859"/>
      <c r="AD1918" s="2859"/>
      <c r="AE1918" s="2859"/>
      <c r="AF1918" s="2859"/>
      <c r="AG1918" s="2859"/>
      <c r="AH1918" s="2859"/>
      <c r="AI1918" s="2859"/>
      <c r="AJ1918" s="2859"/>
      <c r="AK1918" s="2859"/>
      <c r="AL1918" s="2859"/>
      <c r="AM1918" s="2859"/>
      <c r="AN1918" s="2859"/>
      <c r="AO1918" s="2859"/>
      <c r="AP1918" s="2859"/>
      <c r="AQ1918" s="2859"/>
      <c r="AR1918" s="2859"/>
      <c r="AS1918" s="2859"/>
      <c r="AT1918" s="2859"/>
      <c r="AU1918" s="2859"/>
      <c r="AV1918" s="2859"/>
      <c r="AW1918" s="2859"/>
      <c r="AX1918" s="2859"/>
      <c r="AY1918" s="2859"/>
      <c r="AZ1918" s="2859"/>
      <c r="BA1918" s="2859"/>
      <c r="BB1918" s="2859"/>
      <c r="BC1918" s="2859"/>
      <c r="BD1918" s="2859"/>
      <c r="BE1918" s="2859"/>
      <c r="BF1918" s="2859"/>
      <c r="BG1918" s="2859"/>
      <c r="BH1918" s="2859"/>
      <c r="BI1918" s="2859"/>
      <c r="BJ1918" s="2859"/>
      <c r="BK1918" s="2859"/>
      <c r="BL1918" s="2859"/>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4995"/>
      <c r="C1919" s="2813"/>
      <c r="D1919" s="260"/>
      <c r="E1919" s="2816" t="s">
        <v>10337</v>
      </c>
      <c r="F1919" s="218">
        <v>20</v>
      </c>
      <c r="G1919" s="218">
        <v>30</v>
      </c>
      <c r="H1919" s="218">
        <f>COUNTIF(HabilidadesEsenciales_Adquiridas,Tablas!E1919)</f>
        <v>0</v>
      </c>
      <c r="I1919" s="2818">
        <v>1</v>
      </c>
      <c r="J1919" s="422"/>
      <c r="K1919" s="2809"/>
      <c r="M1919" s="1959"/>
      <c r="N1919" s="100"/>
      <c r="O1919" s="468" t="s">
        <v>9913</v>
      </c>
      <c r="P1919" s="2828">
        <v>10</v>
      </c>
      <c r="Q1919" s="575">
        <f>10+IF(OR(TipoDeCriatura="Entre mundos, Elemental",TipoDeCriatura="Ánima, Elemental"),10,0)</f>
        <v>10</v>
      </c>
      <c r="R1919" s="2818">
        <f>COUNTIF(PoderesDeCriatura_Adquiridos,Tablas!O1919)</f>
        <v>0</v>
      </c>
      <c r="S1919" s="422"/>
      <c r="T1919" s="2809"/>
      <c r="U1919" s="500"/>
      <c r="V1919" s="2868" t="s">
        <v>2011</v>
      </c>
      <c r="W1919" s="2838"/>
      <c r="X1919" s="2340" t="str">
        <f t="shared" si="112"/>
        <v/>
      </c>
      <c r="Y1919" s="2852" t="s">
        <v>8977</v>
      </c>
      <c r="Z1919" s="2859"/>
      <c r="AA1919" s="2859"/>
      <c r="AB1919" s="2859"/>
      <c r="AC1919" s="2859"/>
      <c r="AD1919" s="2859"/>
      <c r="AE1919" s="2859"/>
      <c r="AF1919" s="2859"/>
      <c r="AG1919" s="2859"/>
      <c r="AH1919" s="2859"/>
      <c r="AI1919" s="2859"/>
      <c r="AJ1919" s="2859"/>
      <c r="AK1919" s="2859"/>
      <c r="AL1919" s="2859"/>
      <c r="AM1919" s="2859"/>
      <c r="AN1919" s="2859"/>
      <c r="AO1919" s="2859"/>
      <c r="AP1919" s="2859"/>
      <c r="AQ1919" s="2859"/>
      <c r="AR1919" s="2859"/>
      <c r="AS1919" s="2859"/>
      <c r="AT1919" s="2859"/>
      <c r="AU1919" s="2859"/>
      <c r="AV1919" s="2859"/>
      <c r="AW1919" s="2859"/>
      <c r="AX1919" s="2859"/>
      <c r="AY1919" s="2859"/>
      <c r="AZ1919" s="2859"/>
      <c r="BA1919" s="2859"/>
      <c r="BB1919" s="2859"/>
      <c r="BC1919" s="2859"/>
      <c r="BD1919" s="2859"/>
      <c r="BE1919" s="2859"/>
      <c r="BF1919" s="2859"/>
      <c r="BG1919" s="2859"/>
      <c r="BH1919" s="2859"/>
      <c r="BI1919" s="2859"/>
      <c r="BJ1919" s="2859"/>
      <c r="BK1919" s="2859"/>
      <c r="BL1919" s="2859"/>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4995"/>
      <c r="C1920" s="2813"/>
      <c r="D1920" s="260"/>
      <c r="E1920" s="2816" t="s">
        <v>10338</v>
      </c>
      <c r="F1920" s="218">
        <v>25</v>
      </c>
      <c r="G1920" s="218">
        <v>40</v>
      </c>
      <c r="H1920" s="218">
        <f>COUNTIF(HabilidadesEsenciales_Adquiridas,Tablas!E1920)</f>
        <v>0</v>
      </c>
      <c r="I1920" s="2818">
        <v>1</v>
      </c>
      <c r="J1920" s="422"/>
      <c r="K1920" s="2809"/>
      <c r="M1920" s="1959"/>
      <c r="N1920" s="100"/>
      <c r="O1920" s="468" t="s">
        <v>9914</v>
      </c>
      <c r="P1920" s="2811">
        <v>10</v>
      </c>
      <c r="Q1920" s="575">
        <v>-20</v>
      </c>
      <c r="R1920" s="2818">
        <f>COUNTIF(PoderesDeCriatura_Adquiridos,Tablas!O1920)</f>
        <v>0</v>
      </c>
      <c r="S1920" s="422"/>
      <c r="T1920" s="2809"/>
      <c r="U1920" s="500"/>
      <c r="V1920" s="2868" t="s">
        <v>1578</v>
      </c>
      <c r="W1920" s="2838"/>
      <c r="X1920" s="2340" t="str">
        <f t="shared" si="112"/>
        <v/>
      </c>
      <c r="Y1920" s="2852" t="s">
        <v>8977</v>
      </c>
      <c r="Z1920" s="2859"/>
      <c r="AA1920" s="2859"/>
      <c r="AB1920" s="2859"/>
      <c r="AC1920" s="2859"/>
      <c r="AD1920" s="2859"/>
      <c r="AE1920" s="2859"/>
      <c r="AF1920" s="2859"/>
      <c r="AG1920" s="2859"/>
      <c r="AH1920" s="2859"/>
      <c r="AI1920" s="2859"/>
      <c r="AJ1920" s="2859"/>
      <c r="AK1920" s="2859"/>
      <c r="AL1920" s="2859"/>
      <c r="AM1920" s="2859"/>
      <c r="AN1920" s="2859"/>
      <c r="AO1920" s="2859"/>
      <c r="AP1920" s="2859"/>
      <c r="AQ1920" s="2859"/>
      <c r="AR1920" s="2859"/>
      <c r="AS1920" s="2859"/>
      <c r="AT1920" s="2859"/>
      <c r="AU1920" s="2859"/>
      <c r="AV1920" s="2859"/>
      <c r="AW1920" s="2859"/>
      <c r="AX1920" s="2859"/>
      <c r="AY1920" s="2859"/>
      <c r="AZ1920" s="2859"/>
      <c r="BA1920" s="2859"/>
      <c r="BB1920" s="2859"/>
      <c r="BC1920" s="2859"/>
      <c r="BD1920" s="2859"/>
      <c r="BE1920" s="2859"/>
      <c r="BF1920" s="2859"/>
      <c r="BG1920" s="2859"/>
      <c r="BH1920" s="2859"/>
      <c r="BI1920" s="2859"/>
      <c r="BJ1920" s="2859"/>
      <c r="BK1920" s="2859"/>
      <c r="BL1920" s="2859"/>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4995"/>
      <c r="C1921" s="2813"/>
      <c r="D1921" s="260"/>
      <c r="E1921" s="2816" t="s">
        <v>10339</v>
      </c>
      <c r="F1921" s="218">
        <v>30</v>
      </c>
      <c r="G1921" s="218">
        <v>50</v>
      </c>
      <c r="H1921" s="218">
        <f>COUNTIF(HabilidadesEsenciales_Adquiridas,Tablas!E1921)</f>
        <v>0</v>
      </c>
      <c r="I1921" s="2818">
        <v>1</v>
      </c>
      <c r="J1921" s="422"/>
      <c r="K1921" s="2809"/>
      <c r="M1921" s="1959"/>
      <c r="N1921" s="100"/>
      <c r="O1921" s="2825" t="s">
        <v>9915</v>
      </c>
      <c r="P1921" s="2828">
        <v>0</v>
      </c>
      <c r="Q1921" s="575">
        <v>10</v>
      </c>
      <c r="R1921" s="2818">
        <f>COUNTIF(PoderesDeCriatura_Adquiridos,Tablas!O1921)</f>
        <v>0</v>
      </c>
      <c r="S1921" s="422"/>
      <c r="T1921" s="2809"/>
      <c r="U1921" s="500"/>
      <c r="V1921" s="2868" t="s">
        <v>1577</v>
      </c>
      <c r="W1921" s="2838"/>
      <c r="X1921" s="2340" t="str">
        <f t="shared" si="112"/>
        <v/>
      </c>
      <c r="Y1921" s="2852" t="s">
        <v>8977</v>
      </c>
      <c r="Z1921" s="2859"/>
      <c r="AA1921" s="2859"/>
      <c r="AB1921" s="2859"/>
      <c r="AC1921" s="2859"/>
      <c r="AD1921" s="2859"/>
      <c r="AE1921" s="2859"/>
      <c r="AF1921" s="2859"/>
      <c r="AG1921" s="2859"/>
      <c r="AH1921" s="2859"/>
      <c r="AI1921" s="2859"/>
      <c r="AJ1921" s="2859"/>
      <c r="AK1921" s="2859"/>
      <c r="AL1921" s="2859"/>
      <c r="AM1921" s="2859"/>
      <c r="AN1921" s="2859"/>
      <c r="AO1921" s="2859"/>
      <c r="AP1921" s="2859"/>
      <c r="AQ1921" s="2859"/>
      <c r="AR1921" s="2859"/>
      <c r="AS1921" s="2859"/>
      <c r="AT1921" s="2859"/>
      <c r="AU1921" s="2859"/>
      <c r="AV1921" s="2859"/>
      <c r="AW1921" s="2859"/>
      <c r="AX1921" s="2859"/>
      <c r="AY1921" s="2859"/>
      <c r="AZ1921" s="2859"/>
      <c r="BA1921" s="2859"/>
      <c r="BB1921" s="2859"/>
      <c r="BC1921" s="2859"/>
      <c r="BD1921" s="2859"/>
      <c r="BE1921" s="2859"/>
      <c r="BF1921" s="2859"/>
      <c r="BG1921" s="2859"/>
      <c r="BH1921" s="2859"/>
      <c r="BI1921" s="2859"/>
      <c r="BJ1921" s="2859"/>
      <c r="BK1921" s="2859"/>
      <c r="BL1921" s="2859"/>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4995"/>
      <c r="C1922" s="2813"/>
      <c r="D1922" s="260"/>
      <c r="E1922" s="2816" t="s">
        <v>10340</v>
      </c>
      <c r="F1922" s="218">
        <v>10</v>
      </c>
      <c r="G1922" s="218">
        <v>10</v>
      </c>
      <c r="H1922" s="218">
        <f>COUNTIF(HabilidadesEsenciales_Adquiridas,Tablas!E1922)</f>
        <v>0</v>
      </c>
      <c r="I1922" s="2818">
        <v>1</v>
      </c>
      <c r="J1922" s="422"/>
      <c r="K1922" s="2809"/>
      <c r="M1922" s="1959"/>
      <c r="N1922" s="100"/>
      <c r="O1922" s="468" t="s">
        <v>9916</v>
      </c>
      <c r="P1922" s="2828">
        <v>0</v>
      </c>
      <c r="Q1922" s="575">
        <v>20</v>
      </c>
      <c r="R1922" s="2818">
        <f>COUNTIF(PoderesDeCriatura_Adquiridos,Tablas!O1922)</f>
        <v>0</v>
      </c>
      <c r="S1922" s="422"/>
      <c r="T1922" s="2809"/>
      <c r="U1922" s="500"/>
      <c r="V1922" s="2868" t="s">
        <v>1574</v>
      </c>
      <c r="W1922" s="2838"/>
      <c r="X1922" s="2340" t="str">
        <f t="shared" si="112"/>
        <v/>
      </c>
      <c r="Y1922" s="2852" t="s">
        <v>8977</v>
      </c>
      <c r="Z1922" s="2859"/>
      <c r="AA1922" s="2859"/>
      <c r="AB1922" s="2859"/>
      <c r="AC1922" s="2859"/>
      <c r="AD1922" s="2859"/>
      <c r="AE1922" s="2859"/>
      <c r="AF1922" s="2859"/>
      <c r="AG1922" s="2859"/>
      <c r="AH1922" s="2859"/>
      <c r="AI1922" s="2859"/>
      <c r="AJ1922" s="2859"/>
      <c r="AK1922" s="2859"/>
      <c r="AL1922" s="2859"/>
      <c r="AM1922" s="2859"/>
      <c r="AN1922" s="2859"/>
      <c r="AO1922" s="2859"/>
      <c r="AP1922" s="2859"/>
      <c r="AQ1922" s="2859"/>
      <c r="AR1922" s="2859"/>
      <c r="AS1922" s="2859"/>
      <c r="AT1922" s="2859"/>
      <c r="AU1922" s="2859"/>
      <c r="AV1922" s="2859"/>
      <c r="AW1922" s="2859"/>
      <c r="AX1922" s="2859"/>
      <c r="AY1922" s="2859"/>
      <c r="AZ1922" s="2859"/>
      <c r="BA1922" s="2859"/>
      <c r="BB1922" s="2859"/>
      <c r="BC1922" s="2859"/>
      <c r="BD1922" s="2859"/>
      <c r="BE1922" s="2859"/>
      <c r="BF1922" s="2859"/>
      <c r="BG1922" s="2859"/>
      <c r="BH1922" s="2859"/>
      <c r="BI1922" s="2859"/>
      <c r="BJ1922" s="2859"/>
      <c r="BK1922" s="2859"/>
      <c r="BL1922" s="2859"/>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4995"/>
      <c r="C1923" s="2813"/>
      <c r="D1923" s="260"/>
      <c r="E1923" s="2816" t="s">
        <v>10341</v>
      </c>
      <c r="F1923" s="218">
        <v>15</v>
      </c>
      <c r="G1923" s="218">
        <v>20</v>
      </c>
      <c r="H1923" s="218">
        <f>COUNTIF(HabilidadesEsenciales_Adquiridas,Tablas!E1923)</f>
        <v>0</v>
      </c>
      <c r="I1923" s="2818">
        <v>1</v>
      </c>
      <c r="J1923" s="422"/>
      <c r="K1923" s="2809"/>
      <c r="M1923" s="1959"/>
      <c r="N1923" s="100"/>
      <c r="O1923" s="468" t="s">
        <v>9917</v>
      </c>
      <c r="P1923" s="2828">
        <v>0</v>
      </c>
      <c r="Q1923" s="575">
        <v>30</v>
      </c>
      <c r="R1923" s="2818">
        <f>COUNTIF(PoderesDeCriatura_Adquiridos,Tablas!O1923)</f>
        <v>0</v>
      </c>
      <c r="S1923" s="422"/>
      <c r="T1923" s="2809"/>
      <c r="U1923" s="500"/>
      <c r="V1923" s="2868" t="s">
        <v>1575</v>
      </c>
      <c r="W1923" s="2838"/>
      <c r="X1923" s="2340" t="str">
        <f t="shared" si="112"/>
        <v/>
      </c>
      <c r="Y1923" s="2852" t="s">
        <v>8977</v>
      </c>
      <c r="Z1923" s="2859"/>
      <c r="AA1923" s="2859"/>
      <c r="AB1923" s="2859"/>
      <c r="AC1923" s="2859"/>
      <c r="AD1923" s="2859"/>
      <c r="AE1923" s="2859"/>
      <c r="AF1923" s="2859"/>
      <c r="AG1923" s="2859"/>
      <c r="AH1923" s="2859"/>
      <c r="AI1923" s="2859"/>
      <c r="AJ1923" s="2859"/>
      <c r="AK1923" s="2859"/>
      <c r="AL1923" s="2859"/>
      <c r="AM1923" s="2859"/>
      <c r="AN1923" s="2859"/>
      <c r="AO1923" s="2859"/>
      <c r="AP1923" s="2859"/>
      <c r="AQ1923" s="2859"/>
      <c r="AR1923" s="2859"/>
      <c r="AS1923" s="2859"/>
      <c r="AT1923" s="2859"/>
      <c r="AU1923" s="2859"/>
      <c r="AV1923" s="2859"/>
      <c r="AW1923" s="2859"/>
      <c r="AX1923" s="2859"/>
      <c r="AY1923" s="2859"/>
      <c r="AZ1923" s="2859"/>
      <c r="BA1923" s="2859"/>
      <c r="BB1923" s="2859"/>
      <c r="BC1923" s="2859"/>
      <c r="BD1923" s="2859"/>
      <c r="BE1923" s="2859"/>
      <c r="BF1923" s="2859"/>
      <c r="BG1923" s="2859"/>
      <c r="BH1923" s="2859"/>
      <c r="BI1923" s="2859"/>
      <c r="BJ1923" s="2859"/>
      <c r="BK1923" s="2859"/>
      <c r="BL1923" s="2859"/>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4995"/>
      <c r="C1924" s="2813"/>
      <c r="D1924" s="260"/>
      <c r="E1924" s="2816" t="s">
        <v>10342</v>
      </c>
      <c r="F1924" s="218">
        <v>20</v>
      </c>
      <c r="G1924" s="218">
        <v>30</v>
      </c>
      <c r="H1924" s="218">
        <f>COUNTIF(HabilidadesEsenciales_Adquiridas,Tablas!E1924)</f>
        <v>0</v>
      </c>
      <c r="I1924" s="2818">
        <v>1</v>
      </c>
      <c r="J1924" s="422"/>
      <c r="K1924" s="2809"/>
      <c r="M1924" s="1959"/>
      <c r="N1924" s="100"/>
      <c r="O1924" s="468" t="s">
        <v>9918</v>
      </c>
      <c r="P1924" s="2828">
        <v>5</v>
      </c>
      <c r="Q1924" s="575">
        <v>40</v>
      </c>
      <c r="R1924" s="2818">
        <f>COUNTIF(PoderesDeCriatura_Adquiridos,Tablas!O1924)</f>
        <v>0</v>
      </c>
      <c r="S1924" s="422"/>
      <c r="T1924" s="2809"/>
      <c r="U1924" s="500"/>
      <c r="V1924" s="2868" t="s">
        <v>1573</v>
      </c>
      <c r="W1924" s="2838"/>
      <c r="X1924" s="2340" t="str">
        <f t="shared" si="112"/>
        <v/>
      </c>
      <c r="Y1924" s="2852" t="s">
        <v>8977</v>
      </c>
      <c r="Z1924" s="2859"/>
      <c r="AA1924" s="2859"/>
      <c r="AB1924" s="2859"/>
      <c r="AC1924" s="2859"/>
      <c r="AD1924" s="2859"/>
      <c r="AE1924" s="2859"/>
      <c r="AF1924" s="2859"/>
      <c r="AG1924" s="2859"/>
      <c r="AH1924" s="2859"/>
      <c r="AI1924" s="2859"/>
      <c r="AJ1924" s="2859"/>
      <c r="AK1924" s="2859"/>
      <c r="AL1924" s="2859"/>
      <c r="AM1924" s="2859"/>
      <c r="AN1924" s="2859"/>
      <c r="AO1924" s="2859"/>
      <c r="AP1924" s="2859"/>
      <c r="AQ1924" s="2859"/>
      <c r="AR1924" s="2859"/>
      <c r="AS1924" s="2859"/>
      <c r="AT1924" s="2859"/>
      <c r="AU1924" s="2859"/>
      <c r="AV1924" s="2859"/>
      <c r="AW1924" s="2859"/>
      <c r="AX1924" s="2859"/>
      <c r="AY1924" s="2859"/>
      <c r="AZ1924" s="2859"/>
      <c r="BA1924" s="2859"/>
      <c r="BB1924" s="2859"/>
      <c r="BC1924" s="2859"/>
      <c r="BD1924" s="2859"/>
      <c r="BE1924" s="2859"/>
      <c r="BF1924" s="2859"/>
      <c r="BG1924" s="2859"/>
      <c r="BH1924" s="2859"/>
      <c r="BI1924" s="2859"/>
      <c r="BJ1924" s="2859"/>
      <c r="BK1924" s="2859"/>
      <c r="BL1924" s="2859"/>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4995"/>
      <c r="C1925" s="2813"/>
      <c r="D1925" s="260"/>
      <c r="E1925" s="2816" t="s">
        <v>10343</v>
      </c>
      <c r="F1925" s="218">
        <v>25</v>
      </c>
      <c r="G1925" s="218">
        <v>40</v>
      </c>
      <c r="H1925" s="218">
        <f>COUNTIF(HabilidadesEsenciales_Adquiridas,Tablas!E1925)</f>
        <v>0</v>
      </c>
      <c r="I1925" s="2818">
        <v>1</v>
      </c>
      <c r="J1925" s="422"/>
      <c r="K1925" s="2809"/>
      <c r="M1925" s="1959"/>
      <c r="N1925" s="100"/>
      <c r="O1925" s="468" t="s">
        <v>9919</v>
      </c>
      <c r="P1925" s="2828">
        <v>5</v>
      </c>
      <c r="Q1925" s="575">
        <v>50</v>
      </c>
      <c r="R1925" s="2818">
        <f>COUNTIF(PoderesDeCriatura_Adquiridos,Tablas!O1925)</f>
        <v>0</v>
      </c>
      <c r="S1925" s="422"/>
      <c r="T1925" s="2809"/>
      <c r="U1925" s="500"/>
      <c r="V1925" s="2868" t="s">
        <v>1579</v>
      </c>
      <c r="W1925" s="2838"/>
      <c r="X1925" s="2340" t="str">
        <f t="shared" si="112"/>
        <v/>
      </c>
      <c r="Y1925" s="2852" t="s">
        <v>8977</v>
      </c>
      <c r="Z1925" s="2859"/>
      <c r="AA1925" s="2859"/>
      <c r="AB1925" s="2859"/>
      <c r="AC1925" s="2859"/>
      <c r="AD1925" s="2859"/>
      <c r="AE1925" s="2859"/>
      <c r="AF1925" s="2859"/>
      <c r="AG1925" s="2859"/>
      <c r="AH1925" s="2859"/>
      <c r="AI1925" s="2859"/>
      <c r="AJ1925" s="2859"/>
      <c r="AK1925" s="2859"/>
      <c r="AL1925" s="2859"/>
      <c r="AM1925" s="2859"/>
      <c r="AN1925" s="2859"/>
      <c r="AO1925" s="2859"/>
      <c r="AP1925" s="2859"/>
      <c r="AQ1925" s="2859"/>
      <c r="AR1925" s="2859"/>
      <c r="AS1925" s="2859"/>
      <c r="AT1925" s="2859"/>
      <c r="AU1925" s="2859"/>
      <c r="AV1925" s="2859"/>
      <c r="AW1925" s="2859"/>
      <c r="AX1925" s="2859"/>
      <c r="AY1925" s="2859"/>
      <c r="AZ1925" s="2859"/>
      <c r="BA1925" s="2859"/>
      <c r="BB1925" s="2859"/>
      <c r="BC1925" s="2859"/>
      <c r="BD1925" s="2859"/>
      <c r="BE1925" s="2859"/>
      <c r="BF1925" s="2859"/>
      <c r="BG1925" s="2859"/>
      <c r="BH1925" s="2859"/>
      <c r="BI1925" s="2859"/>
      <c r="BJ1925" s="2859"/>
      <c r="BK1925" s="2859"/>
      <c r="BL1925" s="2859"/>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4995"/>
      <c r="C1926" s="2813"/>
      <c r="D1926" s="260"/>
      <c r="E1926" s="2816" t="s">
        <v>10344</v>
      </c>
      <c r="F1926" s="218">
        <v>30</v>
      </c>
      <c r="G1926" s="218">
        <v>50</v>
      </c>
      <c r="H1926" s="218">
        <f>COUNTIF(HabilidadesEsenciales_Adquiridas,Tablas!E1926)</f>
        <v>0</v>
      </c>
      <c r="I1926" s="2818">
        <v>1</v>
      </c>
      <c r="J1926" s="422"/>
      <c r="K1926" s="2809"/>
      <c r="M1926" s="1959"/>
      <c r="N1926" s="100"/>
      <c r="O1926" s="468" t="s">
        <v>9920</v>
      </c>
      <c r="P1926" s="2828">
        <v>10</v>
      </c>
      <c r="Q1926" s="575">
        <v>60</v>
      </c>
      <c r="R1926" s="2818">
        <f>COUNTIF(PoderesDeCriatura_Adquiridos,Tablas!O1926)</f>
        <v>0</v>
      </c>
      <c r="S1926" s="422"/>
      <c r="T1926" s="2809"/>
      <c r="U1926" s="500"/>
      <c r="V1926" s="2868" t="s">
        <v>1572</v>
      </c>
      <c r="W1926" s="2838"/>
      <c r="X1926" s="2340" t="str">
        <f t="shared" si="112"/>
        <v/>
      </c>
      <c r="Y1926" s="2852" t="s">
        <v>8977</v>
      </c>
      <c r="Z1926" s="2859"/>
      <c r="AA1926" s="2859"/>
      <c r="AB1926" s="2859"/>
      <c r="AC1926" s="2859"/>
      <c r="AD1926" s="2859"/>
      <c r="AE1926" s="2859"/>
      <c r="AF1926" s="2859"/>
      <c r="AG1926" s="2859"/>
      <c r="AH1926" s="2859"/>
      <c r="AI1926" s="2859"/>
      <c r="AJ1926" s="2859"/>
      <c r="AK1926" s="2859"/>
      <c r="AL1926" s="2859"/>
      <c r="AM1926" s="2859"/>
      <c r="AN1926" s="2859"/>
      <c r="AO1926" s="2859"/>
      <c r="AP1926" s="2859"/>
      <c r="AQ1926" s="2859"/>
      <c r="AR1926" s="2859"/>
      <c r="AS1926" s="2859"/>
      <c r="AT1926" s="2859"/>
      <c r="AU1926" s="2859"/>
      <c r="AV1926" s="2859"/>
      <c r="AW1926" s="2859"/>
      <c r="AX1926" s="2859"/>
      <c r="AY1926" s="2859"/>
      <c r="AZ1926" s="2859"/>
      <c r="BA1926" s="2859"/>
      <c r="BB1926" s="2859"/>
      <c r="BC1926" s="2859"/>
      <c r="BD1926" s="2859"/>
      <c r="BE1926" s="2859"/>
      <c r="BF1926" s="2859"/>
      <c r="BG1926" s="2859"/>
      <c r="BH1926" s="2859"/>
      <c r="BI1926" s="2859"/>
      <c r="BJ1926" s="2859"/>
      <c r="BK1926" s="2859"/>
      <c r="BL1926" s="2859"/>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4995"/>
      <c r="C1927" s="2813"/>
      <c r="D1927" s="260"/>
      <c r="E1927" s="2816" t="s">
        <v>10345</v>
      </c>
      <c r="F1927" s="218">
        <v>10</v>
      </c>
      <c r="G1927" s="218">
        <v>10</v>
      </c>
      <c r="H1927" s="218">
        <f>COUNTIF(HabilidadesEsenciales_Adquiridas,Tablas!E1927)</f>
        <v>0</v>
      </c>
      <c r="I1927" s="2818">
        <v>1</v>
      </c>
      <c r="J1927" s="422"/>
      <c r="K1927" s="2809"/>
      <c r="M1927" s="1959"/>
      <c r="N1927" s="100"/>
      <c r="O1927" s="468" t="s">
        <v>9921</v>
      </c>
      <c r="P1927" s="2828">
        <v>20</v>
      </c>
      <c r="Q1927" s="575">
        <v>70</v>
      </c>
      <c r="R1927" s="2818">
        <f>COUNTIF(PoderesDeCriatura_Adquiridos,Tablas!O1927)</f>
        <v>0</v>
      </c>
      <c r="S1927" s="422"/>
      <c r="T1927" s="2809"/>
      <c r="U1927" s="500"/>
      <c r="V1927" s="2868" t="s">
        <v>1570</v>
      </c>
      <c r="W1927" s="2838"/>
      <c r="X1927" s="2340" t="str">
        <f t="shared" si="112"/>
        <v/>
      </c>
      <c r="Y1927" s="2852" t="s">
        <v>8977</v>
      </c>
      <c r="Z1927" s="2859"/>
      <c r="AA1927" s="2859"/>
      <c r="AB1927" s="2859"/>
      <c r="AC1927" s="2859"/>
      <c r="AD1927" s="2859"/>
      <c r="AE1927" s="2859"/>
      <c r="AF1927" s="2859"/>
      <c r="AG1927" s="2859"/>
      <c r="AH1927" s="2859"/>
      <c r="AI1927" s="2859"/>
      <c r="AJ1927" s="2859"/>
      <c r="AK1927" s="2859"/>
      <c r="AL1927" s="2859"/>
      <c r="AM1927" s="2859"/>
      <c r="AN1927" s="2859"/>
      <c r="AO1927" s="2859"/>
      <c r="AP1927" s="2859"/>
      <c r="AQ1927" s="2859"/>
      <c r="AR1927" s="2859"/>
      <c r="AS1927" s="2859"/>
      <c r="AT1927" s="2859"/>
      <c r="AU1927" s="2859"/>
      <c r="AV1927" s="2859"/>
      <c r="AW1927" s="2859"/>
      <c r="AX1927" s="2859"/>
      <c r="AY1927" s="2859"/>
      <c r="AZ1927" s="2859"/>
      <c r="BA1927" s="2859"/>
      <c r="BB1927" s="2859"/>
      <c r="BC1927" s="2859"/>
      <c r="BD1927" s="2859"/>
      <c r="BE1927" s="2859"/>
      <c r="BF1927" s="2859"/>
      <c r="BG1927" s="2859"/>
      <c r="BH1927" s="2859"/>
      <c r="BI1927" s="2859"/>
      <c r="BJ1927" s="2859"/>
      <c r="BK1927" s="2859"/>
      <c r="BL1927" s="2859"/>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4995"/>
      <c r="C1928" s="2813"/>
      <c r="D1928" s="260"/>
      <c r="E1928" s="2816" t="s">
        <v>10346</v>
      </c>
      <c r="F1928" s="218">
        <v>15</v>
      </c>
      <c r="G1928" s="218">
        <v>20</v>
      </c>
      <c r="H1928" s="218">
        <f>COUNTIF(HabilidadesEsenciales_Adquiridas,Tablas!E1928)</f>
        <v>0</v>
      </c>
      <c r="I1928" s="2818">
        <v>1</v>
      </c>
      <c r="J1928" s="422"/>
      <c r="K1928" s="2809"/>
      <c r="M1928" s="1959"/>
      <c r="N1928" s="100"/>
      <c r="O1928" s="468" t="s">
        <v>9922</v>
      </c>
      <c r="P1928" s="2828">
        <v>30</v>
      </c>
      <c r="Q1928" s="575">
        <v>80</v>
      </c>
      <c r="R1928" s="2818">
        <f>COUNTIF(PoderesDeCriatura_Adquiridos,Tablas!O1928)</f>
        <v>0</v>
      </c>
      <c r="S1928" s="422"/>
      <c r="T1928" s="2809"/>
      <c r="U1928" s="500"/>
      <c r="V1928" s="2868" t="s">
        <v>1571</v>
      </c>
      <c r="W1928" s="2838"/>
      <c r="X1928" s="2340" t="str">
        <f t="shared" si="112"/>
        <v/>
      </c>
      <c r="Y1928" s="2852" t="s">
        <v>8977</v>
      </c>
      <c r="Z1928" s="2859"/>
      <c r="AA1928" s="2859"/>
      <c r="AB1928" s="2859"/>
      <c r="AC1928" s="2859"/>
      <c r="AD1928" s="2859"/>
      <c r="AE1928" s="2859"/>
      <c r="AF1928" s="2859"/>
      <c r="AG1928" s="2859"/>
      <c r="AH1928" s="2859"/>
      <c r="AI1928" s="2859"/>
      <c r="AJ1928" s="2859"/>
      <c r="AK1928" s="2859"/>
      <c r="AL1928" s="2859"/>
      <c r="AM1928" s="2859"/>
      <c r="AN1928" s="2859"/>
      <c r="AO1928" s="2859"/>
      <c r="AP1928" s="2859"/>
      <c r="AQ1928" s="2859"/>
      <c r="AR1928" s="2859"/>
      <c r="AS1928" s="2859"/>
      <c r="AT1928" s="2859"/>
      <c r="AU1928" s="2859"/>
      <c r="AV1928" s="2859"/>
      <c r="AW1928" s="2859"/>
      <c r="AX1928" s="2859"/>
      <c r="AY1928" s="2859"/>
      <c r="AZ1928" s="2859"/>
      <c r="BA1928" s="2859"/>
      <c r="BB1928" s="2859"/>
      <c r="BC1928" s="2859"/>
      <c r="BD1928" s="2859"/>
      <c r="BE1928" s="2859"/>
      <c r="BF1928" s="2859"/>
      <c r="BG1928" s="2859"/>
      <c r="BH1928" s="2859"/>
      <c r="BI1928" s="2859"/>
      <c r="BJ1928" s="2859"/>
      <c r="BK1928" s="2859"/>
      <c r="BL1928" s="2859"/>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4995"/>
      <c r="C1929" s="2813"/>
      <c r="D1929" s="260"/>
      <c r="E1929" s="2816" t="s">
        <v>10347</v>
      </c>
      <c r="F1929" s="218">
        <v>20</v>
      </c>
      <c r="G1929" s="218">
        <v>30</v>
      </c>
      <c r="H1929" s="218">
        <f>COUNTIF(HabilidadesEsenciales_Adquiridas,Tablas!E1929)</f>
        <v>0</v>
      </c>
      <c r="I1929" s="2818">
        <v>1</v>
      </c>
      <c r="J1929" s="422"/>
      <c r="K1929" s="2809"/>
      <c r="M1929" s="1959"/>
      <c r="N1929" s="100"/>
      <c r="O1929" s="468" t="s">
        <v>9923</v>
      </c>
      <c r="P1929" s="2828">
        <v>30</v>
      </c>
      <c r="Q1929" s="575">
        <v>90</v>
      </c>
      <c r="R1929" s="2818">
        <f>COUNTIF(PoderesDeCriatura_Adquiridos,Tablas!O1929)</f>
        <v>0</v>
      </c>
      <c r="S1929" s="422"/>
      <c r="T1929" s="2809"/>
      <c r="U1929" s="500"/>
      <c r="V1929" s="2868" t="s">
        <v>1555</v>
      </c>
      <c r="W1929" s="2838"/>
      <c r="X1929" s="2340" t="str">
        <f t="shared" si="112"/>
        <v/>
      </c>
      <c r="Y1929" s="2852" t="s">
        <v>8977</v>
      </c>
      <c r="Z1929" s="2859"/>
      <c r="AA1929" s="2859"/>
      <c r="AB1929" s="2859"/>
      <c r="AC1929" s="2859"/>
      <c r="AD1929" s="2859"/>
      <c r="AE1929" s="2859"/>
      <c r="AF1929" s="2859"/>
      <c r="AG1929" s="2859"/>
      <c r="AH1929" s="2859"/>
      <c r="AI1929" s="2859"/>
      <c r="AJ1929" s="2859"/>
      <c r="AK1929" s="2859"/>
      <c r="AL1929" s="2859"/>
      <c r="AM1929" s="2859"/>
      <c r="AN1929" s="2859"/>
      <c r="AO1929" s="2859"/>
      <c r="AP1929" s="2859"/>
      <c r="AQ1929" s="2859"/>
      <c r="AR1929" s="2859"/>
      <c r="AS1929" s="2859"/>
      <c r="AT1929" s="2859"/>
      <c r="AU1929" s="2859"/>
      <c r="AV1929" s="2859"/>
      <c r="AW1929" s="2859"/>
      <c r="AX1929" s="2859"/>
      <c r="AY1929" s="2859"/>
      <c r="AZ1929" s="2859"/>
      <c r="BA1929" s="2859"/>
      <c r="BB1929" s="2859"/>
      <c r="BC1929" s="2859"/>
      <c r="BD1929" s="2859"/>
      <c r="BE1929" s="2859"/>
      <c r="BF1929" s="2859"/>
      <c r="BG1929" s="2859"/>
      <c r="BH1929" s="2859"/>
      <c r="BI1929" s="2859"/>
      <c r="BJ1929" s="2859"/>
      <c r="BK1929" s="2859"/>
      <c r="BL1929" s="2859"/>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4995"/>
      <c r="C1930" s="2813"/>
      <c r="D1930" s="260"/>
      <c r="E1930" s="2816" t="s">
        <v>10348</v>
      </c>
      <c r="F1930" s="218">
        <v>25</v>
      </c>
      <c r="G1930" s="218">
        <v>40</v>
      </c>
      <c r="H1930" s="218">
        <f>COUNTIF(HabilidadesEsenciales_Adquiridas,Tablas!E1930)</f>
        <v>0</v>
      </c>
      <c r="I1930" s="2818">
        <v>1</v>
      </c>
      <c r="J1930" s="422"/>
      <c r="K1930" s="2809"/>
      <c r="M1930" s="1959"/>
      <c r="N1930" s="100"/>
      <c r="O1930" s="468" t="s">
        <v>9924</v>
      </c>
      <c r="P1930" s="2828">
        <v>40</v>
      </c>
      <c r="Q1930" s="575">
        <v>100</v>
      </c>
      <c r="R1930" s="2818">
        <f>COUNTIF(PoderesDeCriatura_Adquiridos,Tablas!O1930)</f>
        <v>0</v>
      </c>
      <c r="S1930" s="422"/>
      <c r="T1930" s="2809"/>
      <c r="U1930" s="500"/>
      <c r="V1930" s="2868" t="s">
        <v>1567</v>
      </c>
      <c r="W1930" s="2838"/>
      <c r="X1930" s="2340" t="str">
        <f t="shared" si="112"/>
        <v/>
      </c>
      <c r="Y1930" s="2852" t="s">
        <v>8977</v>
      </c>
      <c r="Z1930" s="2859"/>
      <c r="AA1930" s="2859"/>
      <c r="AB1930" s="2859"/>
      <c r="AC1930" s="2859"/>
      <c r="AD1930" s="2859"/>
      <c r="AE1930" s="2859"/>
      <c r="AF1930" s="2859"/>
      <c r="AG1930" s="2859"/>
      <c r="AH1930" s="2859"/>
      <c r="AI1930" s="2859"/>
      <c r="AJ1930" s="2859"/>
      <c r="AK1930" s="2859"/>
      <c r="AL1930" s="2859"/>
      <c r="AM1930" s="2859"/>
      <c r="AN1930" s="2859"/>
      <c r="AO1930" s="2859"/>
      <c r="AP1930" s="2859"/>
      <c r="AQ1930" s="2859"/>
      <c r="AR1930" s="2859"/>
      <c r="AS1930" s="2859"/>
      <c r="AT1930" s="2859"/>
      <c r="AU1930" s="2859"/>
      <c r="AV1930" s="2859"/>
      <c r="AW1930" s="2859"/>
      <c r="AX1930" s="2859"/>
      <c r="AY1930" s="2859"/>
      <c r="AZ1930" s="2859"/>
      <c r="BA1930" s="2859"/>
      <c r="BB1930" s="2859"/>
      <c r="BC1930" s="2859"/>
      <c r="BD1930" s="2859"/>
      <c r="BE1930" s="2859"/>
      <c r="BF1930" s="2859"/>
      <c r="BG1930" s="2859"/>
      <c r="BH1930" s="2859"/>
      <c r="BI1930" s="2859"/>
      <c r="BJ1930" s="2859"/>
      <c r="BK1930" s="2859"/>
      <c r="BL1930" s="2859"/>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4995"/>
      <c r="C1931" s="2813"/>
      <c r="D1931" s="260"/>
      <c r="E1931" s="2816" t="s">
        <v>10349</v>
      </c>
      <c r="F1931" s="218">
        <v>30</v>
      </c>
      <c r="G1931" s="218">
        <v>50</v>
      </c>
      <c r="H1931" s="218">
        <f>COUNTIF(HabilidadesEsenciales_Adquiridas,Tablas!E1931)</f>
        <v>0</v>
      </c>
      <c r="I1931" s="2818">
        <v>1</v>
      </c>
      <c r="J1931" s="422"/>
      <c r="K1931" s="2809"/>
      <c r="M1931" s="1959"/>
      <c r="N1931" s="100"/>
      <c r="O1931" s="468" t="s">
        <v>9925</v>
      </c>
      <c r="P1931" s="2811">
        <v>0</v>
      </c>
      <c r="Q1931" s="575">
        <v>10</v>
      </c>
      <c r="R1931" s="2818">
        <f>COUNTIF(PoderesDeCriatura_Adquiridos,Tablas!O1931)</f>
        <v>0</v>
      </c>
      <c r="S1931" s="422"/>
      <c r="T1931" s="2809"/>
      <c r="U1931" s="500"/>
      <c r="V1931" s="2868" t="s">
        <v>1558</v>
      </c>
      <c r="W1931" s="2838"/>
      <c r="X1931" s="2340" t="str">
        <f t="shared" si="112"/>
        <v/>
      </c>
      <c r="Y1931" s="2852" t="s">
        <v>8977</v>
      </c>
      <c r="Z1931" s="2859"/>
      <c r="AA1931" s="2859"/>
      <c r="AB1931" s="2859"/>
      <c r="AC1931" s="2859"/>
      <c r="AD1931" s="2859"/>
      <c r="AE1931" s="2859"/>
      <c r="AF1931" s="2859"/>
      <c r="AG1931" s="2859"/>
      <c r="AH1931" s="2859"/>
      <c r="AI1931" s="2859"/>
      <c r="AJ1931" s="2859"/>
      <c r="AK1931" s="2859"/>
      <c r="AL1931" s="2859"/>
      <c r="AM1931" s="2859"/>
      <c r="AN1931" s="2859"/>
      <c r="AO1931" s="2859"/>
      <c r="AP1931" s="2859"/>
      <c r="AQ1931" s="2859"/>
      <c r="AR1931" s="2859"/>
      <c r="AS1931" s="2859"/>
      <c r="AT1931" s="2859"/>
      <c r="AU1931" s="2859"/>
      <c r="AV1931" s="2859"/>
      <c r="AW1931" s="2859"/>
      <c r="AX1931" s="2859"/>
      <c r="AY1931" s="2859"/>
      <c r="AZ1931" s="2859"/>
      <c r="BA1931" s="2859"/>
      <c r="BB1931" s="2859"/>
      <c r="BC1931" s="2859"/>
      <c r="BD1931" s="2859"/>
      <c r="BE1931" s="2859"/>
      <c r="BF1931" s="2859"/>
      <c r="BG1931" s="2859"/>
      <c r="BH1931" s="2859"/>
      <c r="BI1931" s="2859"/>
      <c r="BJ1931" s="2859"/>
      <c r="BK1931" s="2859"/>
      <c r="BL1931" s="2859"/>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4995"/>
      <c r="C1932" s="2813"/>
      <c r="D1932" s="260"/>
      <c r="E1932" s="2816" t="s">
        <v>10350</v>
      </c>
      <c r="F1932" s="218">
        <v>10</v>
      </c>
      <c r="G1932" s="218">
        <v>10</v>
      </c>
      <c r="H1932" s="218">
        <f>COUNTIF(HabilidadesEsenciales_Adquiridas,Tablas!E1932)</f>
        <v>0</v>
      </c>
      <c r="I1932" s="2818">
        <v>1</v>
      </c>
      <c r="J1932" s="422"/>
      <c r="K1932" s="2809"/>
      <c r="M1932" s="1959"/>
      <c r="N1932" s="100"/>
      <c r="O1932" s="468" t="s">
        <v>9926</v>
      </c>
      <c r="P1932" s="2811">
        <v>0</v>
      </c>
      <c r="Q1932" s="575">
        <v>20</v>
      </c>
      <c r="R1932" s="2818">
        <f>COUNTIF(PoderesDeCriatura_Adquiridos,Tablas!O1932)</f>
        <v>0</v>
      </c>
      <c r="S1932" s="422"/>
      <c r="T1932" s="2809"/>
      <c r="U1932" s="500"/>
      <c r="V1932" s="2868" t="s">
        <v>1568</v>
      </c>
      <c r="W1932" s="2838"/>
      <c r="X1932" s="2340" t="str">
        <f t="shared" si="112"/>
        <v/>
      </c>
      <c r="Y1932" s="2852" t="s">
        <v>8977</v>
      </c>
      <c r="Z1932" s="2859"/>
      <c r="AA1932" s="2859"/>
      <c r="AB1932" s="2859"/>
      <c r="AC1932" s="2859"/>
      <c r="AD1932" s="2859"/>
      <c r="AE1932" s="2859"/>
      <c r="AF1932" s="2859"/>
      <c r="AG1932" s="2859"/>
      <c r="AH1932" s="2859"/>
      <c r="AI1932" s="2859"/>
      <c r="AJ1932" s="2859"/>
      <c r="AK1932" s="2859"/>
      <c r="AL1932" s="2859"/>
      <c r="AM1932" s="2859"/>
      <c r="AN1932" s="2859"/>
      <c r="AO1932" s="2859"/>
      <c r="AP1932" s="2859"/>
      <c r="AQ1932" s="2859"/>
      <c r="AR1932" s="2859"/>
      <c r="AS1932" s="2859"/>
      <c r="AT1932" s="2859"/>
      <c r="AU1932" s="2859"/>
      <c r="AV1932" s="2859"/>
      <c r="AW1932" s="2859"/>
      <c r="AX1932" s="2859"/>
      <c r="AY1932" s="2859"/>
      <c r="AZ1932" s="2859"/>
      <c r="BA1932" s="2859"/>
      <c r="BB1932" s="2859"/>
      <c r="BC1932" s="2859"/>
      <c r="BD1932" s="2859"/>
      <c r="BE1932" s="2859"/>
      <c r="BF1932" s="2859"/>
      <c r="BG1932" s="2859"/>
      <c r="BH1932" s="2859"/>
      <c r="BI1932" s="2859"/>
      <c r="BJ1932" s="2859"/>
      <c r="BK1932" s="2859"/>
      <c r="BL1932" s="2859"/>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4995"/>
      <c r="C1933" s="2813"/>
      <c r="D1933" s="260"/>
      <c r="E1933" s="2816" t="s">
        <v>10351</v>
      </c>
      <c r="F1933" s="218">
        <v>15</v>
      </c>
      <c r="G1933" s="218">
        <v>20</v>
      </c>
      <c r="H1933" s="218">
        <f>COUNTIF(HabilidadesEsenciales_Adquiridas,Tablas!E1933)</f>
        <v>0</v>
      </c>
      <c r="I1933" s="2818">
        <v>1</v>
      </c>
      <c r="J1933" s="422"/>
      <c r="K1933" s="2809"/>
      <c r="M1933" s="1959"/>
      <c r="N1933" s="100"/>
      <c r="O1933" s="468" t="s">
        <v>9927</v>
      </c>
      <c r="P1933" s="2811">
        <v>0</v>
      </c>
      <c r="Q1933" s="575">
        <v>30</v>
      </c>
      <c r="R1933" s="2818">
        <f>COUNTIF(PoderesDeCriatura_Adquiridos,Tablas!O1933)</f>
        <v>0</v>
      </c>
      <c r="S1933" s="422"/>
      <c r="T1933" s="2809"/>
      <c r="U1933" s="500"/>
      <c r="V1933" s="2868" t="s">
        <v>9454</v>
      </c>
      <c r="W1933" s="2838"/>
      <c r="X1933" s="2340" t="str">
        <f t="shared" si="112"/>
        <v>PodHab_Tamañononatural</v>
      </c>
      <c r="Y1933" s="2852" t="s">
        <v>3575</v>
      </c>
      <c r="Z1933" s="2852" t="s">
        <v>3484</v>
      </c>
      <c r="AA1933" s="2852" t="s">
        <v>3485</v>
      </c>
      <c r="AB1933" s="2852" t="s">
        <v>4219</v>
      </c>
      <c r="AC1933" s="2852" t="s">
        <v>8930</v>
      </c>
      <c r="AD1933" s="2852" t="s">
        <v>10423</v>
      </c>
      <c r="AE1933" s="2852" t="s">
        <v>10424</v>
      </c>
      <c r="AF1933" s="2852" t="s">
        <v>10425</v>
      </c>
      <c r="AG1933" s="2852" t="s">
        <v>10426</v>
      </c>
      <c r="AH1933" s="2852" t="s">
        <v>10427</v>
      </c>
      <c r="AI1933" s="2852"/>
      <c r="AJ1933" s="2852"/>
      <c r="AK1933" s="2852"/>
      <c r="AL1933" s="2852"/>
      <c r="AM1933" s="2852"/>
      <c r="AN1933" s="2852"/>
      <c r="AO1933" s="2852"/>
      <c r="AP1933" s="2852"/>
      <c r="AQ1933" s="2852"/>
      <c r="AR1933" s="2852"/>
      <c r="AS1933" s="2852"/>
      <c r="AT1933" s="2852"/>
      <c r="AU1933" s="2852"/>
      <c r="AV1933" s="2852"/>
      <c r="AW1933" s="2859"/>
      <c r="AX1933" s="2859"/>
      <c r="AY1933" s="2859"/>
      <c r="AZ1933" s="2859"/>
      <c r="BA1933" s="2859"/>
      <c r="BB1933" s="2859"/>
      <c r="BC1933" s="2859"/>
      <c r="BD1933" s="2859"/>
      <c r="BE1933" s="2859"/>
      <c r="BF1933" s="2859"/>
      <c r="BG1933" s="2859"/>
      <c r="BH1933" s="2859"/>
      <c r="BI1933" s="2859"/>
      <c r="BJ1933" s="2859"/>
      <c r="BK1933" s="2859"/>
      <c r="BL1933" s="2859"/>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4995"/>
      <c r="C1934" s="2813"/>
      <c r="D1934" s="260"/>
      <c r="E1934" s="2816" t="s">
        <v>10352</v>
      </c>
      <c r="F1934" s="218">
        <v>20</v>
      </c>
      <c r="G1934" s="218">
        <v>30</v>
      </c>
      <c r="H1934" s="218">
        <f>COUNTIF(HabilidadesEsenciales_Adquiridas,Tablas!E1934)</f>
        <v>0</v>
      </c>
      <c r="I1934" s="2818">
        <v>1</v>
      </c>
      <c r="J1934" s="422"/>
      <c r="K1934" s="2809"/>
      <c r="M1934" s="1959"/>
      <c r="N1934" s="100"/>
      <c r="O1934" s="468" t="s">
        <v>9928</v>
      </c>
      <c r="P1934" s="2811">
        <v>10</v>
      </c>
      <c r="Q1934" s="575">
        <v>40</v>
      </c>
      <c r="R1934" s="2818">
        <f>COUNTIF(PoderesDeCriatura_Adquiridos,Tablas!O1934)</f>
        <v>0</v>
      </c>
      <c r="S1934" s="422"/>
      <c r="T1934" s="2809"/>
      <c r="U1934" s="500"/>
      <c r="V1934" s="2868" t="s">
        <v>2012</v>
      </c>
      <c r="W1934" s="2838"/>
      <c r="X1934" s="2340"/>
      <c r="Y1934" s="2852"/>
      <c r="Z1934" s="2852"/>
      <c r="AA1934" s="2852"/>
      <c r="AB1934" s="2852"/>
      <c r="AC1934" s="2852"/>
      <c r="AD1934" s="2852"/>
      <c r="AE1934" s="2852"/>
      <c r="AF1934" s="2852"/>
      <c r="AG1934" s="2852"/>
      <c r="AH1934" s="2852"/>
      <c r="AI1934" s="2859"/>
      <c r="AJ1934" s="2859"/>
      <c r="AK1934" s="2859"/>
      <c r="AL1934" s="2859"/>
      <c r="AM1934" s="2859"/>
      <c r="AN1934" s="2859"/>
      <c r="AO1934" s="2859"/>
      <c r="AP1934" s="2859"/>
      <c r="AQ1934" s="2859"/>
      <c r="AR1934" s="2859"/>
      <c r="AS1934" s="2859"/>
      <c r="AT1934" s="2859"/>
      <c r="AU1934" s="2859"/>
      <c r="AV1934" s="2859"/>
      <c r="AW1934" s="2859"/>
      <c r="AX1934" s="2859"/>
      <c r="AY1934" s="2859"/>
      <c r="AZ1934" s="2859"/>
      <c r="BA1934" s="2859"/>
      <c r="BB1934" s="2859"/>
      <c r="BC1934" s="2859"/>
      <c r="BD1934" s="2859"/>
      <c r="BE1934" s="2859"/>
      <c r="BF1934" s="2859"/>
      <c r="BG1934" s="2859"/>
      <c r="BH1934" s="2859"/>
      <c r="BI1934" s="2859"/>
      <c r="BJ1934" s="2859"/>
      <c r="BK1934" s="2859"/>
      <c r="BL1934" s="2859"/>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4995"/>
      <c r="C1935" s="2813"/>
      <c r="D1935" s="260"/>
      <c r="E1935" s="2816" t="s">
        <v>10353</v>
      </c>
      <c r="F1935" s="218">
        <v>25</v>
      </c>
      <c r="G1935" s="218">
        <v>40</v>
      </c>
      <c r="H1935" s="218">
        <f>COUNTIF(HabilidadesEsenciales_Adquiridas,Tablas!E1935)</f>
        <v>0</v>
      </c>
      <c r="I1935" s="2818">
        <v>1</v>
      </c>
      <c r="J1935" s="422"/>
      <c r="K1935" s="2809"/>
      <c r="M1935" s="1959"/>
      <c r="N1935" s="100"/>
      <c r="O1935" s="468" t="s">
        <v>9929</v>
      </c>
      <c r="P1935" s="2811">
        <v>20</v>
      </c>
      <c r="Q1935" s="575">
        <v>60</v>
      </c>
      <c r="R1935" s="2818">
        <f>COUNTIF(PoderesDeCriatura_Adquiridos,Tablas!O1935)</f>
        <v>0</v>
      </c>
      <c r="S1935" s="422"/>
      <c r="T1935" s="2809"/>
      <c r="U1935" s="500"/>
      <c r="V1935" s="2868" t="s">
        <v>1580</v>
      </c>
      <c r="W1935" s="2838"/>
      <c r="X1935" s="2340" t="str">
        <f t="shared" si="112"/>
        <v/>
      </c>
      <c r="Y1935" s="2852" t="s">
        <v>8977</v>
      </c>
      <c r="Z1935" s="2859"/>
      <c r="AA1935" s="2859"/>
      <c r="AB1935" s="2859"/>
      <c r="AC1935" s="2859"/>
      <c r="AD1935" s="2859"/>
      <c r="AE1935" s="2859"/>
      <c r="AF1935" s="2859"/>
      <c r="AG1935" s="2859"/>
      <c r="AH1935" s="2859"/>
      <c r="AI1935" s="2859"/>
      <c r="AJ1935" s="2859"/>
      <c r="AK1935" s="2859"/>
      <c r="AL1935" s="2859"/>
      <c r="AM1935" s="2859"/>
      <c r="AN1935" s="2859"/>
      <c r="AO1935" s="2859"/>
      <c r="AP1935" s="2859"/>
      <c r="AQ1935" s="2859"/>
      <c r="AR1935" s="2859"/>
      <c r="AS1935" s="2859"/>
      <c r="AT1935" s="2859"/>
      <c r="AU1935" s="2859"/>
      <c r="AV1935" s="2859"/>
      <c r="AW1935" s="2859"/>
      <c r="AX1935" s="2859"/>
      <c r="AY1935" s="2859"/>
      <c r="AZ1935" s="2859"/>
      <c r="BA1935" s="2859"/>
      <c r="BB1935" s="2859"/>
      <c r="BC1935" s="2859"/>
      <c r="BD1935" s="2859"/>
      <c r="BE1935" s="2859"/>
      <c r="BF1935" s="2859"/>
      <c r="BG1935" s="2859"/>
      <c r="BH1935" s="2859"/>
      <c r="BI1935" s="2859"/>
      <c r="BJ1935" s="2859"/>
      <c r="BK1935" s="2859"/>
      <c r="BL1935" s="2859"/>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4995"/>
      <c r="C1936" s="2813"/>
      <c r="D1936" s="260"/>
      <c r="E1936" s="2816" t="s">
        <v>10354</v>
      </c>
      <c r="F1936" s="218">
        <v>30</v>
      </c>
      <c r="G1936" s="218">
        <v>50</v>
      </c>
      <c r="H1936" s="218">
        <f>COUNTIF(HabilidadesEsenciales_Adquiridas,Tablas!E1936)</f>
        <v>0</v>
      </c>
      <c r="I1936" s="2818">
        <v>1</v>
      </c>
      <c r="J1936" s="422"/>
      <c r="K1936" s="2809"/>
      <c r="M1936" s="1959"/>
      <c r="N1936" s="100"/>
      <c r="O1936" s="468" t="s">
        <v>9930</v>
      </c>
      <c r="P1936" s="2811">
        <v>25</v>
      </c>
      <c r="Q1936" s="575">
        <v>80</v>
      </c>
      <c r="R1936" s="2818">
        <f>COUNTIF(PoderesDeCriatura_Adquiridos,Tablas!O1936)</f>
        <v>0</v>
      </c>
      <c r="S1936" s="422"/>
      <c r="T1936" s="2809"/>
      <c r="U1936" s="500"/>
      <c r="V1936" s="2868" t="s">
        <v>9514</v>
      </c>
      <c r="W1936" s="2838"/>
      <c r="X1936" s="2340" t="str">
        <f t="shared" si="112"/>
        <v>PodHab_Con.Naturaldevía</v>
      </c>
      <c r="Y1936" s="2852" t="s">
        <v>10428</v>
      </c>
      <c r="Z1936" s="2852" t="s">
        <v>10429</v>
      </c>
      <c r="AA1936" s="2852" t="s">
        <v>10430</v>
      </c>
      <c r="AB1936" s="2852" t="s">
        <v>10431</v>
      </c>
      <c r="AC1936" s="2852" t="s">
        <v>10432</v>
      </c>
      <c r="AD1936" s="2852" t="s">
        <v>10433</v>
      </c>
      <c r="AE1936" s="2852" t="s">
        <v>10434</v>
      </c>
      <c r="AF1936" s="2852" t="s">
        <v>10435</v>
      </c>
      <c r="AG1936" s="2852" t="s">
        <v>10436</v>
      </c>
      <c r="AH1936" s="2852" t="s">
        <v>10437</v>
      </c>
      <c r="AI1936" s="2852" t="s">
        <v>10438</v>
      </c>
      <c r="AJ1936" s="2852" t="s">
        <v>10439</v>
      </c>
      <c r="AK1936" s="2852" t="s">
        <v>10440</v>
      </c>
      <c r="AL1936" s="2852" t="s">
        <v>10441</v>
      </c>
      <c r="AM1936" s="2852" t="s">
        <v>10442</v>
      </c>
      <c r="AN1936" s="2852" t="s">
        <v>10443</v>
      </c>
      <c r="AO1936" s="2852" t="s">
        <v>10444</v>
      </c>
      <c r="AP1936" s="2852" t="s">
        <v>10445</v>
      </c>
      <c r="AQ1936" s="2852" t="s">
        <v>10446</v>
      </c>
      <c r="AR1936" s="2852" t="s">
        <v>10447</v>
      </c>
      <c r="AS1936" s="2852" t="s">
        <v>10448</v>
      </c>
      <c r="AT1936" s="2852" t="s">
        <v>10449</v>
      </c>
      <c r="AU1936" s="2852" t="s">
        <v>10450</v>
      </c>
      <c r="AV1936" s="2852" t="s">
        <v>10451</v>
      </c>
      <c r="AW1936" s="2852" t="s">
        <v>10452</v>
      </c>
      <c r="AX1936" s="2852" t="s">
        <v>10453</v>
      </c>
      <c r="AY1936" s="2852" t="s">
        <v>10454</v>
      </c>
      <c r="AZ1936" s="2852" t="s">
        <v>10455</v>
      </c>
      <c r="BA1936" s="2852" t="s">
        <v>10456</v>
      </c>
      <c r="BB1936" s="2852" t="s">
        <v>10457</v>
      </c>
      <c r="BC1936" s="2852" t="s">
        <v>10458</v>
      </c>
      <c r="BD1936" s="2852" t="s">
        <v>10459</v>
      </c>
      <c r="BE1936" s="2852" t="s">
        <v>10460</v>
      </c>
      <c r="BF1936" s="2852" t="s">
        <v>10461</v>
      </c>
      <c r="BG1936" s="2852" t="s">
        <v>10462</v>
      </c>
      <c r="BH1936" s="2852" t="s">
        <v>10463</v>
      </c>
      <c r="BI1936" s="2852" t="s">
        <v>10464</v>
      </c>
      <c r="BJ1936" s="2852" t="s">
        <v>10465</v>
      </c>
      <c r="BK1936" s="2852" t="s">
        <v>10466</v>
      </c>
      <c r="BL1936" s="2852" t="s">
        <v>10467</v>
      </c>
      <c r="BM1936" s="2852" t="s">
        <v>10468</v>
      </c>
      <c r="BN1936" s="2852" t="s">
        <v>10469</v>
      </c>
      <c r="BO1936" s="2852" t="s">
        <v>10470</v>
      </c>
      <c r="BP1936" s="2852" t="s">
        <v>10471</v>
      </c>
      <c r="BQ1936" s="2852" t="s">
        <v>10472</v>
      </c>
      <c r="BR1936" s="2852" t="s">
        <v>10473</v>
      </c>
      <c r="BS1936" s="2852" t="s">
        <v>10474</v>
      </c>
      <c r="BT1936" s="2852" t="s">
        <v>10475</v>
      </c>
      <c r="BU1936" s="2852" t="s">
        <v>10476</v>
      </c>
      <c r="BV1936" s="2852" t="s">
        <v>10477</v>
      </c>
      <c r="BW1936" s="2852" t="s">
        <v>10478</v>
      </c>
      <c r="BX1936" s="2852" t="s">
        <v>10479</v>
      </c>
      <c r="BY1936" s="2852" t="s">
        <v>10480</v>
      </c>
      <c r="BZ1936" s="2852" t="s">
        <v>10481</v>
      </c>
      <c r="CA1936" s="2873" t="s">
        <v>10482</v>
      </c>
    </row>
    <row r="1937" spans="1:79" ht="12.75" customHeight="1" x14ac:dyDescent="0.2">
      <c r="A1937" s="2029">
        <v>211</v>
      </c>
      <c r="B1937" s="4995"/>
      <c r="C1937" s="2813"/>
      <c r="D1937" s="260"/>
      <c r="E1937" s="2816" t="s">
        <v>10355</v>
      </c>
      <c r="F1937" s="218">
        <v>10</v>
      </c>
      <c r="G1937" s="218">
        <v>10</v>
      </c>
      <c r="H1937" s="218">
        <f>COUNTIF(HabilidadesEsenciales_Adquiridas,Tablas!E1937)</f>
        <v>0</v>
      </c>
      <c r="I1937" s="2818">
        <v>1</v>
      </c>
      <c r="J1937" s="422"/>
      <c r="K1937" s="2809"/>
      <c r="M1937" s="1959"/>
      <c r="N1937" s="100"/>
      <c r="O1937" s="468" t="s">
        <v>1613</v>
      </c>
      <c r="P1937" s="2811">
        <v>20</v>
      </c>
      <c r="Q1937" s="575">
        <v>60</v>
      </c>
      <c r="R1937" s="2818">
        <f>COUNTIF(PoderesDeCriatura_Adquiridos,Tablas!O1937)</f>
        <v>0</v>
      </c>
      <c r="S1937" s="422"/>
      <c r="T1937" s="2809"/>
      <c r="U1937" s="500"/>
      <c r="V1937" s="2868" t="s">
        <v>2846</v>
      </c>
      <c r="W1937" s="2837"/>
      <c r="X1937" s="2340"/>
      <c r="Y1937" s="2852"/>
      <c r="Z1937" s="2852"/>
      <c r="AA1937" s="2852"/>
      <c r="AB1937" s="2852"/>
      <c r="AC1937" s="2852"/>
      <c r="AD1937" s="2852"/>
      <c r="AE1937" s="2852"/>
      <c r="AF1937" s="2852"/>
      <c r="AG1937" s="2852"/>
      <c r="AH1937" s="2852"/>
      <c r="AI1937" s="2852"/>
      <c r="AJ1937" s="2852"/>
      <c r="AK1937" s="2852"/>
      <c r="AL1937" s="2852"/>
      <c r="AM1937" s="2852"/>
      <c r="AN1937" s="2852"/>
      <c r="AO1937" s="2852"/>
      <c r="AP1937" s="2852"/>
      <c r="AQ1937" s="2852"/>
      <c r="AR1937" s="2852"/>
      <c r="AS1937" s="2852"/>
      <c r="AT1937" s="2852"/>
      <c r="AU1937" s="2852"/>
      <c r="AV1937" s="2852"/>
      <c r="AW1937" s="2852"/>
      <c r="AX1937" s="2852"/>
      <c r="AY1937" s="2852"/>
      <c r="AZ1937" s="2852"/>
      <c r="BA1937" s="2852"/>
      <c r="BB1937" s="2852"/>
      <c r="BC1937" s="2852"/>
      <c r="BD1937" s="2852"/>
      <c r="BE1937" s="2852"/>
      <c r="BF1937" s="2852"/>
      <c r="BG1937" s="2852"/>
      <c r="BH1937" s="2852"/>
      <c r="BI1937" s="2852"/>
      <c r="BJ1937" s="2852"/>
      <c r="BK1937" s="2852"/>
      <c r="BL1937" s="2852"/>
      <c r="BM1937" s="2852"/>
      <c r="BN1937" s="2852"/>
      <c r="BO1937" s="2852"/>
      <c r="BP1937" s="2852"/>
      <c r="BQ1937" s="2852"/>
      <c r="BR1937" s="2852"/>
      <c r="BS1937" s="2852"/>
      <c r="BT1937" s="2852"/>
      <c r="BU1937" s="2852"/>
      <c r="BV1937" s="2852"/>
      <c r="BW1937" s="2852"/>
      <c r="BX1937" s="2852"/>
      <c r="BY1937" s="2852"/>
      <c r="BZ1937" s="2852"/>
      <c r="CA1937" s="2852"/>
    </row>
    <row r="1938" spans="1:79" ht="12.75" customHeight="1" x14ac:dyDescent="0.2">
      <c r="A1938" s="2029">
        <v>211</v>
      </c>
      <c r="B1938" s="4995"/>
      <c r="C1938" s="2813"/>
      <c r="D1938" s="260"/>
      <c r="E1938" s="2816" t="s">
        <v>10356</v>
      </c>
      <c r="F1938" s="218">
        <v>15</v>
      </c>
      <c r="G1938" s="218">
        <v>20</v>
      </c>
      <c r="H1938" s="218">
        <f>COUNTIF(HabilidadesEsenciales_Adquiridas,Tablas!E1938)</f>
        <v>0</v>
      </c>
      <c r="I1938" s="2818">
        <v>1</v>
      </c>
      <c r="J1938" s="422"/>
      <c r="K1938" s="2809"/>
      <c r="M1938" s="1959"/>
      <c r="N1938" s="100"/>
      <c r="O1938" s="468" t="s">
        <v>1965</v>
      </c>
      <c r="P1938" s="2811">
        <v>10</v>
      </c>
      <c r="Q1938" s="575">
        <v>10</v>
      </c>
      <c r="R1938" s="2818">
        <f>COUNTIF(PoderesDeCriatura_Adquiridos,Tablas!O1938)</f>
        <v>0</v>
      </c>
      <c r="S1938" s="422"/>
      <c r="T1938" s="2809"/>
      <c r="U1938" s="500"/>
      <c r="V1938" s="2868" t="s">
        <v>2845</v>
      </c>
      <c r="W1938" s="2838"/>
      <c r="X1938" s="2340"/>
      <c r="Y1938" s="2852"/>
      <c r="Z1938" s="2859"/>
      <c r="AA1938" s="2859"/>
      <c r="AB1938" s="2859"/>
      <c r="AC1938" s="2859"/>
      <c r="AD1938" s="2859"/>
      <c r="AE1938" s="2859"/>
      <c r="AF1938" s="2859"/>
      <c r="AG1938" s="2859"/>
      <c r="AH1938" s="2859"/>
      <c r="AI1938" s="2859"/>
      <c r="AJ1938" s="2859"/>
      <c r="AK1938" s="2859"/>
      <c r="AL1938" s="2859"/>
      <c r="AM1938" s="2859"/>
      <c r="AN1938" s="2859"/>
      <c r="AO1938" s="2859"/>
      <c r="AP1938" s="2859"/>
      <c r="AQ1938" s="2859"/>
      <c r="AR1938" s="2859"/>
      <c r="AS1938" s="2859"/>
      <c r="AT1938" s="2859"/>
      <c r="AU1938" s="2859"/>
      <c r="AV1938" s="2859"/>
      <c r="AW1938" s="2859"/>
      <c r="AX1938" s="2859"/>
      <c r="AY1938" s="2859"/>
      <c r="AZ1938" s="2859"/>
      <c r="BA1938" s="2859"/>
      <c r="BB1938" s="2859"/>
      <c r="BC1938" s="2859"/>
      <c r="BD1938" s="2859"/>
      <c r="BE1938" s="2859"/>
      <c r="BF1938" s="2859"/>
      <c r="BG1938" s="2859"/>
      <c r="BH1938" s="2859"/>
      <c r="BI1938" s="2859"/>
      <c r="BJ1938" s="2859"/>
      <c r="BK1938" s="2859"/>
      <c r="BL1938" s="2859"/>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4995"/>
      <c r="C1939" s="2813"/>
      <c r="D1939" s="260"/>
      <c r="E1939" s="2816" t="s">
        <v>10357</v>
      </c>
      <c r="F1939" s="218">
        <v>20</v>
      </c>
      <c r="G1939" s="218">
        <v>30</v>
      </c>
      <c r="H1939" s="218">
        <f>COUNTIF(HabilidadesEsenciales_Adquiridas,Tablas!E1939)</f>
        <v>0</v>
      </c>
      <c r="I1939" s="2818">
        <v>1</v>
      </c>
      <c r="J1939" s="422"/>
      <c r="K1939" s="2809"/>
      <c r="M1939" s="1959"/>
      <c r="N1939" s="100"/>
      <c r="O1939" s="468" t="s">
        <v>1614</v>
      </c>
      <c r="P1939" s="2811"/>
      <c r="Q1939" s="575"/>
      <c r="R1939" s="2818"/>
      <c r="S1939" s="422"/>
      <c r="T1939" s="2809"/>
      <c r="U1939" s="500"/>
      <c r="V1939" s="2868" t="s">
        <v>1582</v>
      </c>
      <c r="W1939" s="2838"/>
      <c r="X1939" s="2340" t="str">
        <f t="shared" si="112"/>
        <v/>
      </c>
      <c r="Y1939" s="2852" t="s">
        <v>8977</v>
      </c>
      <c r="Z1939" s="2859"/>
      <c r="AA1939" s="2859"/>
      <c r="AB1939" s="2859"/>
      <c r="AC1939" s="2859"/>
      <c r="AD1939" s="2859"/>
      <c r="AE1939" s="2859"/>
      <c r="AF1939" s="2859"/>
      <c r="AG1939" s="2859"/>
      <c r="AH1939" s="2859"/>
      <c r="AI1939" s="2859"/>
      <c r="AJ1939" s="2859"/>
      <c r="AK1939" s="2859"/>
      <c r="AL1939" s="2859"/>
      <c r="AM1939" s="2859"/>
      <c r="AN1939" s="2859"/>
      <c r="AO1939" s="2859"/>
      <c r="AP1939" s="2859"/>
      <c r="AQ1939" s="2859"/>
      <c r="AR1939" s="2859"/>
      <c r="AS1939" s="2859"/>
      <c r="AT1939" s="2859"/>
      <c r="AU1939" s="2859"/>
      <c r="AV1939" s="2859"/>
      <c r="AW1939" s="2859"/>
      <c r="AX1939" s="2859"/>
      <c r="AY1939" s="2859"/>
      <c r="AZ1939" s="2859"/>
      <c r="BA1939" s="2859"/>
      <c r="BB1939" s="2859"/>
      <c r="BC1939" s="2859"/>
      <c r="BD1939" s="2859"/>
      <c r="BE1939" s="2859"/>
      <c r="BF1939" s="2859"/>
      <c r="BG1939" s="2859"/>
      <c r="BH1939" s="2859"/>
      <c r="BI1939" s="2859"/>
      <c r="BJ1939" s="2859"/>
      <c r="BK1939" s="2859"/>
      <c r="BL1939" s="2859"/>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4995"/>
      <c r="C1940" s="2813"/>
      <c r="D1940" s="260"/>
      <c r="E1940" s="2816" t="s">
        <v>10358</v>
      </c>
      <c r="F1940" s="218">
        <v>25</v>
      </c>
      <c r="G1940" s="218">
        <v>40</v>
      </c>
      <c r="H1940" s="218">
        <f>COUNTIF(HabilidadesEsenciales_Adquiridas,Tablas!E1940)</f>
        <v>0</v>
      </c>
      <c r="I1940" s="2818">
        <v>1</v>
      </c>
      <c r="J1940" s="422"/>
      <c r="K1940" s="2809"/>
      <c r="M1940" s="1959"/>
      <c r="N1940" s="100"/>
      <c r="O1940" s="468" t="s">
        <v>9931</v>
      </c>
      <c r="P1940" s="2811">
        <v>0</v>
      </c>
      <c r="Q1940" s="575">
        <v>20</v>
      </c>
      <c r="R1940" s="2818">
        <f>COUNTIF(PoderesDeCriatura_Adquiridos,Tablas!O1940)</f>
        <v>0</v>
      </c>
      <c r="S1940" s="422"/>
      <c r="T1940" s="2809"/>
      <c r="U1940" s="500"/>
      <c r="V1940" s="2868" t="s">
        <v>1581</v>
      </c>
      <c r="W1940" s="2838"/>
      <c r="X1940" s="2340" t="str">
        <f t="shared" si="112"/>
        <v/>
      </c>
      <c r="Y1940" s="2852" t="s">
        <v>8977</v>
      </c>
      <c r="Z1940" s="2859"/>
      <c r="AA1940" s="2859"/>
      <c r="AB1940" s="2859"/>
      <c r="AC1940" s="2859"/>
      <c r="AD1940" s="2859"/>
      <c r="AE1940" s="2859"/>
      <c r="AF1940" s="2859"/>
      <c r="AG1940" s="2859"/>
      <c r="AH1940" s="2859"/>
      <c r="AI1940" s="2859"/>
      <c r="AJ1940" s="2859"/>
      <c r="AK1940" s="2859"/>
      <c r="AL1940" s="2859"/>
      <c r="AM1940" s="2859"/>
      <c r="AN1940" s="2859"/>
      <c r="AO1940" s="2859"/>
      <c r="AP1940" s="2859"/>
      <c r="AQ1940" s="2859"/>
      <c r="AR1940" s="2859"/>
      <c r="AS1940" s="2859"/>
      <c r="AT1940" s="2859"/>
      <c r="AU1940" s="2859"/>
      <c r="AV1940" s="2859"/>
      <c r="AW1940" s="2859"/>
      <c r="AX1940" s="2859"/>
      <c r="AY1940" s="2859"/>
      <c r="AZ1940" s="2859"/>
      <c r="BA1940" s="2859"/>
      <c r="BB1940" s="2859"/>
      <c r="BC1940" s="2859"/>
      <c r="BD1940" s="2859"/>
      <c r="BE1940" s="2859"/>
      <c r="BF1940" s="2859"/>
      <c r="BG1940" s="2859"/>
      <c r="BH1940" s="2859"/>
      <c r="BI1940" s="2859"/>
      <c r="BJ1940" s="2859"/>
      <c r="BK1940" s="2859"/>
      <c r="BL1940" s="2859"/>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4995"/>
      <c r="C1941" s="2813"/>
      <c r="D1941" s="260"/>
      <c r="E1941" s="2816" t="s">
        <v>10359</v>
      </c>
      <c r="F1941" s="218">
        <v>30</v>
      </c>
      <c r="G1941" s="218">
        <v>50</v>
      </c>
      <c r="H1941" s="218">
        <f>COUNTIF(HabilidadesEsenciales_Adquiridas,Tablas!E1941)</f>
        <v>0</v>
      </c>
      <c r="I1941" s="2818">
        <v>1</v>
      </c>
      <c r="J1941" s="422"/>
      <c r="K1941" s="2809"/>
      <c r="M1941" s="1959"/>
      <c r="N1941" s="100"/>
      <c r="O1941" s="468" t="s">
        <v>9932</v>
      </c>
      <c r="P1941" s="2811">
        <v>5</v>
      </c>
      <c r="Q1941" s="575">
        <v>20</v>
      </c>
      <c r="R1941" s="2818">
        <f>COUNTIF(PoderesDeCriatura_Adquiridos,Tablas!O1941)</f>
        <v>0</v>
      </c>
      <c r="S1941" s="422"/>
      <c r="T1941" s="2809"/>
      <c r="U1941" s="500"/>
      <c r="V1941" s="2868" t="s">
        <v>1583</v>
      </c>
      <c r="W1941" s="2838"/>
      <c r="X1941" s="2340" t="str">
        <f t="shared" si="112"/>
        <v/>
      </c>
      <c r="Y1941" s="2852" t="s">
        <v>8977</v>
      </c>
      <c r="Z1941" s="2859"/>
      <c r="AA1941" s="2859"/>
      <c r="AB1941" s="2859"/>
      <c r="AC1941" s="2859"/>
      <c r="AD1941" s="2859"/>
      <c r="AE1941" s="2859"/>
      <c r="AF1941" s="2859"/>
      <c r="AG1941" s="2859"/>
      <c r="AH1941" s="2859"/>
      <c r="AI1941" s="2859"/>
      <c r="AJ1941" s="2859"/>
      <c r="AK1941" s="2859"/>
      <c r="AL1941" s="2859"/>
      <c r="AM1941" s="2859"/>
      <c r="AN1941" s="2859"/>
      <c r="AO1941" s="2859"/>
      <c r="AP1941" s="2859"/>
      <c r="AQ1941" s="2859"/>
      <c r="AR1941" s="2859"/>
      <c r="AS1941" s="2859"/>
      <c r="AT1941" s="2859"/>
      <c r="AU1941" s="2859"/>
      <c r="AV1941" s="2859"/>
      <c r="AW1941" s="2859"/>
      <c r="AX1941" s="2859"/>
      <c r="AY1941" s="2859"/>
      <c r="AZ1941" s="2859"/>
      <c r="BA1941" s="2859"/>
      <c r="BB1941" s="2859"/>
      <c r="BC1941" s="2859"/>
      <c r="BD1941" s="2859"/>
      <c r="BE1941" s="2859"/>
      <c r="BF1941" s="2859"/>
      <c r="BG1941" s="2859"/>
      <c r="BH1941" s="2859"/>
      <c r="BI1941" s="2859"/>
      <c r="BJ1941" s="2859"/>
      <c r="BK1941" s="2859"/>
      <c r="BL1941" s="2859"/>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4995"/>
      <c r="C1942" s="2813"/>
      <c r="D1942" s="260"/>
      <c r="E1942" s="2816" t="s">
        <v>10360</v>
      </c>
      <c r="F1942" s="218">
        <v>10</v>
      </c>
      <c r="G1942" s="218">
        <v>10</v>
      </c>
      <c r="H1942" s="218">
        <f>COUNTIF(HabilidadesEsenciales_Adquiridas,Tablas!E1942)</f>
        <v>0</v>
      </c>
      <c r="I1942" s="2818">
        <v>1</v>
      </c>
      <c r="J1942" s="422"/>
      <c r="K1942" s="2809"/>
      <c r="M1942" s="1959"/>
      <c r="N1942" s="100"/>
      <c r="O1942" s="468" t="s">
        <v>9933</v>
      </c>
      <c r="P1942" s="2811">
        <v>15</v>
      </c>
      <c r="Q1942" s="575">
        <v>10</v>
      </c>
      <c r="R1942" s="2818">
        <f>COUNTIF(PoderesDeCriatura_Adquiridos,Tablas!O1942)</f>
        <v>0</v>
      </c>
      <c r="S1942" s="422"/>
      <c r="T1942" s="2809"/>
      <c r="U1942" s="500"/>
      <c r="V1942" s="2868" t="s">
        <v>2861</v>
      </c>
      <c r="W1942" s="2838"/>
      <c r="X1942" s="2340" t="str">
        <f t="shared" si="112"/>
        <v/>
      </c>
      <c r="Y1942" s="2852" t="s">
        <v>8977</v>
      </c>
      <c r="Z1942" s="2859"/>
      <c r="AA1942" s="2859"/>
      <c r="AB1942" s="2859"/>
      <c r="AC1942" s="2859"/>
      <c r="AD1942" s="2859"/>
      <c r="AE1942" s="2859"/>
      <c r="AF1942" s="2859"/>
      <c r="AG1942" s="2859"/>
      <c r="AH1942" s="2859"/>
      <c r="AI1942" s="2859"/>
      <c r="AJ1942" s="2859"/>
      <c r="AK1942" s="2859"/>
      <c r="AL1942" s="2859"/>
      <c r="AM1942" s="2859"/>
      <c r="AN1942" s="2859"/>
      <c r="AO1942" s="2859"/>
      <c r="AP1942" s="2859"/>
      <c r="AQ1942" s="2859"/>
      <c r="AR1942" s="2859"/>
      <c r="AS1942" s="2859"/>
      <c r="AT1942" s="2859"/>
      <c r="AU1942" s="2859"/>
      <c r="AV1942" s="2859"/>
      <c r="AW1942" s="2859"/>
      <c r="AX1942" s="2859"/>
      <c r="AY1942" s="2859"/>
      <c r="AZ1942" s="2859"/>
      <c r="BA1942" s="2859"/>
      <c r="BB1942" s="2859"/>
      <c r="BC1942" s="2859"/>
      <c r="BD1942" s="2859"/>
      <c r="BE1942" s="2859"/>
      <c r="BF1942" s="2859"/>
      <c r="BG1942" s="2859"/>
      <c r="BH1942" s="2859"/>
      <c r="BI1942" s="2859"/>
      <c r="BJ1942" s="2859"/>
      <c r="BK1942" s="2859"/>
      <c r="BL1942" s="2859"/>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4995"/>
      <c r="C1943" s="2813"/>
      <c r="D1943" s="260"/>
      <c r="E1943" s="2816" t="s">
        <v>10361</v>
      </c>
      <c r="F1943" s="218">
        <v>15</v>
      </c>
      <c r="G1943" s="218">
        <v>20</v>
      </c>
      <c r="H1943" s="218">
        <f>COUNTIF(HabilidadesEsenciales_Adquiridas,Tablas!E1943)</f>
        <v>0</v>
      </c>
      <c r="I1943" s="2818">
        <v>1</v>
      </c>
      <c r="J1943" s="422"/>
      <c r="K1943" s="2809"/>
      <c r="M1943" s="1959"/>
      <c r="N1943" s="100"/>
      <c r="O1943" s="468" t="s">
        <v>9934</v>
      </c>
      <c r="P1943" s="2811">
        <v>0</v>
      </c>
      <c r="Q1943" s="575">
        <v>10</v>
      </c>
      <c r="R1943" s="2818">
        <f>COUNTIF(PoderesDeCriatura_Adquiridos,Tablas!O1943)</f>
        <v>0</v>
      </c>
      <c r="S1943" s="422"/>
      <c r="T1943" s="2809"/>
      <c r="U1943" s="500"/>
      <c r="V1943" s="2868" t="s">
        <v>2860</v>
      </c>
      <c r="W1943" s="2838"/>
      <c r="X1943" s="2340" t="str">
        <f t="shared" si="112"/>
        <v/>
      </c>
      <c r="Y1943" s="2852" t="s">
        <v>8977</v>
      </c>
      <c r="Z1943" s="2859"/>
      <c r="AA1943" s="2859"/>
      <c r="AB1943" s="2859"/>
      <c r="AC1943" s="2859"/>
      <c r="AD1943" s="2859"/>
      <c r="AE1943" s="2859"/>
      <c r="AF1943" s="2859"/>
      <c r="AG1943" s="2859"/>
      <c r="AH1943" s="2859"/>
      <c r="AI1943" s="2859"/>
      <c r="AJ1943" s="2859"/>
      <c r="AK1943" s="2859"/>
      <c r="AL1943" s="2859"/>
      <c r="AM1943" s="2859"/>
      <c r="AN1943" s="2859"/>
      <c r="AO1943" s="2859"/>
      <c r="AP1943" s="2859"/>
      <c r="AQ1943" s="2859"/>
      <c r="AR1943" s="2859"/>
      <c r="AS1943" s="2859"/>
      <c r="AT1943" s="2859"/>
      <c r="AU1943" s="2859"/>
      <c r="AV1943" s="2859"/>
      <c r="AW1943" s="2859"/>
      <c r="AX1943" s="2859"/>
      <c r="AY1943" s="2859"/>
      <c r="AZ1943" s="2859"/>
      <c r="BA1943" s="2859"/>
      <c r="BB1943" s="2859"/>
      <c r="BC1943" s="2859"/>
      <c r="BD1943" s="2859"/>
      <c r="BE1943" s="2859"/>
      <c r="BF1943" s="2859"/>
      <c r="BG1943" s="2859"/>
      <c r="BH1943" s="2859"/>
      <c r="BI1943" s="2859"/>
      <c r="BJ1943" s="2859"/>
      <c r="BK1943" s="2859"/>
      <c r="BL1943" s="2859"/>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4995"/>
      <c r="C1944" s="2813"/>
      <c r="D1944" s="260"/>
      <c r="E1944" s="2816" t="s">
        <v>10362</v>
      </c>
      <c r="F1944" s="218">
        <v>20</v>
      </c>
      <c r="G1944" s="218">
        <v>30</v>
      </c>
      <c r="H1944" s="218">
        <f>COUNTIF(HabilidadesEsenciales_Adquiridas,Tablas!E1944)</f>
        <v>0</v>
      </c>
      <c r="I1944" s="2818">
        <v>1</v>
      </c>
      <c r="J1944" s="422"/>
      <c r="K1944" s="2809"/>
      <c r="M1944" s="1959"/>
      <c r="N1944" s="100"/>
      <c r="O1944" s="468" t="s">
        <v>9935</v>
      </c>
      <c r="P1944" s="2811">
        <v>20</v>
      </c>
      <c r="Q1944" s="575">
        <v>30</v>
      </c>
      <c r="R1944" s="2818">
        <f>COUNTIF(PoderesDeCriatura_Adquiridos,Tablas!O1944)</f>
        <v>0</v>
      </c>
      <c r="S1944" s="422"/>
      <c r="T1944" s="2809"/>
      <c r="U1944" s="500"/>
      <c r="V1944" s="2868" t="s">
        <v>2879</v>
      </c>
      <c r="W1944" s="2838"/>
      <c r="X1944" s="2340" t="str">
        <f t="shared" si="112"/>
        <v/>
      </c>
      <c r="Y1944" s="2852" t="s">
        <v>8977</v>
      </c>
      <c r="Z1944" s="2859"/>
      <c r="AA1944" s="2859"/>
      <c r="AB1944" s="2859"/>
      <c r="AC1944" s="2859"/>
      <c r="AD1944" s="2859"/>
      <c r="AE1944" s="2859"/>
      <c r="AF1944" s="2859"/>
      <c r="AG1944" s="2859"/>
      <c r="AH1944" s="2859"/>
      <c r="AI1944" s="2859"/>
      <c r="AJ1944" s="2859"/>
      <c r="AK1944" s="2859"/>
      <c r="AL1944" s="2859"/>
      <c r="AM1944" s="2859"/>
      <c r="AN1944" s="2859"/>
      <c r="AO1944" s="2859"/>
      <c r="AP1944" s="2859"/>
      <c r="AQ1944" s="2859"/>
      <c r="AR1944" s="2859"/>
      <c r="AS1944" s="2859"/>
      <c r="AT1944" s="2859"/>
      <c r="AU1944" s="2859"/>
      <c r="AV1944" s="2859"/>
      <c r="AW1944" s="2859"/>
      <c r="AX1944" s="2859"/>
      <c r="AY1944" s="2859"/>
      <c r="AZ1944" s="2859"/>
      <c r="BA1944" s="2859"/>
      <c r="BB1944" s="2859"/>
      <c r="BC1944" s="2859"/>
      <c r="BD1944" s="2859"/>
      <c r="BE1944" s="2859"/>
      <c r="BF1944" s="2859"/>
      <c r="BG1944" s="2859"/>
      <c r="BH1944" s="2859"/>
      <c r="BI1944" s="2859"/>
      <c r="BJ1944" s="2859"/>
      <c r="BK1944" s="2859"/>
      <c r="BL1944" s="2859"/>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4995"/>
      <c r="C1945" s="2813"/>
      <c r="D1945" s="260"/>
      <c r="E1945" s="2816" t="s">
        <v>10363</v>
      </c>
      <c r="F1945" s="218">
        <v>25</v>
      </c>
      <c r="G1945" s="218">
        <v>40</v>
      </c>
      <c r="H1945" s="218">
        <f>COUNTIF(HabilidadesEsenciales_Adquiridas,Tablas!E1945)</f>
        <v>0</v>
      </c>
      <c r="I1945" s="2818">
        <v>1</v>
      </c>
      <c r="J1945" s="422"/>
      <c r="K1945" s="2809"/>
      <c r="M1945" s="1959"/>
      <c r="N1945" s="100"/>
      <c r="O1945" s="468" t="s">
        <v>9936</v>
      </c>
      <c r="P1945" s="2811">
        <v>10</v>
      </c>
      <c r="Q1945" s="575">
        <v>10</v>
      </c>
      <c r="R1945" s="2818">
        <f>COUNTIF(PoderesDeCriatura_Adquiridos,Tablas!O1945)</f>
        <v>0</v>
      </c>
      <c r="S1945" s="422"/>
      <c r="T1945" s="2809"/>
      <c r="U1945" s="500"/>
      <c r="V1945" s="2868" t="s">
        <v>9457</v>
      </c>
      <c r="W1945" s="2838"/>
      <c r="X1945" s="2340" t="s">
        <v>9460</v>
      </c>
      <c r="Y1945" s="2852" t="s">
        <v>103</v>
      </c>
      <c r="Z1945" s="2852" t="s">
        <v>105</v>
      </c>
      <c r="AA1945" s="2852" t="s">
        <v>101</v>
      </c>
      <c r="AB1945" s="2852" t="s">
        <v>99</v>
      </c>
      <c r="AC1945" s="2852" t="s">
        <v>108</v>
      </c>
      <c r="AD1945" s="2852" t="s">
        <v>107</v>
      </c>
      <c r="AE1945" s="2852" t="s">
        <v>111</v>
      </c>
      <c r="AF1945" s="2852" t="s">
        <v>109</v>
      </c>
      <c r="AG1945" s="2852" t="s">
        <v>113</v>
      </c>
      <c r="AH1945" s="2852" t="s">
        <v>114</v>
      </c>
      <c r="AI1945" s="2852" t="s">
        <v>116</v>
      </c>
      <c r="AJ1945" s="2852" t="s">
        <v>2029</v>
      </c>
      <c r="AK1945" s="2852" t="s">
        <v>117</v>
      </c>
      <c r="AL1945" s="2852"/>
      <c r="AM1945" s="2852"/>
      <c r="AN1945" s="2852"/>
      <c r="AO1945" s="2852"/>
      <c r="AP1945" s="2852"/>
      <c r="AQ1945" s="2852"/>
      <c r="AR1945" s="2852"/>
      <c r="AS1945" s="2852"/>
      <c r="AT1945" s="2852"/>
      <c r="AU1945" s="2852"/>
      <c r="AV1945" s="2852"/>
      <c r="AW1945" s="2852"/>
      <c r="AX1945" s="2852"/>
      <c r="AY1945" s="2852"/>
      <c r="AZ1945" s="2852"/>
      <c r="BA1945" s="2859"/>
      <c r="BB1945" s="2859"/>
      <c r="BC1945" s="2859"/>
      <c r="BD1945" s="2859"/>
      <c r="BE1945" s="2859"/>
      <c r="BF1945" s="2859"/>
      <c r="BG1945" s="2859"/>
      <c r="BH1945" s="2859"/>
      <c r="BI1945" s="2859"/>
      <c r="BJ1945" s="2859"/>
      <c r="BK1945" s="2859"/>
      <c r="BL1945" s="2859"/>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4995"/>
      <c r="C1946" s="2813"/>
      <c r="D1946" s="260"/>
      <c r="E1946" s="2816" t="s">
        <v>10364</v>
      </c>
      <c r="F1946" s="218">
        <v>30</v>
      </c>
      <c r="G1946" s="218">
        <v>50</v>
      </c>
      <c r="H1946" s="218">
        <f>COUNTIF(HabilidadesEsenciales_Adquiridas,Tablas!E1946)</f>
        <v>0</v>
      </c>
      <c r="I1946" s="2818">
        <v>1</v>
      </c>
      <c r="J1946" s="422"/>
      <c r="K1946" s="2809"/>
      <c r="M1946" s="1959"/>
      <c r="N1946" s="100"/>
      <c r="O1946" s="468" t="s">
        <v>9937</v>
      </c>
      <c r="P1946" s="2811">
        <v>10</v>
      </c>
      <c r="Q1946" s="575">
        <v>10</v>
      </c>
      <c r="R1946" s="2818">
        <f>COUNTIF(PoderesDeCriatura_Adquiridos,Tablas!O1946)</f>
        <v>0</v>
      </c>
      <c r="S1946" s="422"/>
      <c r="T1946" s="2809"/>
      <c r="U1946" s="500"/>
      <c r="V1946" s="2868" t="s">
        <v>2104</v>
      </c>
      <c r="W1946" s="2838"/>
      <c r="X1946" s="2340"/>
      <c r="Y1946" s="2852"/>
      <c r="Z1946" s="2852"/>
      <c r="AA1946" s="2852"/>
      <c r="AB1946" s="2852"/>
      <c r="AC1946" s="2852"/>
      <c r="AD1946" s="2852"/>
      <c r="AE1946" s="2852"/>
      <c r="AF1946" s="2852"/>
      <c r="AG1946" s="2852"/>
      <c r="AH1946" s="2852"/>
      <c r="AI1946" s="2852"/>
      <c r="AJ1946" s="2852"/>
      <c r="AK1946" s="2852"/>
      <c r="AL1946" s="2859"/>
      <c r="AM1946" s="2859"/>
      <c r="AN1946" s="2859"/>
      <c r="AO1946" s="2859"/>
      <c r="AP1946" s="2859"/>
      <c r="AQ1946" s="2859"/>
      <c r="AR1946" s="2859"/>
      <c r="AS1946" s="2859"/>
      <c r="AT1946" s="2859"/>
      <c r="AU1946" s="2859"/>
      <c r="AV1946" s="2859"/>
      <c r="AW1946" s="2859"/>
      <c r="AX1946" s="2859"/>
      <c r="AY1946" s="2859"/>
      <c r="AZ1946" s="2859"/>
      <c r="BA1946" s="2859"/>
      <c r="BB1946" s="2859"/>
      <c r="BC1946" s="2859"/>
      <c r="BD1946" s="2859"/>
      <c r="BE1946" s="2859"/>
      <c r="BF1946" s="2859"/>
      <c r="BG1946" s="2859"/>
      <c r="BH1946" s="2859"/>
      <c r="BI1946" s="2859"/>
      <c r="BJ1946" s="2859"/>
      <c r="BK1946" s="2859"/>
      <c r="BL1946" s="2859"/>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4995"/>
      <c r="C1947" s="2813"/>
      <c r="D1947" s="260"/>
      <c r="E1947" s="2816" t="s">
        <v>10365</v>
      </c>
      <c r="F1947" s="218">
        <v>10</v>
      </c>
      <c r="G1947" s="218">
        <v>10</v>
      </c>
      <c r="H1947" s="218">
        <f>COUNTIF(HabilidadesEsenciales_Adquiridas,Tablas!E1947)</f>
        <v>0</v>
      </c>
      <c r="I1947" s="2818">
        <v>1</v>
      </c>
      <c r="J1947" s="422"/>
      <c r="K1947" s="2809"/>
      <c r="M1947" s="1959"/>
      <c r="N1947" s="100"/>
      <c r="O1947" s="468" t="s">
        <v>9938</v>
      </c>
      <c r="P1947" s="2811">
        <v>10</v>
      </c>
      <c r="Q1947" s="575">
        <v>20</v>
      </c>
      <c r="R1947" s="2818">
        <f>COUNTIF(PoderesDeCriatura_Adquiridos,Tablas!O1947)</f>
        <v>0</v>
      </c>
      <c r="S1947" s="422"/>
      <c r="T1947" s="2809"/>
      <c r="U1947" s="500"/>
      <c r="V1947" s="2868" t="s">
        <v>1585</v>
      </c>
      <c r="W1947" s="2837" t="s">
        <v>9460</v>
      </c>
      <c r="X1947" s="2340"/>
      <c r="Y1947" s="2852"/>
      <c r="Z1947" s="2859"/>
      <c r="AA1947" s="2859"/>
      <c r="AB1947" s="2859"/>
      <c r="AC1947" s="2859"/>
      <c r="AD1947" s="2859"/>
      <c r="AE1947" s="2859"/>
      <c r="AF1947" s="2859"/>
      <c r="AG1947" s="2859"/>
      <c r="AH1947" s="2859"/>
      <c r="AI1947" s="2859"/>
      <c r="AJ1947" s="2859"/>
      <c r="AK1947" s="2859"/>
      <c r="AL1947" s="2859"/>
      <c r="AM1947" s="2859"/>
      <c r="AN1947" s="2859"/>
      <c r="AO1947" s="2859"/>
      <c r="AP1947" s="2859"/>
      <c r="AQ1947" s="2859"/>
      <c r="AR1947" s="2859"/>
      <c r="AS1947" s="2859"/>
      <c r="AT1947" s="2859"/>
      <c r="AU1947" s="2859"/>
      <c r="AV1947" s="2859"/>
      <c r="AW1947" s="2859"/>
      <c r="AX1947" s="2859"/>
      <c r="AY1947" s="2859"/>
      <c r="AZ1947" s="2859"/>
      <c r="BA1947" s="2859"/>
      <c r="BB1947" s="2859"/>
      <c r="BC1947" s="2859"/>
      <c r="BD1947" s="2859"/>
      <c r="BE1947" s="2859"/>
      <c r="BF1947" s="2859"/>
      <c r="BG1947" s="2859"/>
      <c r="BH1947" s="2859"/>
      <c r="BI1947" s="2859"/>
      <c r="BJ1947" s="2859"/>
      <c r="BK1947" s="2859"/>
      <c r="BL1947" s="2859"/>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4995"/>
      <c r="C1948" s="2813"/>
      <c r="D1948" s="260"/>
      <c r="E1948" s="2816" t="s">
        <v>10366</v>
      </c>
      <c r="F1948" s="218">
        <v>15</v>
      </c>
      <c r="G1948" s="218">
        <v>20</v>
      </c>
      <c r="H1948" s="218">
        <f>COUNTIF(HabilidadesEsenciales_Adquiridas,Tablas!E1948)</f>
        <v>0</v>
      </c>
      <c r="I1948" s="2818">
        <v>1</v>
      </c>
      <c r="J1948" s="422"/>
      <c r="K1948" s="2809"/>
      <c r="M1948" s="1959"/>
      <c r="N1948" s="100"/>
      <c r="O1948" s="468" t="s">
        <v>9939</v>
      </c>
      <c r="P1948" s="2811">
        <v>15</v>
      </c>
      <c r="Q1948" s="575">
        <v>40</v>
      </c>
      <c r="R1948" s="2818">
        <f>COUNTIF(PoderesDeCriatura_Adquiridos,Tablas!O1948)</f>
        <v>0</v>
      </c>
      <c r="S1948" s="422"/>
      <c r="T1948" s="2809"/>
      <c r="U1948" s="500"/>
      <c r="V1948" s="2868" t="s">
        <v>1584</v>
      </c>
      <c r="W1948" s="2838"/>
      <c r="X1948" s="2340" t="str">
        <f t="shared" si="112"/>
        <v/>
      </c>
      <c r="Y1948" s="2852" t="s">
        <v>8977</v>
      </c>
      <c r="Z1948" s="2340"/>
      <c r="AA1948" s="2340"/>
      <c r="AB1948" s="2859"/>
      <c r="AC1948" s="2859"/>
      <c r="AD1948" s="2859"/>
      <c r="AE1948" s="2859"/>
      <c r="AF1948" s="2859"/>
      <c r="AG1948" s="2859"/>
      <c r="AH1948" s="2859"/>
      <c r="AI1948" s="2859"/>
      <c r="AJ1948" s="2859"/>
      <c r="AK1948" s="2859"/>
      <c r="AL1948" s="2859"/>
      <c r="AM1948" s="2859"/>
      <c r="AN1948" s="2859"/>
      <c r="AO1948" s="2859"/>
      <c r="AP1948" s="2859"/>
      <c r="AQ1948" s="2859"/>
      <c r="AR1948" s="2859"/>
      <c r="AS1948" s="2859"/>
      <c r="AT1948" s="2859"/>
      <c r="AU1948" s="2859"/>
      <c r="AV1948" s="2859"/>
      <c r="AW1948" s="2859"/>
      <c r="AX1948" s="2859"/>
      <c r="AY1948" s="2859"/>
      <c r="AZ1948" s="2859"/>
      <c r="BA1948" s="2859"/>
      <c r="BB1948" s="2859"/>
      <c r="BC1948" s="2859"/>
      <c r="BD1948" s="2859"/>
      <c r="BE1948" s="2859"/>
      <c r="BF1948" s="2859"/>
      <c r="BG1948" s="2859"/>
      <c r="BH1948" s="2859"/>
      <c r="BI1948" s="2859"/>
      <c r="BJ1948" s="2859"/>
      <c r="BK1948" s="2859"/>
      <c r="BL1948" s="2859"/>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4995"/>
      <c r="C1949" s="2813"/>
      <c r="D1949" s="260"/>
      <c r="E1949" s="2816" t="s">
        <v>10367</v>
      </c>
      <c r="F1949" s="218">
        <v>20</v>
      </c>
      <c r="G1949" s="218">
        <v>30</v>
      </c>
      <c r="H1949" s="218">
        <f>COUNTIF(HabilidadesEsenciales_Adquiridas,Tablas!E1949)</f>
        <v>0</v>
      </c>
      <c r="I1949" s="2818">
        <v>1</v>
      </c>
      <c r="J1949" s="422"/>
      <c r="K1949" s="2809"/>
      <c r="M1949" s="1959"/>
      <c r="N1949" s="100"/>
      <c r="O1949" s="468" t="s">
        <v>9940</v>
      </c>
      <c r="P1949" s="2811">
        <v>15</v>
      </c>
      <c r="Q1949" s="575">
        <v>60</v>
      </c>
      <c r="R1949" s="2818">
        <f>COUNTIF(PoderesDeCriatura_Adquiridos,Tablas!O1949)</f>
        <v>0</v>
      </c>
      <c r="S1949" s="422"/>
      <c r="T1949" s="2809"/>
      <c r="U1949" s="500"/>
      <c r="V1949" s="2868" t="s">
        <v>1586</v>
      </c>
      <c r="W1949" s="2838"/>
      <c r="X1949" s="2340" t="str">
        <f t="shared" si="112"/>
        <v/>
      </c>
      <c r="Y1949" s="2852" t="s">
        <v>8977</v>
      </c>
      <c r="Z1949" s="2340"/>
      <c r="AA1949" s="2340"/>
      <c r="AB1949" s="2859"/>
      <c r="AC1949" s="2859"/>
      <c r="AD1949" s="2859"/>
      <c r="AE1949" s="2859"/>
      <c r="AF1949" s="2859"/>
      <c r="AG1949" s="2859"/>
      <c r="AH1949" s="2859"/>
      <c r="AI1949" s="2859"/>
      <c r="AJ1949" s="2859"/>
      <c r="AK1949" s="2859"/>
      <c r="AL1949" s="2859"/>
      <c r="AM1949" s="2859"/>
      <c r="AN1949" s="2859"/>
      <c r="AO1949" s="2859"/>
      <c r="AP1949" s="2859"/>
      <c r="AQ1949" s="2859"/>
      <c r="AR1949" s="2859"/>
      <c r="AS1949" s="2859"/>
      <c r="AT1949" s="2859"/>
      <c r="AU1949" s="2859"/>
      <c r="AV1949" s="2859"/>
      <c r="AW1949" s="2859"/>
      <c r="AX1949" s="2859"/>
      <c r="AY1949" s="2859"/>
      <c r="AZ1949" s="2859"/>
      <c r="BA1949" s="2859"/>
      <c r="BB1949" s="2859"/>
      <c r="BC1949" s="2859"/>
      <c r="BD1949" s="2859"/>
      <c r="BE1949" s="2859"/>
      <c r="BF1949" s="2859"/>
      <c r="BG1949" s="2859"/>
      <c r="BH1949" s="2859"/>
      <c r="BI1949" s="2859"/>
      <c r="BJ1949" s="2859"/>
      <c r="BK1949" s="2859"/>
      <c r="BL1949" s="2859"/>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4995"/>
      <c r="C1950" s="2813"/>
      <c r="D1950" s="260"/>
      <c r="E1950" s="2816" t="s">
        <v>10368</v>
      </c>
      <c r="F1950" s="218">
        <v>25</v>
      </c>
      <c r="G1950" s="218">
        <v>40</v>
      </c>
      <c r="H1950" s="218">
        <f>COUNTIF(HabilidadesEsenciales_Adquiridas,Tablas!E1950)</f>
        <v>0</v>
      </c>
      <c r="I1950" s="2818">
        <v>1</v>
      </c>
      <c r="J1950" s="422"/>
      <c r="K1950" s="2809"/>
      <c r="M1950" s="1959"/>
      <c r="N1950" s="100"/>
      <c r="O1950" s="468" t="s">
        <v>9941</v>
      </c>
      <c r="P1950" s="2811">
        <v>20</v>
      </c>
      <c r="Q1950" s="575">
        <v>80</v>
      </c>
      <c r="R1950" s="2818">
        <f>COUNTIF(PoderesDeCriatura_Adquiridos,Tablas!O1950)</f>
        <v>0</v>
      </c>
      <c r="S1950" s="422"/>
      <c r="T1950" s="2809"/>
      <c r="U1950" s="500"/>
      <c r="V1950" s="2868" t="s">
        <v>1591</v>
      </c>
      <c r="W1950" s="2838"/>
      <c r="X1950" s="2340" t="str">
        <f t="shared" si="112"/>
        <v/>
      </c>
      <c r="Y1950" s="2852" t="s">
        <v>8977</v>
      </c>
      <c r="Z1950" s="2340"/>
      <c r="AA1950" s="2340"/>
      <c r="AB1950" s="2859"/>
      <c r="AC1950" s="2859"/>
      <c r="AD1950" s="2859"/>
      <c r="AE1950" s="2859"/>
      <c r="AF1950" s="2859"/>
      <c r="AG1950" s="2859"/>
      <c r="AH1950" s="2859"/>
      <c r="AI1950" s="2859"/>
      <c r="AJ1950" s="2859"/>
      <c r="AK1950" s="2859"/>
      <c r="AL1950" s="2859"/>
      <c r="AM1950" s="2859"/>
      <c r="AN1950" s="2859"/>
      <c r="AO1950" s="2859"/>
      <c r="AP1950" s="2859"/>
      <c r="AQ1950" s="2859"/>
      <c r="AR1950" s="2859"/>
      <c r="AS1950" s="2859"/>
      <c r="AT1950" s="2859"/>
      <c r="AU1950" s="2859"/>
      <c r="AV1950" s="2859"/>
      <c r="AW1950" s="2859"/>
      <c r="AX1950" s="2859"/>
      <c r="AY1950" s="2859"/>
      <c r="AZ1950" s="2859"/>
      <c r="BA1950" s="2859"/>
      <c r="BB1950" s="2859"/>
      <c r="BC1950" s="2859"/>
      <c r="BD1950" s="2859"/>
      <c r="BE1950" s="2859"/>
      <c r="BF1950" s="2859"/>
      <c r="BG1950" s="2859"/>
      <c r="BH1950" s="2859"/>
      <c r="BI1950" s="2859"/>
      <c r="BJ1950" s="2859"/>
      <c r="BK1950" s="2859"/>
      <c r="BL1950" s="2859"/>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4995"/>
      <c r="C1951" s="2813"/>
      <c r="D1951" s="260"/>
      <c r="E1951" s="2816" t="s">
        <v>10369</v>
      </c>
      <c r="F1951" s="218">
        <v>30</v>
      </c>
      <c r="G1951" s="218">
        <v>50</v>
      </c>
      <c r="H1951" s="218">
        <f>COUNTIF(HabilidadesEsenciales_Adquiridas,Tablas!E1951)</f>
        <v>0</v>
      </c>
      <c r="I1951" s="2818">
        <v>1</v>
      </c>
      <c r="J1951" s="422"/>
      <c r="K1951" s="2809"/>
      <c r="M1951" s="1959"/>
      <c r="N1951" s="100"/>
      <c r="O1951" s="468" t="s">
        <v>9942</v>
      </c>
      <c r="P1951" s="2811">
        <v>20</v>
      </c>
      <c r="Q1951" s="575">
        <v>100</v>
      </c>
      <c r="R1951" s="2818">
        <f>COUNTIF(PoderesDeCriatura_Adquiridos,Tablas!O1951)</f>
        <v>0</v>
      </c>
      <c r="S1951" s="422"/>
      <c r="T1951" s="2809"/>
      <c r="U1951" s="500"/>
      <c r="V1951" s="2868" t="s">
        <v>2897</v>
      </c>
      <c r="W1951" s="2838"/>
      <c r="X1951" s="2340" t="str">
        <f t="shared" si="112"/>
        <v/>
      </c>
      <c r="Y1951" s="2852" t="s">
        <v>8977</v>
      </c>
      <c r="Z1951" s="2340"/>
      <c r="AA1951" s="2340"/>
      <c r="AB1951" s="2859"/>
      <c r="AC1951" s="2859"/>
      <c r="AD1951" s="2859"/>
      <c r="AE1951" s="2859"/>
      <c r="AF1951" s="2859"/>
      <c r="AG1951" s="2859"/>
      <c r="AH1951" s="2859"/>
      <c r="AI1951" s="2859"/>
      <c r="AJ1951" s="2859"/>
      <c r="AK1951" s="2859"/>
      <c r="AL1951" s="2859"/>
      <c r="AM1951" s="2859"/>
      <c r="AN1951" s="2859"/>
      <c r="AO1951" s="2859"/>
      <c r="AP1951" s="2859"/>
      <c r="AQ1951" s="2859"/>
      <c r="AR1951" s="2859"/>
      <c r="AS1951" s="2859"/>
      <c r="AT1951" s="2859"/>
      <c r="AU1951" s="2859"/>
      <c r="AV1951" s="2859"/>
      <c r="AW1951" s="2859"/>
      <c r="AX1951" s="2859"/>
      <c r="AY1951" s="2859"/>
      <c r="AZ1951" s="2859"/>
      <c r="BA1951" s="2859"/>
      <c r="BB1951" s="2859"/>
      <c r="BC1951" s="2859"/>
      <c r="BD1951" s="2859"/>
      <c r="BE1951" s="2859"/>
      <c r="BF1951" s="2859"/>
      <c r="BG1951" s="2859"/>
      <c r="BH1951" s="2859"/>
      <c r="BI1951" s="2859"/>
      <c r="BJ1951" s="2859"/>
      <c r="BK1951" s="2859"/>
      <c r="BL1951" s="2859"/>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4995"/>
      <c r="C1952" s="2813"/>
      <c r="D1952" s="260"/>
      <c r="E1952" s="2816" t="s">
        <v>2845</v>
      </c>
      <c r="F1952" s="218">
        <v>5</v>
      </c>
      <c r="G1952" s="218">
        <v>20</v>
      </c>
      <c r="H1952" s="218">
        <f>COUNTIF(HabilidadesEsenciales_Adquiridas,Tablas!E1952)</f>
        <v>0</v>
      </c>
      <c r="I1952" s="2818"/>
      <c r="J1952" s="422"/>
      <c r="K1952" s="2809"/>
      <c r="M1952" s="1959"/>
      <c r="N1952" s="100"/>
      <c r="O1952" s="468" t="s">
        <v>9943</v>
      </c>
      <c r="P1952" s="2811">
        <v>25</v>
      </c>
      <c r="Q1952" s="575">
        <v>120</v>
      </c>
      <c r="R1952" s="2818">
        <f>COUNTIF(PoderesDeCriatura_Adquiridos,Tablas!O1952)</f>
        <v>0</v>
      </c>
      <c r="S1952" s="422"/>
      <c r="T1952" s="2809"/>
      <c r="U1952" s="500"/>
      <c r="V1952" s="2868" t="s">
        <v>1589</v>
      </c>
      <c r="W1952" s="2838"/>
      <c r="X1952" s="2340" t="str">
        <f t="shared" si="112"/>
        <v/>
      </c>
      <c r="Y1952" s="2852" t="s">
        <v>8977</v>
      </c>
      <c r="Z1952" s="2340"/>
      <c r="AA1952" s="2340"/>
      <c r="AB1952" s="2859"/>
      <c r="AC1952" s="2859"/>
      <c r="AD1952" s="2859"/>
      <c r="AE1952" s="2859"/>
      <c r="AF1952" s="2859"/>
      <c r="AG1952" s="2859"/>
      <c r="AH1952" s="2859"/>
      <c r="AI1952" s="2859"/>
      <c r="AJ1952" s="2859"/>
      <c r="AK1952" s="2859"/>
      <c r="AL1952" s="2859"/>
      <c r="AM1952" s="2859"/>
      <c r="AN1952" s="2859"/>
      <c r="AO1952" s="2859"/>
      <c r="AP1952" s="2859"/>
      <c r="AQ1952" s="2859"/>
      <c r="AR1952" s="2859"/>
      <c r="AS1952" s="2859"/>
      <c r="AT1952" s="2859"/>
      <c r="AU1952" s="2859"/>
      <c r="AV1952" s="2859"/>
      <c r="AW1952" s="2859"/>
      <c r="AX1952" s="2859"/>
      <c r="AY1952" s="2859"/>
      <c r="AZ1952" s="2859"/>
      <c r="BA1952" s="2859"/>
      <c r="BB1952" s="2859"/>
      <c r="BC1952" s="2859"/>
      <c r="BD1952" s="2859"/>
      <c r="BE1952" s="2859"/>
      <c r="BF1952" s="2859"/>
      <c r="BG1952" s="2859"/>
      <c r="BH1952" s="2859"/>
      <c r="BI1952" s="2859"/>
      <c r="BJ1952" s="2859"/>
      <c r="BK1952" s="2859"/>
      <c r="BL1952" s="2859"/>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4995"/>
      <c r="C1953" s="2813"/>
      <c r="D1953" s="260"/>
      <c r="E1953" s="2816" t="s">
        <v>2846</v>
      </c>
      <c r="F1953" s="218">
        <v>5</v>
      </c>
      <c r="G1953" s="218">
        <v>20</v>
      </c>
      <c r="H1953" s="218">
        <f>COUNTIF(HabilidadesEsenciales_Adquiridas,Tablas!E1953)</f>
        <v>0</v>
      </c>
      <c r="I1953" s="2818"/>
      <c r="J1953" s="422"/>
      <c r="K1953" s="2809"/>
      <c r="M1953" s="1959"/>
      <c r="N1953" s="100"/>
      <c r="O1953" s="468" t="s">
        <v>9944</v>
      </c>
      <c r="P1953" s="2811">
        <v>30</v>
      </c>
      <c r="Q1953" s="575">
        <v>140</v>
      </c>
      <c r="R1953" s="2818">
        <f>COUNTIF(PoderesDeCriatura_Adquiridos,Tablas!O1953)</f>
        <v>0</v>
      </c>
      <c r="S1953" s="422"/>
      <c r="T1953" s="2809"/>
      <c r="U1953" s="500"/>
      <c r="V1953" s="2868" t="s">
        <v>1588</v>
      </c>
      <c r="W1953" s="2838"/>
      <c r="X1953" s="2340" t="str">
        <f t="shared" si="112"/>
        <v/>
      </c>
      <c r="Y1953" s="2852" t="s">
        <v>8977</v>
      </c>
      <c r="Z1953" s="2340"/>
      <c r="AA1953" s="2340"/>
      <c r="AB1953" s="2859"/>
      <c r="AC1953" s="2859"/>
      <c r="AD1953" s="2859"/>
      <c r="AE1953" s="2859"/>
      <c r="AF1953" s="2859"/>
      <c r="AG1953" s="2859"/>
      <c r="AH1953" s="2859"/>
      <c r="AI1953" s="2859"/>
      <c r="AJ1953" s="2859"/>
      <c r="AK1953" s="2859"/>
      <c r="AL1953" s="2859"/>
      <c r="AM1953" s="2859"/>
      <c r="AN1953" s="2859"/>
      <c r="AO1953" s="2859"/>
      <c r="AP1953" s="2859"/>
      <c r="AQ1953" s="2859"/>
      <c r="AR1953" s="2859"/>
      <c r="AS1953" s="2859"/>
      <c r="AT1953" s="2859"/>
      <c r="AU1953" s="2859"/>
      <c r="AV1953" s="2859"/>
      <c r="AW1953" s="2859"/>
      <c r="AX1953" s="2859"/>
      <c r="AY1953" s="2859"/>
      <c r="AZ1953" s="2859"/>
      <c r="BA1953" s="2859"/>
      <c r="BB1953" s="2859"/>
      <c r="BC1953" s="2859"/>
      <c r="BD1953" s="2859"/>
      <c r="BE1953" s="2859"/>
      <c r="BF1953" s="2859"/>
      <c r="BG1953" s="2859"/>
      <c r="BH1953" s="2859"/>
      <c r="BI1953" s="2859"/>
      <c r="BJ1953" s="2859"/>
      <c r="BK1953" s="2859"/>
      <c r="BL1953" s="2859"/>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4995"/>
      <c r="C1954" s="2813"/>
      <c r="D1954" s="260"/>
      <c r="E1954" s="2816" t="s">
        <v>1582</v>
      </c>
      <c r="F1954" s="218">
        <v>5</v>
      </c>
      <c r="G1954" s="218">
        <v>20</v>
      </c>
      <c r="H1954" s="218">
        <f>COUNTIF(HabilidadesEsenciales_Adquiridas,Tablas!E1954)</f>
        <v>0</v>
      </c>
      <c r="I1954" s="2818">
        <v>1</v>
      </c>
      <c r="J1954" s="422"/>
      <c r="K1954" s="2809"/>
      <c r="M1954" s="1959"/>
      <c r="N1954" s="100"/>
      <c r="O1954" s="468" t="s">
        <v>9945</v>
      </c>
      <c r="P1954" s="2811">
        <v>35</v>
      </c>
      <c r="Q1954" s="575">
        <v>160</v>
      </c>
      <c r="R1954" s="2818">
        <f>COUNTIF(PoderesDeCriatura_Adquiridos,Tablas!O1954)</f>
        <v>0</v>
      </c>
      <c r="S1954" s="422"/>
      <c r="T1954" s="2809"/>
      <c r="U1954" s="500"/>
      <c r="V1954" s="2868" t="s">
        <v>1593</v>
      </c>
      <c r="W1954" s="2838"/>
      <c r="X1954" s="2340" t="str">
        <f t="shared" si="112"/>
        <v/>
      </c>
      <c r="Y1954" s="2852" t="s">
        <v>8977</v>
      </c>
      <c r="Z1954" s="2340"/>
      <c r="AA1954" s="2340"/>
      <c r="AB1954" s="2859"/>
      <c r="AC1954" s="2859"/>
      <c r="AD1954" s="2859"/>
      <c r="AE1954" s="2859"/>
      <c r="AF1954" s="2859"/>
      <c r="AG1954" s="2859"/>
      <c r="AH1954" s="2859"/>
      <c r="AI1954" s="2859"/>
      <c r="AJ1954" s="2859"/>
      <c r="AK1954" s="2859"/>
      <c r="AL1954" s="2859"/>
      <c r="AM1954" s="2859"/>
      <c r="AN1954" s="2859"/>
      <c r="AO1954" s="2859"/>
      <c r="AP1954" s="2859"/>
      <c r="AQ1954" s="2859"/>
      <c r="AR1954" s="2859"/>
      <c r="AS1954" s="2859"/>
      <c r="AT1954" s="2859"/>
      <c r="AU1954" s="2859"/>
      <c r="AV1954" s="2859"/>
      <c r="AW1954" s="2859"/>
      <c r="AX1954" s="2859"/>
      <c r="AY1954" s="2859"/>
      <c r="AZ1954" s="2859"/>
      <c r="BA1954" s="2859"/>
      <c r="BB1954" s="2859"/>
      <c r="BC1954" s="2859"/>
      <c r="BD1954" s="2859"/>
      <c r="BE1954" s="2859"/>
      <c r="BF1954" s="2859"/>
      <c r="BG1954" s="2859"/>
      <c r="BH1954" s="2859"/>
      <c r="BI1954" s="2859"/>
      <c r="BJ1954" s="2859"/>
      <c r="BK1954" s="2859"/>
      <c r="BL1954" s="2859"/>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4995"/>
      <c r="C1955" s="2813"/>
      <c r="D1955" s="260"/>
      <c r="E1955" s="2816" t="s">
        <v>1583</v>
      </c>
      <c r="F1955" s="218">
        <v>0</v>
      </c>
      <c r="G1955" s="218">
        <v>0</v>
      </c>
      <c r="H1955" s="218"/>
      <c r="I1955" s="2818"/>
      <c r="J1955" s="422"/>
      <c r="K1955" s="2809"/>
      <c r="M1955" s="1959"/>
      <c r="N1955" s="100"/>
      <c r="O1955" s="468" t="s">
        <v>9946</v>
      </c>
      <c r="P1955" s="2811">
        <v>35</v>
      </c>
      <c r="Q1955" s="575">
        <f>200+IF(OR(TipoDeCriatura="Entre mundos, Elemental",TipoDeCriatura="Ánima, Elemental"),10,0)</f>
        <v>200</v>
      </c>
      <c r="R1955" s="2818">
        <f>COUNTIF(PoderesDeCriatura_Adquiridos,Tablas!O1955)</f>
        <v>0</v>
      </c>
      <c r="S1955" s="422"/>
      <c r="T1955" s="2809"/>
      <c r="U1955" s="500"/>
      <c r="V1955" s="2868" t="s">
        <v>1592</v>
      </c>
      <c r="W1955" s="2838"/>
      <c r="X1955" s="2340" t="str">
        <f t="shared" si="112"/>
        <v/>
      </c>
      <c r="Y1955" s="2852" t="s">
        <v>8977</v>
      </c>
      <c r="Z1955" s="2340"/>
      <c r="AA1955" s="2340"/>
      <c r="AB1955" s="2859"/>
      <c r="AC1955" s="2859"/>
      <c r="AD1955" s="2859"/>
      <c r="AE1955" s="2859"/>
      <c r="AF1955" s="2859"/>
      <c r="AG1955" s="2859"/>
      <c r="AH1955" s="2859"/>
      <c r="AI1955" s="2859"/>
      <c r="AJ1955" s="2859"/>
      <c r="AK1955" s="2859"/>
      <c r="AL1955" s="2859"/>
      <c r="AM1955" s="2859"/>
      <c r="AN1955" s="2859"/>
      <c r="AO1955" s="2859"/>
      <c r="AP1955" s="2859"/>
      <c r="AQ1955" s="2859"/>
      <c r="AR1955" s="2859"/>
      <c r="AS1955" s="2859"/>
      <c r="AT1955" s="2859"/>
      <c r="AU1955" s="2859"/>
      <c r="AV1955" s="2859"/>
      <c r="AW1955" s="2859"/>
      <c r="AX1955" s="2859"/>
      <c r="AY1955" s="2859"/>
      <c r="AZ1955" s="2859"/>
      <c r="BA1955" s="2859"/>
      <c r="BB1955" s="2859"/>
      <c r="BC1955" s="2859"/>
      <c r="BD1955" s="2859"/>
      <c r="BE1955" s="2859"/>
      <c r="BF1955" s="2859"/>
      <c r="BG1955" s="2859"/>
      <c r="BH1955" s="2859"/>
      <c r="BI1955" s="2859"/>
      <c r="BJ1955" s="2859"/>
      <c r="BK1955" s="2859"/>
      <c r="BL1955" s="2859"/>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4995"/>
      <c r="C1956" s="2813"/>
      <c r="D1956" s="260"/>
      <c r="E1956" s="2816" t="s">
        <v>2104</v>
      </c>
      <c r="F1956" s="218">
        <v>5</v>
      </c>
      <c r="G1956" s="218">
        <v>30</v>
      </c>
      <c r="H1956" s="218">
        <f>COUNTIF(HabilidadesEsenciales_Adquiridas,Tablas!E1956)</f>
        <v>0</v>
      </c>
      <c r="I1956" s="2818"/>
      <c r="J1956" s="422"/>
      <c r="K1956" s="2809"/>
      <c r="M1956" s="1959"/>
      <c r="N1956" s="100"/>
      <c r="O1956" s="468" t="s">
        <v>9947</v>
      </c>
      <c r="P1956" s="2811">
        <v>10</v>
      </c>
      <c r="Q1956" s="575">
        <f>10+IF(OR(TipoDeCriatura="Entre mundos, Elemental",TipoDeCriatura="Ánima, Elemental"),10,0)</f>
        <v>10</v>
      </c>
      <c r="R1956" s="2818">
        <f>COUNTIF(PoderesDeCriatura_Adquiridos,Tablas!O1956)</f>
        <v>0</v>
      </c>
      <c r="S1956" s="422"/>
      <c r="T1956" s="2809"/>
      <c r="U1956" s="500"/>
      <c r="V1956" s="2868" t="s">
        <v>1590</v>
      </c>
      <c r="W1956" s="2838"/>
      <c r="X1956" s="2340" t="str">
        <f t="shared" si="112"/>
        <v/>
      </c>
      <c r="Y1956" s="2852" t="s">
        <v>8977</v>
      </c>
      <c r="Z1956" s="2340"/>
      <c r="AA1956" s="2340"/>
      <c r="AB1956" s="2859"/>
      <c r="AC1956" s="2859"/>
      <c r="AD1956" s="2859"/>
      <c r="AE1956" s="2859"/>
      <c r="AF1956" s="2859"/>
      <c r="AG1956" s="2859"/>
      <c r="AH1956" s="2859"/>
      <c r="AI1956" s="2859"/>
      <c r="AJ1956" s="2859"/>
      <c r="AK1956" s="2859"/>
      <c r="AL1956" s="2859"/>
      <c r="AM1956" s="2859"/>
      <c r="AN1956" s="2859"/>
      <c r="AO1956" s="2859"/>
      <c r="AP1956" s="2859"/>
      <c r="AQ1956" s="2859"/>
      <c r="AR1956" s="2859"/>
      <c r="AS1956" s="2859"/>
      <c r="AT1956" s="2859"/>
      <c r="AU1956" s="2859"/>
      <c r="AV1956" s="2859"/>
      <c r="AW1956" s="2859"/>
      <c r="AX1956" s="2859"/>
      <c r="AY1956" s="2859"/>
      <c r="AZ1956" s="2859"/>
      <c r="BA1956" s="2859"/>
      <c r="BB1956" s="2859"/>
      <c r="BC1956" s="2859"/>
      <c r="BD1956" s="2859"/>
      <c r="BE1956" s="2859"/>
      <c r="BF1956" s="2859"/>
      <c r="BG1956" s="2859"/>
      <c r="BH1956" s="2859"/>
      <c r="BI1956" s="2859"/>
      <c r="BJ1956" s="2859"/>
      <c r="BK1956" s="2859"/>
      <c r="BL1956" s="2859"/>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4995"/>
      <c r="C1957" s="2813"/>
      <c r="D1957" s="260"/>
      <c r="E1957" s="2816" t="s">
        <v>1584</v>
      </c>
      <c r="F1957" s="218">
        <v>5</v>
      </c>
      <c r="G1957" s="218">
        <v>30</v>
      </c>
      <c r="H1957" s="218">
        <f>COUNTIF(HabilidadesEsenciales_Adquiridas,Tablas!E1957)</f>
        <v>0</v>
      </c>
      <c r="I1957" s="2818"/>
      <c r="J1957" s="422"/>
      <c r="K1957" s="2809"/>
      <c r="M1957" s="1959"/>
      <c r="N1957" s="100"/>
      <c r="O1957" s="468" t="s">
        <v>9948</v>
      </c>
      <c r="P1957" s="2811">
        <v>35</v>
      </c>
      <c r="Q1957" s="575">
        <f>100+IF(OR(TipoDeCriatura="Entre mundos, Elemental",TipoDeCriatura="Ánima, Elemental"),10,0)</f>
        <v>100</v>
      </c>
      <c r="R1957" s="2818">
        <f>COUNTIF(PoderesDeCriatura_Adquiridos,Tablas!O1957)</f>
        <v>0</v>
      </c>
      <c r="S1957" s="422"/>
      <c r="T1957" s="2809"/>
      <c r="U1957" s="500"/>
      <c r="V1957" s="2868" t="s">
        <v>1587</v>
      </c>
      <c r="W1957" s="2838"/>
      <c r="X1957" s="2340" t="str">
        <f t="shared" si="112"/>
        <v/>
      </c>
      <c r="Y1957" s="2852" t="s">
        <v>8977</v>
      </c>
      <c r="Z1957" s="2340"/>
      <c r="AA1957" s="2340"/>
      <c r="AB1957" s="2859"/>
      <c r="AC1957" s="2859"/>
      <c r="AD1957" s="2859"/>
      <c r="AE1957" s="2859"/>
      <c r="AF1957" s="2859"/>
      <c r="AG1957" s="2859"/>
      <c r="AH1957" s="2859"/>
      <c r="AI1957" s="2859"/>
      <c r="AJ1957" s="2859"/>
      <c r="AK1957" s="2859"/>
      <c r="AL1957" s="2859"/>
      <c r="AM1957" s="2859"/>
      <c r="AN1957" s="2859"/>
      <c r="AO1957" s="2859"/>
      <c r="AP1957" s="2859"/>
      <c r="AQ1957" s="2859"/>
      <c r="AR1957" s="2859"/>
      <c r="AS1957" s="2859"/>
      <c r="AT1957" s="2859"/>
      <c r="AU1957" s="2859"/>
      <c r="AV1957" s="2859"/>
      <c r="AW1957" s="2859"/>
      <c r="AX1957" s="2859"/>
      <c r="AY1957" s="2859"/>
      <c r="AZ1957" s="2859"/>
      <c r="BA1957" s="2859"/>
      <c r="BB1957" s="2859"/>
      <c r="BC1957" s="2859"/>
      <c r="BD1957" s="2859"/>
      <c r="BE1957" s="2859"/>
      <c r="BF1957" s="2859"/>
      <c r="BG1957" s="2859"/>
      <c r="BH1957" s="2859"/>
      <c r="BI1957" s="2859"/>
      <c r="BJ1957" s="2859"/>
      <c r="BK1957" s="2859"/>
      <c r="BL1957" s="2859"/>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4995"/>
      <c r="C1958" s="2813"/>
      <c r="D1958" s="260"/>
      <c r="E1958" s="2816" t="s">
        <v>1585</v>
      </c>
      <c r="F1958" s="218">
        <v>5</v>
      </c>
      <c r="G1958" s="218">
        <v>20</v>
      </c>
      <c r="H1958" s="218">
        <f>COUNTIF(HabilidadesEsenciales_Adquiridas,Tablas!E1958)</f>
        <v>0</v>
      </c>
      <c r="I1958" s="2818"/>
      <c r="J1958" s="422"/>
      <c r="K1958" s="2809"/>
      <c r="M1958" s="1959"/>
      <c r="N1958" s="100"/>
      <c r="O1958" s="468" t="s">
        <v>9949</v>
      </c>
      <c r="P1958" s="2811">
        <v>10</v>
      </c>
      <c r="Q1958" s="575">
        <v>-10</v>
      </c>
      <c r="R1958" s="2818">
        <f>COUNTIF(PoderesDeCriatura_Adquiridos,Tablas!O1958)</f>
        <v>0</v>
      </c>
      <c r="S1958" s="422"/>
      <c r="T1958" s="2809"/>
      <c r="U1958" s="500"/>
      <c r="V1958" s="2868" t="s">
        <v>9504</v>
      </c>
      <c r="W1958" s="2838"/>
      <c r="X1958" s="2340" t="str">
        <f t="shared" si="112"/>
        <v>PodHab_Vul.aelemento</v>
      </c>
      <c r="Y1958" s="2852" t="s">
        <v>10483</v>
      </c>
      <c r="Z1958" s="2852" t="s">
        <v>10484</v>
      </c>
      <c r="AA1958" s="2340"/>
      <c r="AB1958" s="2859"/>
      <c r="AC1958" s="2859"/>
      <c r="AD1958" s="2859"/>
      <c r="AE1958" s="2859"/>
      <c r="AF1958" s="2859"/>
      <c r="AG1958" s="2859"/>
      <c r="AH1958" s="2859"/>
      <c r="AI1958" s="2859"/>
      <c r="AJ1958" s="2859"/>
      <c r="AK1958" s="2859"/>
      <c r="AL1958" s="2859"/>
      <c r="AM1958" s="2859"/>
      <c r="AN1958" s="2859"/>
      <c r="AO1958" s="2859"/>
      <c r="AP1958" s="2859"/>
      <c r="AQ1958" s="2859"/>
      <c r="AR1958" s="2859"/>
      <c r="AS1958" s="2859"/>
      <c r="AT1958" s="2859"/>
      <c r="AU1958" s="2859"/>
      <c r="AV1958" s="2859"/>
      <c r="AW1958" s="2859"/>
      <c r="AX1958" s="2859"/>
      <c r="AY1958" s="2859"/>
      <c r="AZ1958" s="2859"/>
      <c r="BA1958" s="2859"/>
      <c r="BB1958" s="2859"/>
      <c r="BC1958" s="2859"/>
      <c r="BD1958" s="2859"/>
      <c r="BE1958" s="2859"/>
      <c r="BF1958" s="2859"/>
      <c r="BG1958" s="2859"/>
      <c r="BH1958" s="2859"/>
      <c r="BI1958" s="2859"/>
      <c r="BJ1958" s="2859"/>
      <c r="BK1958" s="2859"/>
      <c r="BL1958" s="2859"/>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4995"/>
      <c r="C1959" s="2813"/>
      <c r="D1959" s="260"/>
      <c r="E1959" s="2816" t="s">
        <v>2860</v>
      </c>
      <c r="F1959" s="218">
        <v>5</v>
      </c>
      <c r="G1959" s="218">
        <v>30</v>
      </c>
      <c r="H1959" s="218">
        <f>COUNTIF(HabilidadesEsenciales_Adquiridas,Tablas!E1959)</f>
        <v>0</v>
      </c>
      <c r="I1959" s="2818">
        <v>1</v>
      </c>
      <c r="J1959" s="422"/>
      <c r="K1959" s="2809"/>
      <c r="M1959" s="1959"/>
      <c r="N1959" s="100"/>
      <c r="O1959" s="468" t="s">
        <v>9950</v>
      </c>
      <c r="P1959" s="2811">
        <v>10</v>
      </c>
      <c r="Q1959" s="575">
        <v>-30</v>
      </c>
      <c r="R1959" s="2818">
        <f>COUNTIF(PoderesDeCriatura_Adquiridos,Tablas!O1959)</f>
        <v>0</v>
      </c>
      <c r="S1959" s="422"/>
      <c r="T1959" s="2809"/>
      <c r="U1959" s="500"/>
      <c r="V1959" s="2868" t="s">
        <v>1594</v>
      </c>
      <c r="W1959" s="2838"/>
      <c r="X1959" s="2340" t="str">
        <f t="shared" si="112"/>
        <v/>
      </c>
      <c r="Y1959" s="2852"/>
      <c r="Z1959" s="2852"/>
      <c r="AA1959" s="2340"/>
      <c r="AB1959" s="2859"/>
      <c r="AC1959" s="2859"/>
      <c r="AD1959" s="2859"/>
      <c r="AE1959" s="2859"/>
      <c r="AF1959" s="2859"/>
      <c r="AG1959" s="2859"/>
      <c r="AH1959" s="2859"/>
      <c r="AI1959" s="2859"/>
      <c r="AJ1959" s="2859"/>
      <c r="AK1959" s="2859"/>
      <c r="AL1959" s="2859"/>
      <c r="AM1959" s="2859"/>
      <c r="AN1959" s="2859"/>
      <c r="AO1959" s="2859"/>
      <c r="AP1959" s="2859"/>
      <c r="AQ1959" s="2859"/>
      <c r="AR1959" s="2859"/>
      <c r="AS1959" s="2859"/>
      <c r="AT1959" s="2859"/>
      <c r="AU1959" s="2859"/>
      <c r="AV1959" s="2859"/>
      <c r="AW1959" s="2859"/>
      <c r="AX1959" s="2859"/>
      <c r="AY1959" s="2859"/>
      <c r="AZ1959" s="2859"/>
      <c r="BA1959" s="2859"/>
      <c r="BB1959" s="2859"/>
      <c r="BC1959" s="2859"/>
      <c r="BD1959" s="2859"/>
      <c r="BE1959" s="2859"/>
      <c r="BF1959" s="2859"/>
      <c r="BG1959" s="2859"/>
      <c r="BH1959" s="2859"/>
      <c r="BI1959" s="2859"/>
      <c r="BJ1959" s="2859"/>
      <c r="BK1959" s="2859"/>
      <c r="BL1959" s="2859"/>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4995"/>
      <c r="C1960" s="2813"/>
      <c r="D1960" s="260"/>
      <c r="E1960" s="2816" t="s">
        <v>2861</v>
      </c>
      <c r="F1960" s="218">
        <v>5</v>
      </c>
      <c r="G1960" s="218">
        <v>20</v>
      </c>
      <c r="H1960" s="218">
        <f>COUNTIF(HabilidadesEsenciales_Adquiridas,Tablas!E1960)</f>
        <v>0</v>
      </c>
      <c r="I1960" s="2818">
        <v>1</v>
      </c>
      <c r="J1960" s="422"/>
      <c r="K1960" s="2809"/>
      <c r="M1960" s="1959"/>
      <c r="N1960" s="100"/>
      <c r="O1960" s="468" t="s">
        <v>9951</v>
      </c>
      <c r="P1960" s="2811">
        <v>10</v>
      </c>
      <c r="Q1960" s="575">
        <v>-50</v>
      </c>
      <c r="R1960" s="2818">
        <f>COUNTIF(PoderesDeCriatura_Adquiridos,Tablas!O1960)</f>
        <v>0</v>
      </c>
      <c r="S1960" s="422"/>
      <c r="T1960" s="2809"/>
      <c r="U1960" s="500"/>
      <c r="V1960" s="2868" t="s">
        <v>1595</v>
      </c>
      <c r="W1960" s="2838"/>
      <c r="X1960" s="2340" t="str">
        <f t="shared" si="112"/>
        <v/>
      </c>
      <c r="Y1960" s="2852" t="s">
        <v>8977</v>
      </c>
      <c r="Z1960" s="2340"/>
      <c r="AA1960" s="2340"/>
      <c r="AB1960" s="2859"/>
      <c r="AC1960" s="2859"/>
      <c r="AD1960" s="2859"/>
      <c r="AE1960" s="2859"/>
      <c r="AF1960" s="2859"/>
      <c r="AG1960" s="2859"/>
      <c r="AH1960" s="2859"/>
      <c r="AI1960" s="2859"/>
      <c r="AJ1960" s="2859"/>
      <c r="AK1960" s="2859"/>
      <c r="AL1960" s="2859"/>
      <c r="AM1960" s="2859"/>
      <c r="AN1960" s="2859"/>
      <c r="AO1960" s="2859"/>
      <c r="AP1960" s="2859"/>
      <c r="AQ1960" s="2859"/>
      <c r="AR1960" s="2859"/>
      <c r="AS1960" s="2859"/>
      <c r="AT1960" s="2859"/>
      <c r="AU1960" s="2859"/>
      <c r="AV1960" s="2859"/>
      <c r="AW1960" s="2859"/>
      <c r="AX1960" s="2859"/>
      <c r="AY1960" s="2859"/>
      <c r="AZ1960" s="2859"/>
      <c r="BA1960" s="2859"/>
      <c r="BB1960" s="2859"/>
      <c r="BC1960" s="2859"/>
      <c r="BD1960" s="2859"/>
      <c r="BE1960" s="2859"/>
      <c r="BF1960" s="2859"/>
      <c r="BG1960" s="2859"/>
      <c r="BH1960" s="2859"/>
      <c r="BI1960" s="2859"/>
      <c r="BJ1960" s="2859"/>
      <c r="BK1960" s="2859"/>
      <c r="BL1960" s="2859"/>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4995"/>
      <c r="C1961" s="2813"/>
      <c r="D1961" s="260"/>
      <c r="E1961" s="2816" t="s">
        <v>10370</v>
      </c>
      <c r="F1961" s="218">
        <v>5</v>
      </c>
      <c r="G1961" s="218">
        <v>20</v>
      </c>
      <c r="H1961" s="218">
        <f>COUNTIF(HabilidadesEsenciales_Adquiridas,Tablas!E1961)</f>
        <v>0</v>
      </c>
      <c r="I1961" s="2818">
        <v>1</v>
      </c>
      <c r="J1961" s="422"/>
      <c r="K1961" s="2809"/>
      <c r="M1961" s="1959"/>
      <c r="N1961" s="100"/>
      <c r="O1961" s="468" t="s">
        <v>9952</v>
      </c>
      <c r="P1961" s="2811">
        <v>10</v>
      </c>
      <c r="Q1961" s="575">
        <v>-30</v>
      </c>
      <c r="R1961" s="2818">
        <f>COUNTIF(PoderesDeCriatura_Adquiridos,Tablas!O1961)</f>
        <v>0</v>
      </c>
      <c r="S1961" s="422"/>
      <c r="T1961" s="2809"/>
      <c r="U1961" s="500"/>
      <c r="V1961" s="2868" t="s">
        <v>1597</v>
      </c>
      <c r="W1961" s="2838"/>
      <c r="X1961" s="2340" t="str">
        <f t="shared" si="112"/>
        <v/>
      </c>
      <c r="Y1961" s="2852" t="s">
        <v>8977</v>
      </c>
      <c r="Z1961" s="2340"/>
      <c r="AA1961" s="2340"/>
      <c r="AB1961" s="2859"/>
      <c r="AC1961" s="2859"/>
      <c r="AD1961" s="2859"/>
      <c r="AE1961" s="2859"/>
      <c r="AF1961" s="2859"/>
      <c r="AG1961" s="2859"/>
      <c r="AH1961" s="2859"/>
      <c r="AI1961" s="2859"/>
      <c r="AJ1961" s="2859"/>
      <c r="AK1961" s="2859"/>
      <c r="AL1961" s="2859"/>
      <c r="AM1961" s="2859"/>
      <c r="AN1961" s="2859"/>
      <c r="AO1961" s="2859"/>
      <c r="AP1961" s="2859"/>
      <c r="AQ1961" s="2859"/>
      <c r="AR1961" s="2859"/>
      <c r="AS1961" s="2859"/>
      <c r="AT1961" s="2859"/>
      <c r="AU1961" s="2859"/>
      <c r="AV1961" s="2859"/>
      <c r="AW1961" s="2859"/>
      <c r="AX1961" s="2859"/>
      <c r="AY1961" s="2859"/>
      <c r="AZ1961" s="2859"/>
      <c r="BA1961" s="2859"/>
      <c r="BB1961" s="2859"/>
      <c r="BC1961" s="2859"/>
      <c r="BD1961" s="2859"/>
      <c r="BE1961" s="2859"/>
      <c r="BF1961" s="2859"/>
      <c r="BG1961" s="2859"/>
      <c r="BH1961" s="2859"/>
      <c r="BI1961" s="2859"/>
      <c r="BJ1961" s="2859"/>
      <c r="BK1961" s="2859"/>
      <c r="BL1961" s="2859"/>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4995"/>
      <c r="C1962" s="2813"/>
      <c r="D1962" s="260"/>
      <c r="E1962" s="2816" t="s">
        <v>10371</v>
      </c>
      <c r="F1962" s="218">
        <v>5</v>
      </c>
      <c r="G1962" s="218">
        <v>20</v>
      </c>
      <c r="H1962" s="218">
        <f>COUNTIF(HabilidadesEsenciales_Adquiridas,Tablas!E1962)</f>
        <v>0</v>
      </c>
      <c r="I1962" s="2818">
        <v>1</v>
      </c>
      <c r="J1962" s="422"/>
      <c r="K1962" s="2809"/>
      <c r="M1962" s="1959"/>
      <c r="N1962" s="100"/>
      <c r="O1962" s="468" t="s">
        <v>1620</v>
      </c>
      <c r="P1962" s="2811">
        <v>0</v>
      </c>
      <c r="Q1962" s="575">
        <v>10</v>
      </c>
      <c r="R1962" s="2818">
        <f>COUNTIF(PoderesDeCriatura_Adquiridos,Tablas!O1962)</f>
        <v>0</v>
      </c>
      <c r="S1962" s="422"/>
      <c r="T1962" s="2809"/>
      <c r="U1962" s="500"/>
      <c r="V1962" s="2868" t="s">
        <v>2910</v>
      </c>
      <c r="W1962" s="2838"/>
      <c r="X1962" s="2340" t="str">
        <f t="shared" si="112"/>
        <v/>
      </c>
      <c r="Y1962" s="2852" t="s">
        <v>8977</v>
      </c>
      <c r="Z1962" s="2340"/>
      <c r="AA1962" s="2340"/>
      <c r="AB1962" s="2859"/>
      <c r="AC1962" s="2859"/>
      <c r="AD1962" s="2859"/>
      <c r="AE1962" s="2859"/>
      <c r="AF1962" s="2859"/>
      <c r="AG1962" s="2859"/>
      <c r="AH1962" s="2859"/>
      <c r="AI1962" s="2859"/>
      <c r="AJ1962" s="2859"/>
      <c r="AK1962" s="2859"/>
      <c r="AL1962" s="2859"/>
      <c r="AM1962" s="2859"/>
      <c r="AN1962" s="2859"/>
      <c r="AO1962" s="2859"/>
      <c r="AP1962" s="2859"/>
      <c r="AQ1962" s="2859"/>
      <c r="AR1962" s="2859"/>
      <c r="AS1962" s="2859"/>
      <c r="AT1962" s="2859"/>
      <c r="AU1962" s="2859"/>
      <c r="AV1962" s="2859"/>
      <c r="AW1962" s="2859"/>
      <c r="AX1962" s="2859"/>
      <c r="AY1962" s="2859"/>
      <c r="AZ1962" s="2859"/>
      <c r="BA1962" s="2859"/>
      <c r="BB1962" s="2859"/>
      <c r="BC1962" s="2859"/>
      <c r="BD1962" s="2859"/>
      <c r="BE1962" s="2859"/>
      <c r="BF1962" s="2859"/>
      <c r="BG1962" s="2859"/>
      <c r="BH1962" s="2859"/>
      <c r="BI1962" s="2859"/>
      <c r="BJ1962" s="2859"/>
      <c r="BK1962" s="2859"/>
      <c r="BL1962" s="2859"/>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4995"/>
      <c r="C1963" s="2813"/>
      <c r="D1963" s="260"/>
      <c r="E1963" s="2816" t="s">
        <v>10372</v>
      </c>
      <c r="F1963" s="218">
        <v>5</v>
      </c>
      <c r="G1963" s="218">
        <v>20</v>
      </c>
      <c r="H1963" s="218">
        <f>COUNTIF(HabilidadesEsenciales_Adquiridas,Tablas!E1963)</f>
        <v>0</v>
      </c>
      <c r="I1963" s="2818">
        <v>1</v>
      </c>
      <c r="J1963" s="422"/>
      <c r="K1963" s="2809"/>
      <c r="M1963" s="1959"/>
      <c r="N1963" s="100"/>
      <c r="O1963" s="468" t="s">
        <v>1621</v>
      </c>
      <c r="P1963" s="2811">
        <v>5</v>
      </c>
      <c r="Q1963" s="575">
        <v>20</v>
      </c>
      <c r="R1963" s="2818">
        <f>COUNTIF(PoderesDeCriatura_Adquiridos,Tablas!O1963)</f>
        <v>0</v>
      </c>
      <c r="S1963" s="422">
        <f t="array" ref="S1963">MAX({1;2;3;4}*R1962:R1965)</f>
        <v>0</v>
      </c>
      <c r="T1963" s="2809" t="s">
        <v>9453</v>
      </c>
      <c r="U1963" s="500"/>
      <c r="V1963" s="2868" t="s">
        <v>1596</v>
      </c>
      <c r="W1963" s="2838"/>
      <c r="X1963" s="2340" t="str">
        <f t="shared" si="112"/>
        <v/>
      </c>
      <c r="Y1963" s="2852" t="s">
        <v>8977</v>
      </c>
      <c r="Z1963" s="2340"/>
      <c r="AA1963" s="2340"/>
      <c r="AB1963" s="2859"/>
      <c r="AC1963" s="2859"/>
      <c r="AD1963" s="2859"/>
      <c r="AE1963" s="2859"/>
      <c r="AF1963" s="2859"/>
      <c r="AG1963" s="2859"/>
      <c r="AH1963" s="2859"/>
      <c r="AI1963" s="2859"/>
      <c r="AJ1963" s="2859"/>
      <c r="AK1963" s="2859"/>
      <c r="AL1963" s="2859"/>
      <c r="AM1963" s="2859"/>
      <c r="AN1963" s="2859"/>
      <c r="AO1963" s="2859"/>
      <c r="AP1963" s="2859"/>
      <c r="AQ1963" s="2859"/>
      <c r="AR1963" s="2859"/>
      <c r="AS1963" s="2859"/>
      <c r="AT1963" s="2859"/>
      <c r="AU1963" s="2859"/>
      <c r="AV1963" s="2859"/>
      <c r="AW1963" s="2859"/>
      <c r="AX1963" s="2859"/>
      <c r="AY1963" s="2859"/>
      <c r="AZ1963" s="2859"/>
      <c r="BA1963" s="2859"/>
      <c r="BB1963" s="2859"/>
      <c r="BC1963" s="2859"/>
      <c r="BD1963" s="2859"/>
      <c r="BE1963" s="2859"/>
      <c r="BF1963" s="2859"/>
      <c r="BG1963" s="2859"/>
      <c r="BH1963" s="2859"/>
      <c r="BI1963" s="2859"/>
      <c r="BJ1963" s="2859"/>
      <c r="BK1963" s="2859"/>
      <c r="BL1963" s="2859"/>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4995"/>
      <c r="C1964" s="2813"/>
      <c r="D1964" s="260"/>
      <c r="E1964" s="2816" t="s">
        <v>10373</v>
      </c>
      <c r="F1964" s="218">
        <v>5</v>
      </c>
      <c r="G1964" s="218">
        <v>20</v>
      </c>
      <c r="H1964" s="218">
        <f>COUNTIF(HabilidadesEsenciales_Adquiridas,Tablas!E1964)</f>
        <v>0</v>
      </c>
      <c r="I1964" s="2818">
        <v>1</v>
      </c>
      <c r="J1964" s="422"/>
      <c r="K1964" s="2809"/>
      <c r="M1964" s="1959"/>
      <c r="N1964" s="100"/>
      <c r="O1964" s="468" t="s">
        <v>1622</v>
      </c>
      <c r="P1964" s="2811">
        <v>10</v>
      </c>
      <c r="Q1964" s="575">
        <v>30</v>
      </c>
      <c r="R1964" s="2818">
        <f>COUNTIF(PoderesDeCriatura_Adquiridos,Tablas!O1964)</f>
        <v>0</v>
      </c>
      <c r="S1964" s="422"/>
      <c r="T1964" s="2809"/>
      <c r="U1964" s="500"/>
      <c r="V1964" s="2868" t="s">
        <v>2913</v>
      </c>
      <c r="W1964" s="2838"/>
      <c r="X1964" s="2340" t="str">
        <f t="shared" si="112"/>
        <v/>
      </c>
      <c r="Y1964" s="2852" t="s">
        <v>8977</v>
      </c>
      <c r="Z1964" s="2340"/>
      <c r="AA1964" s="2340"/>
      <c r="AB1964" s="2859"/>
      <c r="AC1964" s="2859"/>
      <c r="AD1964" s="2859"/>
      <c r="AE1964" s="2859"/>
      <c r="AF1964" s="2859"/>
      <c r="AG1964" s="2859"/>
      <c r="AH1964" s="2859"/>
      <c r="AI1964" s="2859"/>
      <c r="AJ1964" s="2859"/>
      <c r="AK1964" s="2859"/>
      <c r="AL1964" s="2859"/>
      <c r="AM1964" s="2859"/>
      <c r="AN1964" s="2859"/>
      <c r="AO1964" s="2859"/>
      <c r="AP1964" s="2859"/>
      <c r="AQ1964" s="2859"/>
      <c r="AR1964" s="2859"/>
      <c r="AS1964" s="2859"/>
      <c r="AT1964" s="2859"/>
      <c r="AU1964" s="2859"/>
      <c r="AV1964" s="2859"/>
      <c r="AW1964" s="2859"/>
      <c r="AX1964" s="2859"/>
      <c r="AY1964" s="2859"/>
      <c r="AZ1964" s="2859"/>
      <c r="BA1964" s="2859"/>
      <c r="BB1964" s="2859"/>
      <c r="BC1964" s="2859"/>
      <c r="BD1964" s="2859"/>
      <c r="BE1964" s="2859"/>
      <c r="BF1964" s="2859"/>
      <c r="BG1964" s="2859"/>
      <c r="BH1964" s="2859"/>
      <c r="BI1964" s="2859"/>
      <c r="BJ1964" s="2859"/>
      <c r="BK1964" s="2859"/>
      <c r="BL1964" s="2859"/>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4995"/>
      <c r="C1965" s="2813"/>
      <c r="D1965" s="260"/>
      <c r="E1965" s="2816" t="s">
        <v>10374</v>
      </c>
      <c r="F1965" s="218">
        <v>5</v>
      </c>
      <c r="G1965" s="218">
        <v>20</v>
      </c>
      <c r="H1965" s="218">
        <f>COUNTIF(HabilidadesEsenciales_Adquiridas,Tablas!E1965)</f>
        <v>0</v>
      </c>
      <c r="I1965" s="2818">
        <v>1</v>
      </c>
      <c r="J1965" s="422"/>
      <c r="K1965" s="2809"/>
      <c r="M1965" s="1959"/>
      <c r="N1965" s="100"/>
      <c r="O1965" s="468" t="s">
        <v>1623</v>
      </c>
      <c r="P1965" s="2811">
        <v>20</v>
      </c>
      <c r="Q1965" s="575">
        <v>40</v>
      </c>
      <c r="R1965" s="2818">
        <f>COUNTIF(PoderesDeCriatura_Adquiridos,Tablas!O1965)</f>
        <v>0</v>
      </c>
      <c r="S1965" s="422"/>
      <c r="T1965" s="2809"/>
      <c r="U1965" s="500"/>
      <c r="V1965" s="2868" t="s">
        <v>2908</v>
      </c>
      <c r="W1965" s="2838"/>
      <c r="X1965" s="2340" t="str">
        <f t="shared" si="112"/>
        <v/>
      </c>
      <c r="Y1965" s="2852" t="s">
        <v>8977</v>
      </c>
      <c r="Z1965" s="2340"/>
      <c r="AA1965" s="2340"/>
      <c r="AB1965" s="2859"/>
      <c r="AC1965" s="2859"/>
      <c r="AD1965" s="2859"/>
      <c r="AE1965" s="2859"/>
      <c r="AF1965" s="2859"/>
      <c r="AG1965" s="2859"/>
      <c r="AH1965" s="2859"/>
      <c r="AI1965" s="2859"/>
      <c r="AJ1965" s="2859"/>
      <c r="AK1965" s="2859"/>
      <c r="AL1965" s="2859"/>
      <c r="AM1965" s="2859"/>
      <c r="AN1965" s="2859"/>
      <c r="AO1965" s="2859"/>
      <c r="AP1965" s="2859"/>
      <c r="AQ1965" s="2859"/>
      <c r="AR1965" s="2859"/>
      <c r="AS1965" s="2859"/>
      <c r="AT1965" s="2859"/>
      <c r="AU1965" s="2859"/>
      <c r="AV1965" s="2859"/>
      <c r="AW1965" s="2859"/>
      <c r="AX1965" s="2859"/>
      <c r="AY1965" s="2859"/>
      <c r="AZ1965" s="2859"/>
      <c r="BA1965" s="2859"/>
      <c r="BB1965" s="2859"/>
      <c r="BC1965" s="2859"/>
      <c r="BD1965" s="2859"/>
      <c r="BE1965" s="2859"/>
      <c r="BF1965" s="2859"/>
      <c r="BG1965" s="2859"/>
      <c r="BH1965" s="2859"/>
      <c r="BI1965" s="2859"/>
      <c r="BJ1965" s="2859"/>
      <c r="BK1965" s="2859"/>
      <c r="BL1965" s="2859"/>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4995"/>
      <c r="C1966" s="2813"/>
      <c r="D1966" s="260"/>
      <c r="E1966" s="2816" t="s">
        <v>10375</v>
      </c>
      <c r="F1966" s="218">
        <v>5</v>
      </c>
      <c r="G1966" s="218">
        <v>20</v>
      </c>
      <c r="H1966" s="218">
        <f>COUNTIF(HabilidadesEsenciales_Adquiridas,Tablas!E1966)</f>
        <v>0</v>
      </c>
      <c r="I1966" s="2818">
        <v>1</v>
      </c>
      <c r="J1966" s="422"/>
      <c r="K1966" s="2809"/>
      <c r="M1966" s="1959"/>
      <c r="N1966" s="100"/>
      <c r="O1966" s="468" t="s">
        <v>9953</v>
      </c>
      <c r="P1966" s="2811">
        <v>0</v>
      </c>
      <c r="Q1966" s="575">
        <v>40</v>
      </c>
      <c r="R1966" s="2818">
        <f>COUNTIF(PoderesDeCriatura_Adquiridos,Tablas!O1966)</f>
        <v>0</v>
      </c>
      <c r="S1966" s="422"/>
      <c r="T1966" s="2809"/>
      <c r="U1966" s="500"/>
      <c r="V1966" s="2868" t="s">
        <v>2909</v>
      </c>
      <c r="W1966" s="2838"/>
      <c r="X1966" s="2340" t="str">
        <f t="shared" si="112"/>
        <v/>
      </c>
      <c r="Y1966" s="2852" t="s">
        <v>8977</v>
      </c>
      <c r="Z1966" s="2340"/>
      <c r="AA1966" s="2340"/>
      <c r="AB1966" s="2859"/>
      <c r="AC1966" s="2859"/>
      <c r="AD1966" s="2859"/>
      <c r="AE1966" s="2859"/>
      <c r="AF1966" s="2859"/>
      <c r="AG1966" s="2859"/>
      <c r="AH1966" s="2859"/>
      <c r="AI1966" s="2859"/>
      <c r="AJ1966" s="2859"/>
      <c r="AK1966" s="2859"/>
      <c r="AL1966" s="2859"/>
      <c r="AM1966" s="2859"/>
      <c r="AN1966" s="2859"/>
      <c r="AO1966" s="2859"/>
      <c r="AP1966" s="2859"/>
      <c r="AQ1966" s="2859"/>
      <c r="AR1966" s="2859"/>
      <c r="AS1966" s="2859"/>
      <c r="AT1966" s="2859"/>
      <c r="AU1966" s="2859"/>
      <c r="AV1966" s="2859"/>
      <c r="AW1966" s="2859"/>
      <c r="AX1966" s="2859"/>
      <c r="AY1966" s="2859"/>
      <c r="AZ1966" s="2859"/>
      <c r="BA1966" s="2859"/>
      <c r="BB1966" s="2859"/>
      <c r="BC1966" s="2859"/>
      <c r="BD1966" s="2859"/>
      <c r="BE1966" s="2859"/>
      <c r="BF1966" s="2859"/>
      <c r="BG1966" s="2859"/>
      <c r="BH1966" s="2859"/>
      <c r="BI1966" s="2859"/>
      <c r="BJ1966" s="2859"/>
      <c r="BK1966" s="2859"/>
      <c r="BL1966" s="2859"/>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4995"/>
      <c r="C1967" s="2813"/>
      <c r="D1967" s="260"/>
      <c r="E1967" s="2816" t="s">
        <v>10376</v>
      </c>
      <c r="F1967" s="218">
        <v>5</v>
      </c>
      <c r="G1967" s="218">
        <v>20</v>
      </c>
      <c r="H1967" s="218">
        <f>COUNTIF(HabilidadesEsenciales_Adquiridas,Tablas!E1967)</f>
        <v>0</v>
      </c>
      <c r="I1967" s="2818">
        <v>1</v>
      </c>
      <c r="J1967" s="422"/>
      <c r="K1967" s="2809"/>
      <c r="M1967" s="1959"/>
      <c r="N1967" s="100"/>
      <c r="O1967" s="468" t="s">
        <v>9954</v>
      </c>
      <c r="P1967" s="2811">
        <v>0</v>
      </c>
      <c r="Q1967" s="575">
        <v>60</v>
      </c>
      <c r="R1967" s="2818">
        <f>COUNTIF(PoderesDeCriatura_Adquiridos,Tablas!O1967)</f>
        <v>0</v>
      </c>
      <c r="S1967" s="422"/>
      <c r="T1967" s="2809"/>
      <c r="U1967" s="500"/>
      <c r="V1967" s="2868" t="s">
        <v>1598</v>
      </c>
      <c r="W1967" s="2838"/>
      <c r="X1967" s="2340" t="str">
        <f t="shared" si="112"/>
        <v/>
      </c>
      <c r="Y1967" s="2852" t="s">
        <v>8977</v>
      </c>
      <c r="Z1967" s="2340"/>
      <c r="AA1967" s="2340"/>
      <c r="AB1967" s="2859"/>
      <c r="AC1967" s="2859"/>
      <c r="AD1967" s="2859"/>
      <c r="AE1967" s="2859"/>
      <c r="AF1967" s="2859"/>
      <c r="AG1967" s="2859"/>
      <c r="AH1967" s="2859"/>
      <c r="AI1967" s="2859"/>
      <c r="AJ1967" s="2859"/>
      <c r="AK1967" s="2859"/>
      <c r="AL1967" s="2859"/>
      <c r="AM1967" s="2859"/>
      <c r="AN1967" s="2859"/>
      <c r="AO1967" s="2859"/>
      <c r="AP1967" s="2859"/>
      <c r="AQ1967" s="2859"/>
      <c r="AR1967" s="2859"/>
      <c r="AS1967" s="2859"/>
      <c r="AT1967" s="2859"/>
      <c r="AU1967" s="2859"/>
      <c r="AV1967" s="2859"/>
      <c r="AW1967" s="2859"/>
      <c r="AX1967" s="2859"/>
      <c r="AY1967" s="2859"/>
      <c r="AZ1967" s="2859"/>
      <c r="BA1967" s="2859"/>
      <c r="BB1967" s="2859"/>
      <c r="BC1967" s="2859"/>
      <c r="BD1967" s="2859"/>
      <c r="BE1967" s="2859"/>
      <c r="BF1967" s="2859"/>
      <c r="BG1967" s="2859"/>
      <c r="BH1967" s="2859"/>
      <c r="BI1967" s="2859"/>
      <c r="BJ1967" s="2859"/>
      <c r="BK1967" s="2859"/>
      <c r="BL1967" s="2859"/>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4995"/>
      <c r="C1968" s="2813"/>
      <c r="D1968" s="260"/>
      <c r="E1968" s="2816" t="s">
        <v>10377</v>
      </c>
      <c r="F1968" s="218">
        <v>5</v>
      </c>
      <c r="G1968" s="218">
        <v>20</v>
      </c>
      <c r="H1968" s="218">
        <f>COUNTIF(HabilidadesEsenciales_Adquiridas,Tablas!E1968)</f>
        <v>0</v>
      </c>
      <c r="I1968" s="2818">
        <v>1</v>
      </c>
      <c r="J1968" s="422"/>
      <c r="K1968" s="2809"/>
      <c r="M1968" s="1959"/>
      <c r="N1968" s="100"/>
      <c r="O1968" s="468" t="s">
        <v>9955</v>
      </c>
      <c r="P1968" s="2811">
        <v>0</v>
      </c>
      <c r="Q1968" s="575">
        <v>80</v>
      </c>
      <c r="R1968" s="2818">
        <f>COUNTIF(PoderesDeCriatura_Adquiridos,Tablas!O1968)</f>
        <v>0</v>
      </c>
      <c r="S1968" s="422"/>
      <c r="T1968" s="2809"/>
      <c r="U1968" s="500"/>
      <c r="V1968" s="2868" t="s">
        <v>1599</v>
      </c>
      <c r="W1968" s="2838"/>
      <c r="X1968" s="2340" t="str">
        <f t="shared" si="112"/>
        <v/>
      </c>
      <c r="Y1968" s="2852" t="s">
        <v>8977</v>
      </c>
      <c r="Z1968" s="2340"/>
      <c r="AA1968" s="2340"/>
      <c r="AB1968" s="2859"/>
      <c r="AC1968" s="2859"/>
      <c r="AD1968" s="2859"/>
      <c r="AE1968" s="2859"/>
      <c r="AF1968" s="2859"/>
      <c r="AG1968" s="2859"/>
      <c r="AH1968" s="2859"/>
      <c r="AI1968" s="2859"/>
      <c r="AJ1968" s="2859"/>
      <c r="AK1968" s="2859"/>
      <c r="AL1968" s="2859"/>
      <c r="AM1968" s="2859"/>
      <c r="AN1968" s="2859"/>
      <c r="AO1968" s="2859"/>
      <c r="AP1968" s="2859"/>
      <c r="AQ1968" s="2859"/>
      <c r="AR1968" s="2859"/>
      <c r="AS1968" s="2859"/>
      <c r="AT1968" s="2859"/>
      <c r="AU1968" s="2859"/>
      <c r="AV1968" s="2859"/>
      <c r="AW1968" s="2859"/>
      <c r="AX1968" s="2859"/>
      <c r="AY1968" s="2859"/>
      <c r="AZ1968" s="2859"/>
      <c r="BA1968" s="2859"/>
      <c r="BB1968" s="2859"/>
      <c r="BC1968" s="2859"/>
      <c r="BD1968" s="2859"/>
      <c r="BE1968" s="2859"/>
      <c r="BF1968" s="2859"/>
      <c r="BG1968" s="2859"/>
      <c r="BH1968" s="2859"/>
      <c r="BI1968" s="2859"/>
      <c r="BJ1968" s="2859"/>
      <c r="BK1968" s="2859"/>
      <c r="BL1968" s="2859"/>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4995"/>
      <c r="C1969" s="2813"/>
      <c r="D1969" s="260"/>
      <c r="E1969" s="2816" t="s">
        <v>10378</v>
      </c>
      <c r="F1969" s="218">
        <v>5</v>
      </c>
      <c r="G1969" s="218">
        <v>20</v>
      </c>
      <c r="H1969" s="218">
        <f>COUNTIF(HabilidadesEsenciales_Adquiridas,Tablas!E1969)</f>
        <v>0</v>
      </c>
      <c r="I1969" s="2818">
        <v>1</v>
      </c>
      <c r="J1969" s="422"/>
      <c r="K1969" s="2809"/>
      <c r="M1969" s="1959"/>
      <c r="N1969" s="100"/>
      <c r="O1969" s="468" t="s">
        <v>9956</v>
      </c>
      <c r="P1969" s="2811">
        <v>0</v>
      </c>
      <c r="Q1969" s="575">
        <v>100</v>
      </c>
      <c r="R1969" s="2818">
        <f>COUNTIF(PoderesDeCriatura_Adquiridos,Tablas!O1969)</f>
        <v>0</v>
      </c>
      <c r="S1969" s="422"/>
      <c r="T1969" s="2809"/>
      <c r="U1969" s="500"/>
      <c r="V1969" s="2868" t="s">
        <v>2918</v>
      </c>
      <c r="W1969" s="2838"/>
      <c r="X1969" s="2340" t="str">
        <f t="shared" ref="X1969:X1985" si="113">IF(Y1969="","",SUBSTITUTE("PodHab_"&amp;V1969," ",""))</f>
        <v/>
      </c>
      <c r="Y1969" s="2852" t="s">
        <v>8977</v>
      </c>
      <c r="Z1969" s="2340"/>
      <c r="AA1969" s="2340"/>
      <c r="AB1969" s="2859"/>
      <c r="AC1969" s="2859"/>
      <c r="AD1969" s="2859"/>
      <c r="AE1969" s="2859"/>
      <c r="AF1969" s="2859"/>
      <c r="AG1969" s="2859"/>
      <c r="AH1969" s="2859"/>
      <c r="AI1969" s="2859"/>
      <c r="AJ1969" s="2859"/>
      <c r="AK1969" s="2859"/>
      <c r="AL1969" s="2859"/>
      <c r="AM1969" s="2859"/>
      <c r="AN1969" s="2859"/>
      <c r="AO1969" s="2859"/>
      <c r="AP1969" s="2859"/>
      <c r="AQ1969" s="2859"/>
      <c r="AR1969" s="2859"/>
      <c r="AS1969" s="2859"/>
      <c r="AT1969" s="2859"/>
      <c r="AU1969" s="2859"/>
      <c r="AV1969" s="2859"/>
      <c r="AW1969" s="2859"/>
      <c r="AX1969" s="2859"/>
      <c r="AY1969" s="2859"/>
      <c r="AZ1969" s="2859"/>
      <c r="BA1969" s="2859"/>
      <c r="BB1969" s="2859"/>
      <c r="BC1969" s="2859"/>
      <c r="BD1969" s="2859"/>
      <c r="BE1969" s="2859"/>
      <c r="BF1969" s="2859"/>
      <c r="BG1969" s="2859"/>
      <c r="BH1969" s="2859"/>
      <c r="BI1969" s="2859"/>
      <c r="BJ1969" s="2859"/>
      <c r="BK1969" s="2859"/>
      <c r="BL1969" s="2859"/>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4995"/>
      <c r="C1970" s="2813"/>
      <c r="D1970" s="260"/>
      <c r="E1970" s="2816" t="s">
        <v>10379</v>
      </c>
      <c r="F1970" s="218">
        <v>5</v>
      </c>
      <c r="G1970" s="218">
        <v>20</v>
      </c>
      <c r="H1970" s="218">
        <f>COUNTIF(HabilidadesEsenciales_Adquiridas,Tablas!E1970)</f>
        <v>0</v>
      </c>
      <c r="I1970" s="2818">
        <v>1</v>
      </c>
      <c r="J1970" s="422"/>
      <c r="K1970" s="2809"/>
      <c r="M1970" s="1959"/>
      <c r="N1970" s="100"/>
      <c r="O1970" s="468" t="s">
        <v>9957</v>
      </c>
      <c r="P1970" s="2811">
        <v>10</v>
      </c>
      <c r="Q1970" s="575">
        <v>120</v>
      </c>
      <c r="R1970" s="2818">
        <f>COUNTIF(PoderesDeCriatura_Adquiridos,Tablas!O1970)</f>
        <v>0</v>
      </c>
      <c r="S1970" s="422"/>
      <c r="T1970" s="2809"/>
      <c r="U1970" s="500"/>
      <c r="V1970" s="2868" t="s">
        <v>2917</v>
      </c>
      <c r="W1970" s="2838"/>
      <c r="X1970" s="2340" t="str">
        <f t="shared" si="113"/>
        <v/>
      </c>
      <c r="Y1970" s="2852" t="s">
        <v>8977</v>
      </c>
      <c r="Z1970" s="2340"/>
      <c r="AA1970" s="2340"/>
      <c r="AB1970" s="2859"/>
      <c r="AC1970" s="2859"/>
      <c r="AD1970" s="2859"/>
      <c r="AE1970" s="2859"/>
      <c r="AF1970" s="2859"/>
      <c r="AG1970" s="2859"/>
      <c r="AH1970" s="2859"/>
      <c r="AI1970" s="2859"/>
      <c r="AJ1970" s="2859"/>
      <c r="AK1970" s="2859"/>
      <c r="AL1970" s="2859"/>
      <c r="AM1970" s="2859"/>
      <c r="AN1970" s="2859"/>
      <c r="AO1970" s="2859"/>
      <c r="AP1970" s="2859"/>
      <c r="AQ1970" s="2859"/>
      <c r="AR1970" s="2859"/>
      <c r="AS1970" s="2859"/>
      <c r="AT1970" s="2859"/>
      <c r="AU1970" s="2859"/>
      <c r="AV1970" s="2859"/>
      <c r="AW1970" s="2859"/>
      <c r="AX1970" s="2859"/>
      <c r="AY1970" s="2859"/>
      <c r="AZ1970" s="2859"/>
      <c r="BA1970" s="2859"/>
      <c r="BB1970" s="2859"/>
      <c r="BC1970" s="2859"/>
      <c r="BD1970" s="2859"/>
      <c r="BE1970" s="2859"/>
      <c r="BF1970" s="2859"/>
      <c r="BG1970" s="2859"/>
      <c r="BH1970" s="2859"/>
      <c r="BI1970" s="2859"/>
      <c r="BJ1970" s="2859"/>
      <c r="BK1970" s="2859"/>
      <c r="BL1970" s="2859"/>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4995"/>
      <c r="C1971" s="2813"/>
      <c r="D1971" s="260"/>
      <c r="E1971" s="2816" t="s">
        <v>10380</v>
      </c>
      <c r="F1971" s="218">
        <v>5</v>
      </c>
      <c r="G1971" s="218">
        <v>20</v>
      </c>
      <c r="H1971" s="218">
        <f>COUNTIF(HabilidadesEsenciales_Adquiridas,Tablas!E1971)</f>
        <v>0</v>
      </c>
      <c r="I1971" s="2818">
        <v>1</v>
      </c>
      <c r="J1971" s="422"/>
      <c r="K1971" s="2809"/>
      <c r="M1971" s="1959"/>
      <c r="N1971" s="100"/>
      <c r="O1971" s="468" t="s">
        <v>9958</v>
      </c>
      <c r="P1971" s="2811">
        <v>10</v>
      </c>
      <c r="Q1971" s="575">
        <v>20</v>
      </c>
      <c r="R1971" s="2818">
        <f>COUNTIF(PoderesDeCriatura_Adquiridos,Tablas!O1971)</f>
        <v>0</v>
      </c>
      <c r="S1971" s="422"/>
      <c r="T1971" s="2809"/>
      <c r="U1971" s="500"/>
      <c r="V1971" s="2868" t="s">
        <v>1600</v>
      </c>
      <c r="W1971" s="2838"/>
      <c r="X1971" s="2340" t="str">
        <f t="shared" si="113"/>
        <v/>
      </c>
      <c r="Y1971" s="2852" t="s">
        <v>8977</v>
      </c>
      <c r="Z1971" s="2340"/>
      <c r="AA1971" s="2340"/>
      <c r="AB1971" s="2859"/>
      <c r="AC1971" s="2859"/>
      <c r="AD1971" s="2859"/>
      <c r="AE1971" s="2859"/>
      <c r="AF1971" s="2859"/>
      <c r="AG1971" s="2859"/>
      <c r="AH1971" s="2859"/>
      <c r="AI1971" s="2859"/>
      <c r="AJ1971" s="2859"/>
      <c r="AK1971" s="2859"/>
      <c r="AL1971" s="2859"/>
      <c r="AM1971" s="2859"/>
      <c r="AN1971" s="2859"/>
      <c r="AO1971" s="2859"/>
      <c r="AP1971" s="2859"/>
      <c r="AQ1971" s="2859"/>
      <c r="AR1971" s="2859"/>
      <c r="AS1971" s="2859"/>
      <c r="AT1971" s="2859"/>
      <c r="AU1971" s="2859"/>
      <c r="AV1971" s="2859"/>
      <c r="AW1971" s="2859"/>
      <c r="AX1971" s="2859"/>
      <c r="AY1971" s="2859"/>
      <c r="AZ1971" s="2859"/>
      <c r="BA1971" s="2859"/>
      <c r="BB1971" s="2859"/>
      <c r="BC1971" s="2859"/>
      <c r="BD1971" s="2859"/>
      <c r="BE1971" s="2859"/>
      <c r="BF1971" s="2859"/>
      <c r="BG1971" s="2859"/>
      <c r="BH1971" s="2859"/>
      <c r="BI1971" s="2859"/>
      <c r="BJ1971" s="2859"/>
      <c r="BK1971" s="2859"/>
      <c r="BL1971" s="2859"/>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4995"/>
      <c r="C1972" s="2813"/>
      <c r="D1972" s="260"/>
      <c r="E1972" s="2816" t="s">
        <v>10381</v>
      </c>
      <c r="F1972" s="218">
        <v>5</v>
      </c>
      <c r="G1972" s="218">
        <v>20</v>
      </c>
      <c r="H1972" s="218">
        <f>COUNTIF(HabilidadesEsenciales_Adquiridas,Tablas!E1972)</f>
        <v>0</v>
      </c>
      <c r="I1972" s="2818">
        <v>1</v>
      </c>
      <c r="J1972" s="422"/>
      <c r="K1972" s="2809"/>
      <c r="M1972" s="1959"/>
      <c r="N1972" s="100"/>
      <c r="O1972" s="468" t="s">
        <v>9959</v>
      </c>
      <c r="P1972" s="2811">
        <v>15</v>
      </c>
      <c r="Q1972" s="575">
        <v>40</v>
      </c>
      <c r="R1972" s="2818">
        <f>COUNTIF(PoderesDeCriatura_Adquiridos,Tablas!O1972)</f>
        <v>0</v>
      </c>
      <c r="S1972" s="422"/>
      <c r="T1972" s="2809"/>
      <c r="U1972" s="500"/>
      <c r="V1972" s="2868" t="s">
        <v>2925</v>
      </c>
      <c r="W1972" s="2838"/>
      <c r="X1972" s="2340" t="str">
        <f t="shared" si="113"/>
        <v/>
      </c>
      <c r="Y1972" s="2852" t="s">
        <v>8977</v>
      </c>
      <c r="Z1972" s="2340"/>
      <c r="AA1972" s="2340"/>
      <c r="AB1972" s="2859"/>
      <c r="AC1972" s="2859"/>
      <c r="AD1972" s="2859"/>
      <c r="AE1972" s="2859"/>
      <c r="AF1972" s="2859"/>
      <c r="AG1972" s="2859"/>
      <c r="AH1972" s="2859"/>
      <c r="AI1972" s="2859"/>
      <c r="AJ1972" s="2859"/>
      <c r="AK1972" s="2859"/>
      <c r="AL1972" s="2859"/>
      <c r="AM1972" s="2859"/>
      <c r="AN1972" s="2859"/>
      <c r="AO1972" s="2859"/>
      <c r="AP1972" s="2859"/>
      <c r="AQ1972" s="2859"/>
      <c r="AR1972" s="2859"/>
      <c r="AS1972" s="2859"/>
      <c r="AT1972" s="2859"/>
      <c r="AU1972" s="2859"/>
      <c r="AV1972" s="2859"/>
      <c r="AW1972" s="2859"/>
      <c r="AX1972" s="2859"/>
      <c r="AY1972" s="2859"/>
      <c r="AZ1972" s="2859"/>
      <c r="BA1972" s="2859"/>
      <c r="BB1972" s="2859"/>
      <c r="BC1972" s="2859"/>
      <c r="BD1972" s="2859"/>
      <c r="BE1972" s="2859"/>
      <c r="BF1972" s="2859"/>
      <c r="BG1972" s="2859"/>
      <c r="BH1972" s="2859"/>
      <c r="BI1972" s="2859"/>
      <c r="BJ1972" s="2859"/>
      <c r="BK1972" s="2859"/>
      <c r="BL1972" s="2859"/>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4995"/>
      <c r="C1973" s="2813"/>
      <c r="D1973" s="260"/>
      <c r="E1973" s="2816" t="s">
        <v>10382</v>
      </c>
      <c r="F1973" s="218">
        <v>5</v>
      </c>
      <c r="G1973" s="218">
        <v>20</v>
      </c>
      <c r="H1973" s="218">
        <f>COUNTIF(HabilidadesEsenciales_Adquiridas,Tablas!E1973)</f>
        <v>0</v>
      </c>
      <c r="I1973" s="2818">
        <v>1</v>
      </c>
      <c r="J1973" s="422"/>
      <c r="K1973" s="2809"/>
      <c r="M1973" s="1959"/>
      <c r="N1973" s="100"/>
      <c r="O1973" s="468" t="s">
        <v>9960</v>
      </c>
      <c r="P1973" s="2811">
        <v>20</v>
      </c>
      <c r="Q1973" s="575">
        <v>60</v>
      </c>
      <c r="R1973" s="2818">
        <f>COUNTIF(PoderesDeCriatura_Adquiridos,Tablas!O1973)</f>
        <v>0</v>
      </c>
      <c r="S1973" s="422"/>
      <c r="T1973" s="2809"/>
      <c r="U1973" s="500"/>
      <c r="V1973" s="2868" t="s">
        <v>2952</v>
      </c>
      <c r="W1973" s="2838"/>
      <c r="X1973" s="2340" t="str">
        <f t="shared" si="113"/>
        <v/>
      </c>
      <c r="Y1973" s="2852" t="s">
        <v>8977</v>
      </c>
      <c r="Z1973" s="2340"/>
      <c r="AA1973" s="2340"/>
      <c r="AB1973" s="2859"/>
      <c r="AC1973" s="2859"/>
      <c r="AD1973" s="2859"/>
      <c r="AE1973" s="2859"/>
      <c r="AF1973" s="2859"/>
      <c r="AG1973" s="2859"/>
      <c r="AH1973" s="2859"/>
      <c r="AI1973" s="2859"/>
      <c r="AJ1973" s="2859"/>
      <c r="AK1973" s="2859"/>
      <c r="AL1973" s="2859"/>
      <c r="AM1973" s="2859"/>
      <c r="AN1973" s="2859"/>
      <c r="AO1973" s="2859"/>
      <c r="AP1973" s="2859"/>
      <c r="AQ1973" s="2859"/>
      <c r="AR1973" s="2859"/>
      <c r="AS1973" s="2859"/>
      <c r="AT1973" s="2859"/>
      <c r="AU1973" s="2859"/>
      <c r="AV1973" s="2859"/>
      <c r="AW1973" s="2859"/>
      <c r="AX1973" s="2859"/>
      <c r="AY1973" s="2859"/>
      <c r="AZ1973" s="2859"/>
      <c r="BA1973" s="2859"/>
      <c r="BB1973" s="2859"/>
      <c r="BC1973" s="2859"/>
      <c r="BD1973" s="2859"/>
      <c r="BE1973" s="2859"/>
      <c r="BF1973" s="2859"/>
      <c r="BG1973" s="2859"/>
      <c r="BH1973" s="2859"/>
      <c r="BI1973" s="2859"/>
      <c r="BJ1973" s="2859"/>
      <c r="BK1973" s="2859"/>
      <c r="BL1973" s="2859"/>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4995"/>
      <c r="C1974" s="2813"/>
      <c r="D1974" s="260"/>
      <c r="E1974" s="2816" t="s">
        <v>2879</v>
      </c>
      <c r="F1974" s="218">
        <v>5</v>
      </c>
      <c r="G1974" s="218">
        <v>30</v>
      </c>
      <c r="H1974" s="218">
        <f>COUNTIF(HabilidadesEsenciales_Adquiridas,Tablas!E1974)</f>
        <v>0</v>
      </c>
      <c r="I1974" s="2818"/>
      <c r="J1974" s="422"/>
      <c r="K1974" s="2809"/>
      <c r="M1974" s="1959"/>
      <c r="N1974" s="100"/>
      <c r="O1974" s="468" t="s">
        <v>9961</v>
      </c>
      <c r="P1974" s="2811">
        <v>20</v>
      </c>
      <c r="Q1974" s="575">
        <v>80</v>
      </c>
      <c r="R1974" s="2818">
        <f>COUNTIF(PoderesDeCriatura_Adquiridos,Tablas!O1974)</f>
        <v>0</v>
      </c>
      <c r="S1974" s="422"/>
      <c r="T1974" s="2809"/>
      <c r="U1974" s="500"/>
      <c r="V1974" s="2868" t="s">
        <v>1603</v>
      </c>
      <c r="W1974" s="2838"/>
      <c r="X1974" s="2340" t="str">
        <f t="shared" si="113"/>
        <v/>
      </c>
      <c r="Y1974" s="2852" t="s">
        <v>8977</v>
      </c>
      <c r="Z1974" s="2340"/>
      <c r="AA1974" s="2340"/>
      <c r="AB1974" s="2859"/>
      <c r="AC1974" s="2859"/>
      <c r="AD1974" s="2859"/>
      <c r="AE1974" s="2859"/>
      <c r="AF1974" s="2859"/>
      <c r="AG1974" s="2859"/>
      <c r="AH1974" s="2859"/>
      <c r="AI1974" s="2859"/>
      <c r="AJ1974" s="2859"/>
      <c r="AK1974" s="2859"/>
      <c r="AL1974" s="2859"/>
      <c r="AM1974" s="2859"/>
      <c r="AN1974" s="2859"/>
      <c r="AO1974" s="2859"/>
      <c r="AP1974" s="2859"/>
      <c r="AQ1974" s="2859"/>
      <c r="AR1974" s="2859"/>
      <c r="AS1974" s="2859"/>
      <c r="AT1974" s="2859"/>
      <c r="AU1974" s="2859"/>
      <c r="AV1974" s="2859"/>
      <c r="AW1974" s="2859"/>
      <c r="AX1974" s="2859"/>
      <c r="AY1974" s="2859"/>
      <c r="AZ1974" s="2859"/>
      <c r="BA1974" s="2859"/>
      <c r="BB1974" s="2859"/>
      <c r="BC1974" s="2859"/>
      <c r="BD1974" s="2859"/>
      <c r="BE1974" s="2859"/>
      <c r="BF1974" s="2859"/>
      <c r="BG1974" s="2859"/>
      <c r="BH1974" s="2859"/>
      <c r="BI1974" s="2859"/>
      <c r="BJ1974" s="2859"/>
      <c r="BK1974" s="2859"/>
      <c r="BL1974" s="2859"/>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4995"/>
      <c r="C1975" s="2813"/>
      <c r="D1975" s="260"/>
      <c r="E1975" s="2816" t="s">
        <v>1586</v>
      </c>
      <c r="F1975" s="218">
        <v>0</v>
      </c>
      <c r="G1975" s="218">
        <v>0</v>
      </c>
      <c r="H1975" s="218"/>
      <c r="I1975" s="2818"/>
      <c r="J1975" s="422"/>
      <c r="K1975" s="2809"/>
      <c r="M1975" s="1959"/>
      <c r="N1975" s="100"/>
      <c r="O1975" s="468" t="s">
        <v>9962</v>
      </c>
      <c r="P1975" s="2811">
        <v>25</v>
      </c>
      <c r="Q1975" s="575">
        <v>100</v>
      </c>
      <c r="R1975" s="2818">
        <f>COUNTIF(PoderesDeCriatura_Adquiridos,Tablas!O1975)</f>
        <v>0</v>
      </c>
      <c r="S1975" s="422"/>
      <c r="T1975" s="2809"/>
      <c r="U1975" s="500"/>
      <c r="V1975" s="2868" t="s">
        <v>2945</v>
      </c>
      <c r="W1975" s="2838"/>
      <c r="X1975" s="2340" t="str">
        <f t="shared" si="113"/>
        <v/>
      </c>
      <c r="Y1975" s="2852" t="s">
        <v>8977</v>
      </c>
      <c r="Z1975" s="2859"/>
      <c r="AA1975" s="2859"/>
      <c r="AB1975" s="2859"/>
      <c r="AC1975" s="2859"/>
      <c r="AD1975" s="2859"/>
      <c r="AE1975" s="2859"/>
      <c r="AF1975" s="2859"/>
      <c r="AG1975" s="2859"/>
      <c r="AH1975" s="2859"/>
      <c r="AI1975" s="2859"/>
      <c r="AJ1975" s="2859"/>
      <c r="AK1975" s="2859"/>
      <c r="AL1975" s="2859"/>
      <c r="AM1975" s="2859"/>
      <c r="AN1975" s="2859"/>
      <c r="AO1975" s="2859"/>
      <c r="AP1975" s="2859"/>
      <c r="AQ1975" s="2859"/>
      <c r="AR1975" s="2859"/>
      <c r="AS1975" s="2859"/>
      <c r="AT1975" s="2859"/>
      <c r="AU1975" s="2859"/>
      <c r="AV1975" s="2859"/>
      <c r="AW1975" s="2859"/>
      <c r="AX1975" s="2859"/>
      <c r="AY1975" s="2859"/>
      <c r="AZ1975" s="2859"/>
      <c r="BA1975" s="2859"/>
      <c r="BB1975" s="2859"/>
      <c r="BC1975" s="2859"/>
      <c r="BD1975" s="2859"/>
      <c r="BE1975" s="2859"/>
      <c r="BF1975" s="2859"/>
      <c r="BG1975" s="2859"/>
      <c r="BH1975" s="2859"/>
      <c r="BI1975" s="2859"/>
      <c r="BJ1975" s="2859"/>
      <c r="BK1975" s="2859"/>
      <c r="BL1975" s="2859"/>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4995"/>
      <c r="C1976" s="2813"/>
      <c r="D1976" s="260"/>
      <c r="E1976" s="2816" t="s">
        <v>1587</v>
      </c>
      <c r="F1976" s="218">
        <v>0</v>
      </c>
      <c r="G1976" s="218">
        <v>-10</v>
      </c>
      <c r="H1976" s="218">
        <f>COUNTIF(HabilidadesEsenciales_Adquiridas,Tablas!E1976)</f>
        <v>0</v>
      </c>
      <c r="I1976" s="2818"/>
      <c r="J1976" s="422"/>
      <c r="K1976" s="2809"/>
      <c r="M1976" s="1959"/>
      <c r="N1976" s="100"/>
      <c r="O1976" s="468" t="s">
        <v>9963</v>
      </c>
      <c r="P1976" s="2811">
        <v>30</v>
      </c>
      <c r="Q1976" s="575">
        <v>120</v>
      </c>
      <c r="R1976" s="2818">
        <f>COUNTIF(PoderesDeCriatura_Adquiridos,Tablas!O1976)</f>
        <v>0</v>
      </c>
      <c r="S1976" s="422"/>
      <c r="T1976" s="2809"/>
      <c r="U1976" s="500"/>
      <c r="V1976" s="2868" t="s">
        <v>1602</v>
      </c>
      <c r="W1976" s="2838"/>
      <c r="X1976" s="2340" t="str">
        <f t="shared" si="113"/>
        <v/>
      </c>
      <c r="Y1976" s="2852" t="s">
        <v>8977</v>
      </c>
      <c r="Z1976" s="2859"/>
      <c r="AA1976" s="2859"/>
      <c r="AB1976" s="2859"/>
      <c r="AC1976" s="2859"/>
      <c r="AD1976" s="2859"/>
      <c r="AE1976" s="2859"/>
      <c r="AF1976" s="2859"/>
      <c r="AG1976" s="2859"/>
      <c r="AH1976" s="2859"/>
      <c r="AI1976" s="2859"/>
      <c r="AJ1976" s="2859"/>
      <c r="AK1976" s="2859"/>
      <c r="AL1976" s="2859"/>
      <c r="AM1976" s="2859"/>
      <c r="AN1976" s="2859"/>
      <c r="AO1976" s="2859"/>
      <c r="AP1976" s="2859"/>
      <c r="AQ1976" s="2859"/>
      <c r="AR1976" s="2859"/>
      <c r="AS1976" s="2859"/>
      <c r="AT1976" s="2859"/>
      <c r="AU1976" s="2859"/>
      <c r="AV1976" s="2859"/>
      <c r="AW1976" s="2859"/>
      <c r="AX1976" s="2859"/>
      <c r="AY1976" s="2859"/>
      <c r="AZ1976" s="2859"/>
      <c r="BA1976" s="2859"/>
      <c r="BB1976" s="2859"/>
      <c r="BC1976" s="2859"/>
      <c r="BD1976" s="2859"/>
      <c r="BE1976" s="2859"/>
      <c r="BF1976" s="2859"/>
      <c r="BG1976" s="2859"/>
      <c r="BH1976" s="2859"/>
      <c r="BI1976" s="2859"/>
      <c r="BJ1976" s="2859"/>
      <c r="BK1976" s="2859"/>
      <c r="BL1976" s="2859"/>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4995"/>
      <c r="C1977" s="2813"/>
      <c r="D1977" s="260"/>
      <c r="E1977" s="2816" t="s">
        <v>1588</v>
      </c>
      <c r="F1977" s="218">
        <v>0</v>
      </c>
      <c r="G1977" s="218">
        <v>-20</v>
      </c>
      <c r="H1977" s="218">
        <f>COUNTIF(HabilidadesEsenciales_Adquiridas,Tablas!E1977)</f>
        <v>0</v>
      </c>
      <c r="I1977" s="2818"/>
      <c r="J1977" s="422"/>
      <c r="K1977" s="2809"/>
      <c r="M1977" s="1959"/>
      <c r="N1977" s="100"/>
      <c r="O1977" s="468" t="s">
        <v>9964</v>
      </c>
      <c r="P1977" s="2811">
        <v>35</v>
      </c>
      <c r="Q1977" s="575">
        <v>140</v>
      </c>
      <c r="R1977" s="2818">
        <f>COUNTIF(PoderesDeCriatura_Adquiridos,Tablas!O1977)</f>
        <v>0</v>
      </c>
      <c r="S1977" s="422"/>
      <c r="T1977" s="2809"/>
      <c r="U1977" s="500"/>
      <c r="V1977" s="2868" t="s">
        <v>2965</v>
      </c>
      <c r="W1977" s="2838"/>
      <c r="X1977" s="2340" t="str">
        <f t="shared" si="113"/>
        <v/>
      </c>
      <c r="Y1977" s="2852" t="s">
        <v>8977</v>
      </c>
      <c r="Z1977" s="2859"/>
      <c r="AA1977" s="2859"/>
      <c r="AB1977" s="2859"/>
      <c r="AC1977" s="2859"/>
      <c r="AD1977" s="2859"/>
      <c r="AE1977" s="2859"/>
      <c r="AF1977" s="2859"/>
      <c r="AG1977" s="2859"/>
      <c r="AH1977" s="2859"/>
      <c r="AI1977" s="2859"/>
      <c r="AJ1977" s="2859"/>
      <c r="AK1977" s="2859"/>
      <c r="AL1977" s="2859"/>
      <c r="AM1977" s="2859"/>
      <c r="AN1977" s="2859"/>
      <c r="AO1977" s="2859"/>
      <c r="AP1977" s="2859"/>
      <c r="AQ1977" s="2859"/>
      <c r="AR1977" s="2859"/>
      <c r="AS1977" s="2859"/>
      <c r="AT1977" s="2859"/>
      <c r="AU1977" s="2859"/>
      <c r="AV1977" s="2859"/>
      <c r="AW1977" s="2859"/>
      <c r="AX1977" s="2859"/>
      <c r="AY1977" s="2859"/>
      <c r="AZ1977" s="2859"/>
      <c r="BA1977" s="2859"/>
      <c r="BB1977" s="2859"/>
      <c r="BC1977" s="2859"/>
      <c r="BD1977" s="2859"/>
      <c r="BE1977" s="2859"/>
      <c r="BF1977" s="2859"/>
      <c r="BG1977" s="2859"/>
      <c r="BH1977" s="2859"/>
      <c r="BI1977" s="2859"/>
      <c r="BJ1977" s="2859"/>
      <c r="BK1977" s="2859"/>
      <c r="BL1977" s="2859"/>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4995"/>
      <c r="C1978" s="2813"/>
      <c r="D1978" s="260"/>
      <c r="E1978" s="2816" t="s">
        <v>1589</v>
      </c>
      <c r="F1978" s="218">
        <v>10</v>
      </c>
      <c r="G1978" s="218">
        <v>-10</v>
      </c>
      <c r="H1978" s="218">
        <f>COUNTIF(HabilidadesEsenciales_Adquiridas,Tablas!E1978)</f>
        <v>0</v>
      </c>
      <c r="I1978" s="2818"/>
      <c r="J1978" s="422"/>
      <c r="K1978" s="2809"/>
      <c r="M1978" s="1959"/>
      <c r="N1978" s="100"/>
      <c r="O1978" s="468" t="s">
        <v>9965</v>
      </c>
      <c r="P1978" s="2811">
        <v>10</v>
      </c>
      <c r="Q1978" s="575">
        <v>-20</v>
      </c>
      <c r="R1978" s="2818">
        <f>COUNTIF(PoderesDeCriatura_Adquiridos,Tablas!O1978)</f>
        <v>0</v>
      </c>
      <c r="S1978" s="422"/>
      <c r="T1978" s="2809"/>
      <c r="U1978" s="500"/>
      <c r="V1978" s="2868" t="s">
        <v>2949</v>
      </c>
      <c r="W1978" s="2838"/>
      <c r="X1978" s="2340" t="str">
        <f t="shared" si="113"/>
        <v/>
      </c>
      <c r="Y1978" s="2852" t="s">
        <v>8977</v>
      </c>
      <c r="Z1978" s="2859"/>
      <c r="AA1978" s="2859"/>
      <c r="AB1978" s="2859"/>
      <c r="AC1978" s="2859"/>
      <c r="AD1978" s="2859"/>
      <c r="AE1978" s="2859"/>
      <c r="AF1978" s="2859"/>
      <c r="AG1978" s="2859"/>
      <c r="AH1978" s="2859"/>
      <c r="AI1978" s="2859"/>
      <c r="AJ1978" s="2859"/>
      <c r="AK1978" s="2859"/>
      <c r="AL1978" s="2859"/>
      <c r="AM1978" s="2859"/>
      <c r="AN1978" s="2859"/>
      <c r="AO1978" s="2859"/>
      <c r="AP1978" s="2859"/>
      <c r="AQ1978" s="2859"/>
      <c r="AR1978" s="2859"/>
      <c r="AS1978" s="2859"/>
      <c r="AT1978" s="2859"/>
      <c r="AU1978" s="2859"/>
      <c r="AV1978" s="2859"/>
      <c r="AW1978" s="2859"/>
      <c r="AX1978" s="2859"/>
      <c r="AY1978" s="2859"/>
      <c r="AZ1978" s="2859"/>
      <c r="BA1978" s="2859"/>
      <c r="BB1978" s="2859"/>
      <c r="BC1978" s="2859"/>
      <c r="BD1978" s="2859"/>
      <c r="BE1978" s="2859"/>
      <c r="BF1978" s="2859"/>
      <c r="BG1978" s="2859"/>
      <c r="BH1978" s="2859"/>
      <c r="BI1978" s="2859"/>
      <c r="BJ1978" s="2859"/>
      <c r="BK1978" s="2859"/>
      <c r="BL1978" s="2859"/>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4995"/>
      <c r="C1979" s="2813"/>
      <c r="D1979" s="260"/>
      <c r="E1979" s="2816" t="s">
        <v>1590</v>
      </c>
      <c r="F1979" s="218">
        <v>10</v>
      </c>
      <c r="G1979" s="218">
        <v>-20</v>
      </c>
      <c r="H1979" s="218">
        <f>COUNTIF(HabilidadesEsenciales_Adquiridas,Tablas!E1979)</f>
        <v>0</v>
      </c>
      <c r="I1979" s="2818"/>
      <c r="J1979" s="422"/>
      <c r="K1979" s="2809"/>
      <c r="M1979" s="1959"/>
      <c r="N1979" s="100"/>
      <c r="O1979" s="468" t="s">
        <v>1624</v>
      </c>
      <c r="P1979" s="2811"/>
      <c r="Q1979" s="575"/>
      <c r="R1979" s="2818"/>
      <c r="S1979" s="422"/>
      <c r="T1979" s="2809"/>
      <c r="U1979" s="500"/>
      <c r="V1979" s="2868" t="s">
        <v>2844</v>
      </c>
      <c r="W1979" s="2838"/>
      <c r="X1979" s="2340" t="str">
        <f t="shared" si="113"/>
        <v/>
      </c>
      <c r="Y1979" s="2852" t="s">
        <v>8977</v>
      </c>
      <c r="Z1979" s="2859"/>
      <c r="AA1979" s="2859"/>
      <c r="AB1979" s="2859"/>
      <c r="AC1979" s="2859"/>
      <c r="AD1979" s="2859"/>
      <c r="AE1979" s="2859"/>
      <c r="AF1979" s="2859"/>
      <c r="AG1979" s="2859"/>
      <c r="AH1979" s="2859"/>
      <c r="AI1979" s="2859"/>
      <c r="AJ1979" s="2859"/>
      <c r="AK1979" s="2859"/>
      <c r="AL1979" s="2859"/>
      <c r="AM1979" s="2859"/>
      <c r="AN1979" s="2859"/>
      <c r="AO1979" s="2859"/>
      <c r="AP1979" s="2859"/>
      <c r="AQ1979" s="2859"/>
      <c r="AR1979" s="2859"/>
      <c r="AS1979" s="2859"/>
      <c r="AT1979" s="2859"/>
      <c r="AU1979" s="2859"/>
      <c r="AV1979" s="2859"/>
      <c r="AW1979" s="2859"/>
      <c r="AX1979" s="2859"/>
      <c r="AY1979" s="2859"/>
      <c r="AZ1979" s="2859"/>
      <c r="BA1979" s="2859"/>
      <c r="BB1979" s="2859"/>
      <c r="BC1979" s="2859"/>
      <c r="BD1979" s="2859"/>
      <c r="BE1979" s="2859"/>
      <c r="BF1979" s="2859"/>
      <c r="BG1979" s="2859"/>
      <c r="BH1979" s="2859"/>
      <c r="BI1979" s="2859"/>
      <c r="BJ1979" s="2859"/>
      <c r="BK1979" s="2859"/>
      <c r="BL1979" s="2859"/>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4995"/>
      <c r="C1980" s="2813"/>
      <c r="D1980" s="260"/>
      <c r="E1980" s="2816" t="s">
        <v>1591</v>
      </c>
      <c r="F1980" s="218">
        <v>0</v>
      </c>
      <c r="G1980" s="218">
        <v>-10</v>
      </c>
      <c r="H1980" s="218">
        <f>COUNTIF(HabilidadesEsenciales_Adquiridas,Tablas!E1980)</f>
        <v>0</v>
      </c>
      <c r="I1980" s="2818"/>
      <c r="J1980" s="422"/>
      <c r="K1980" s="2809"/>
      <c r="M1980" s="1959"/>
      <c r="N1980" s="100"/>
      <c r="O1980" s="468" t="s">
        <v>9966</v>
      </c>
      <c r="P1980" s="2811">
        <v>0</v>
      </c>
      <c r="Q1980" s="575">
        <v>10</v>
      </c>
      <c r="R1980" s="2818">
        <f>COUNTIF(PoderesDeCriatura_Adquiridos,Tablas!O1980)</f>
        <v>0</v>
      </c>
      <c r="S1980" s="422">
        <f t="array" ref="S1980">IF(OR(R$1986=1,R$1987=1),0,MAX({10;20;30;40;50}*$R$1980:$R$1984))</f>
        <v>0</v>
      </c>
      <c r="T1980" s="2809" t="s">
        <v>1772</v>
      </c>
      <c r="U1980" s="500"/>
      <c r="V1980" s="2868" t="s">
        <v>1601</v>
      </c>
      <c r="W1980" s="2838"/>
      <c r="X1980" s="2340" t="str">
        <f t="shared" si="113"/>
        <v/>
      </c>
      <c r="Y1980" s="2852" t="s">
        <v>8977</v>
      </c>
      <c r="Z1980" s="2859"/>
      <c r="AA1980" s="2859"/>
      <c r="AB1980" s="2859"/>
      <c r="AC1980" s="2859"/>
      <c r="AD1980" s="2859"/>
      <c r="AE1980" s="2859"/>
      <c r="AF1980" s="2859"/>
      <c r="AG1980" s="2859"/>
      <c r="AH1980" s="2859"/>
      <c r="AI1980" s="2859"/>
      <c r="AJ1980" s="2859"/>
      <c r="AK1980" s="2859"/>
      <c r="AL1980" s="2859"/>
      <c r="AM1980" s="2859"/>
      <c r="AN1980" s="2859"/>
      <c r="AO1980" s="2859"/>
      <c r="AP1980" s="2859"/>
      <c r="AQ1980" s="2859"/>
      <c r="AR1980" s="2859"/>
      <c r="AS1980" s="2859"/>
      <c r="AT1980" s="2859"/>
      <c r="AU1980" s="2859"/>
      <c r="AV1980" s="2859"/>
      <c r="AW1980" s="2859"/>
      <c r="AX1980" s="2859"/>
      <c r="AY1980" s="2859"/>
      <c r="AZ1980" s="2859"/>
      <c r="BA1980" s="2859"/>
      <c r="BB1980" s="2859"/>
      <c r="BC1980" s="2859"/>
      <c r="BD1980" s="2859"/>
      <c r="BE1980" s="2859"/>
      <c r="BF1980" s="2859"/>
      <c r="BG1980" s="2859"/>
      <c r="BH1980" s="2859"/>
      <c r="BI1980" s="2859"/>
      <c r="BJ1980" s="2859"/>
      <c r="BK1980" s="2859"/>
      <c r="BL1980" s="2859"/>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4995"/>
      <c r="C1981" s="2813"/>
      <c r="D1981" s="260"/>
      <c r="E1981" s="2816" t="s">
        <v>2897</v>
      </c>
      <c r="F1981" s="218">
        <v>0</v>
      </c>
      <c r="G1981" s="218">
        <v>-20</v>
      </c>
      <c r="H1981" s="218">
        <f>COUNTIF(HabilidadesEsenciales_Adquiridas,Tablas!E1981)</f>
        <v>0</v>
      </c>
      <c r="I1981" s="2818"/>
      <c r="J1981" s="422"/>
      <c r="K1981" s="2809"/>
      <c r="M1981" s="1959"/>
      <c r="N1981" s="100"/>
      <c r="O1981" s="468" t="s">
        <v>9967</v>
      </c>
      <c r="P1981" s="2811">
        <v>0</v>
      </c>
      <c r="Q1981" s="575">
        <v>20</v>
      </c>
      <c r="R1981" s="2818">
        <f>COUNTIF(PoderesDeCriatura_Adquiridos,Tablas!O1981)</f>
        <v>0</v>
      </c>
      <c r="S1981" s="422">
        <f t="array" ref="S1981">IF(OR(R$1985=1,R$1987=1),0,MAX({10;20;30;40;50}*$R$1980:$R$1984))</f>
        <v>0</v>
      </c>
      <c r="T1981" s="2809" t="s">
        <v>1774</v>
      </c>
      <c r="U1981" s="500"/>
      <c r="V1981" s="2868" t="s">
        <v>2801</v>
      </c>
      <c r="W1981" s="2838"/>
      <c r="X1981" s="2340" t="str">
        <f t="shared" si="113"/>
        <v/>
      </c>
      <c r="Y1981" s="2852" t="s">
        <v>8977</v>
      </c>
      <c r="Z1981" s="2859"/>
      <c r="AA1981" s="2859"/>
      <c r="AB1981" s="2859"/>
      <c r="AC1981" s="2859"/>
      <c r="AD1981" s="2859"/>
      <c r="AE1981" s="2859"/>
      <c r="AF1981" s="2859"/>
      <c r="AG1981" s="2859"/>
      <c r="AH1981" s="2859"/>
      <c r="AI1981" s="2859"/>
      <c r="AJ1981" s="2859"/>
      <c r="AK1981" s="2859"/>
      <c r="AL1981" s="2859"/>
      <c r="AM1981" s="2859"/>
      <c r="AN1981" s="2859"/>
      <c r="AO1981" s="2859"/>
      <c r="AP1981" s="2859"/>
      <c r="AQ1981" s="2859"/>
      <c r="AR1981" s="2859"/>
      <c r="AS1981" s="2859"/>
      <c r="AT1981" s="2859"/>
      <c r="AU1981" s="2859"/>
      <c r="AV1981" s="2859"/>
      <c r="AW1981" s="2859"/>
      <c r="AX1981" s="2859"/>
      <c r="AY1981" s="2859"/>
      <c r="AZ1981" s="2859"/>
      <c r="BA1981" s="2859"/>
      <c r="BB1981" s="2859"/>
      <c r="BC1981" s="2859"/>
      <c r="BD1981" s="2859"/>
      <c r="BE1981" s="2859"/>
      <c r="BF1981" s="2859"/>
      <c r="BG1981" s="2859"/>
      <c r="BH1981" s="2859"/>
      <c r="BI1981" s="2859"/>
      <c r="BJ1981" s="2859"/>
      <c r="BK1981" s="2859"/>
      <c r="BL1981" s="2859"/>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4995"/>
      <c r="C1982" s="2813"/>
      <c r="D1982" s="260"/>
      <c r="E1982" s="2816" t="s">
        <v>1592</v>
      </c>
      <c r="F1982" s="218">
        <v>0</v>
      </c>
      <c r="G1982" s="218">
        <v>-10</v>
      </c>
      <c r="H1982" s="218">
        <f>COUNTIF(HabilidadesEsenciales_Adquiridas,Tablas!E1982)</f>
        <v>0</v>
      </c>
      <c r="I1982" s="2818"/>
      <c r="J1982" s="422"/>
      <c r="K1982" s="2809"/>
      <c r="M1982" s="1959"/>
      <c r="N1982" s="100"/>
      <c r="O1982" s="468" t="s">
        <v>9968</v>
      </c>
      <c r="P1982" s="2811">
        <v>10</v>
      </c>
      <c r="Q1982" s="575">
        <v>30</v>
      </c>
      <c r="R1982" s="2818">
        <f>COUNTIF(PoderesDeCriatura_Adquiridos,Tablas!O1982)</f>
        <v>0</v>
      </c>
      <c r="S1982" s="422">
        <f t="array" ref="S1982">IF(OR(R$1986=1,R$1985=1),0,MAX({10;20;30;40;50}*$R$1980:$R$1984))</f>
        <v>0</v>
      </c>
      <c r="T1982" s="2809" t="s">
        <v>1776</v>
      </c>
      <c r="U1982" s="500"/>
      <c r="V1982" s="2868" t="s">
        <v>2938</v>
      </c>
      <c r="W1982" s="2838"/>
      <c r="X1982" s="2340" t="str">
        <f t="shared" si="113"/>
        <v/>
      </c>
      <c r="Y1982" s="2852" t="s">
        <v>8977</v>
      </c>
      <c r="Z1982" s="2859"/>
      <c r="AA1982" s="2859"/>
      <c r="AB1982" s="2859"/>
      <c r="AC1982" s="2859"/>
      <c r="AD1982" s="2859"/>
      <c r="AE1982" s="2859"/>
      <c r="AF1982" s="2859"/>
      <c r="AG1982" s="2859"/>
      <c r="AH1982" s="2859"/>
      <c r="AI1982" s="2859"/>
      <c r="AJ1982" s="2859"/>
      <c r="AK1982" s="2859"/>
      <c r="AL1982" s="2859"/>
      <c r="AM1982" s="2859"/>
      <c r="AN1982" s="2859"/>
      <c r="AO1982" s="2859"/>
      <c r="AP1982" s="2859"/>
      <c r="AQ1982" s="2859"/>
      <c r="AR1982" s="2859"/>
      <c r="AS1982" s="2859"/>
      <c r="AT1982" s="2859"/>
      <c r="AU1982" s="2859"/>
      <c r="AV1982" s="2859"/>
      <c r="AW1982" s="2859"/>
      <c r="AX1982" s="2859"/>
      <c r="AY1982" s="2859"/>
      <c r="AZ1982" s="2859"/>
      <c r="BA1982" s="2859"/>
      <c r="BB1982" s="2859"/>
      <c r="BC1982" s="2859"/>
      <c r="BD1982" s="2859"/>
      <c r="BE1982" s="2859"/>
      <c r="BF1982" s="2859"/>
      <c r="BG1982" s="2859"/>
      <c r="BH1982" s="2859"/>
      <c r="BI1982" s="2859"/>
      <c r="BJ1982" s="2859"/>
      <c r="BK1982" s="2859"/>
      <c r="BL1982" s="2859"/>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4995"/>
      <c r="C1983" s="2813"/>
      <c r="D1983" s="260"/>
      <c r="E1983" s="2816" t="s">
        <v>1593</v>
      </c>
      <c r="F1983" s="218">
        <v>10</v>
      </c>
      <c r="G1983" s="218">
        <v>-20</v>
      </c>
      <c r="H1983" s="218">
        <f>COUNTIF(HabilidadesEsenciales_Adquiridas,Tablas!E1983)</f>
        <v>0</v>
      </c>
      <c r="I1983" s="2818"/>
      <c r="J1983" s="422"/>
      <c r="K1983" s="2809"/>
      <c r="M1983" s="1959"/>
      <c r="N1983" s="100"/>
      <c r="O1983" s="468" t="s">
        <v>9969</v>
      </c>
      <c r="P1983" s="2811">
        <v>20</v>
      </c>
      <c r="Q1983" s="575">
        <v>40</v>
      </c>
      <c r="R1983" s="2818">
        <f>COUNTIF(PoderesDeCriatura_Adquiridos,Tablas!O1983)</f>
        <v>0</v>
      </c>
      <c r="S1983" s="422"/>
      <c r="T1983" s="2809"/>
      <c r="U1983" s="500"/>
      <c r="V1983" s="2868" t="s">
        <v>1604</v>
      </c>
      <c r="W1983" s="2838"/>
      <c r="X1983" s="2340" t="str">
        <f t="shared" si="113"/>
        <v/>
      </c>
      <c r="Y1983" s="2852" t="s">
        <v>8977</v>
      </c>
      <c r="Z1983" s="2859"/>
      <c r="AA1983" s="2859"/>
      <c r="AB1983" s="2859"/>
      <c r="AC1983" s="2859"/>
      <c r="AD1983" s="2859"/>
      <c r="AE1983" s="2859"/>
      <c r="AF1983" s="2859"/>
      <c r="AG1983" s="2859"/>
      <c r="AH1983" s="2859"/>
      <c r="AI1983" s="2859"/>
      <c r="AJ1983" s="2859"/>
      <c r="AK1983" s="2859"/>
      <c r="AL1983" s="2859"/>
      <c r="AM1983" s="2859"/>
      <c r="AN1983" s="2859"/>
      <c r="AO1983" s="2859"/>
      <c r="AP1983" s="2859"/>
      <c r="AQ1983" s="2859"/>
      <c r="AR1983" s="2859"/>
      <c r="AS1983" s="2859"/>
      <c r="AT1983" s="2859"/>
      <c r="AU1983" s="2859"/>
      <c r="AV1983" s="2859"/>
      <c r="AW1983" s="2859"/>
      <c r="AX1983" s="2859"/>
      <c r="AY1983" s="2859"/>
      <c r="AZ1983" s="2859"/>
      <c r="BA1983" s="2859"/>
      <c r="BB1983" s="2859"/>
      <c r="BC1983" s="2859"/>
      <c r="BD1983" s="2859"/>
      <c r="BE1983" s="2859"/>
      <c r="BF1983" s="2859"/>
      <c r="BG1983" s="2859"/>
      <c r="BH1983" s="2859"/>
      <c r="BI1983" s="2859"/>
      <c r="BJ1983" s="2859"/>
      <c r="BK1983" s="2859"/>
      <c r="BL1983" s="2859"/>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4995"/>
      <c r="C1984" s="2813"/>
      <c r="D1984" s="260"/>
      <c r="E1984" s="2816" t="s">
        <v>9458</v>
      </c>
      <c r="F1984" s="218">
        <v>20</v>
      </c>
      <c r="G1984" s="218">
        <v>-10</v>
      </c>
      <c r="H1984" s="218">
        <f>COUNTIF(HabilidadesEsenciales_Adquiridas,Tablas!E1984)</f>
        <v>0</v>
      </c>
      <c r="I1984" s="2818"/>
      <c r="J1984" s="422"/>
      <c r="K1984" s="2809"/>
      <c r="M1984" s="1959"/>
      <c r="N1984" s="100"/>
      <c r="O1984" s="468" t="s">
        <v>9970</v>
      </c>
      <c r="P1984" s="2811">
        <v>30</v>
      </c>
      <c r="Q1984" s="575">
        <v>50</v>
      </c>
      <c r="R1984" s="2818">
        <f>COUNTIF(PoderesDeCriatura_Adquiridos,Tablas!O1984)</f>
        <v>0</v>
      </c>
      <c r="S1984" s="422"/>
      <c r="T1984" s="2809"/>
      <c r="U1984" s="500"/>
      <c r="V1984" s="2868" t="s">
        <v>1605</v>
      </c>
      <c r="W1984" s="2838"/>
      <c r="X1984" s="2340" t="str">
        <f t="shared" si="113"/>
        <v/>
      </c>
      <c r="Y1984" s="2852" t="s">
        <v>8977</v>
      </c>
      <c r="Z1984" s="2859"/>
      <c r="AA1984" s="2859"/>
      <c r="AB1984" s="2859"/>
      <c r="AC1984" s="2859"/>
      <c r="AD1984" s="2859"/>
      <c r="AE1984" s="2859"/>
      <c r="AF1984" s="2859"/>
      <c r="AG1984" s="2859"/>
      <c r="AH1984" s="2859"/>
      <c r="AI1984" s="2859"/>
      <c r="AJ1984" s="2859"/>
      <c r="AK1984" s="2859"/>
      <c r="AL1984" s="2859"/>
      <c r="AM1984" s="2859"/>
      <c r="AN1984" s="2859"/>
      <c r="AO1984" s="2859"/>
      <c r="AP1984" s="2859"/>
      <c r="AQ1984" s="2859"/>
      <c r="AR1984" s="2859"/>
      <c r="AS1984" s="2859"/>
      <c r="AT1984" s="2859"/>
      <c r="AU1984" s="2859"/>
      <c r="AV1984" s="2859"/>
      <c r="AW1984" s="2859"/>
      <c r="AX1984" s="2859"/>
      <c r="AY1984" s="2859"/>
      <c r="AZ1984" s="2859"/>
      <c r="BA1984" s="2859"/>
      <c r="BB1984" s="2859"/>
      <c r="BC1984" s="2859"/>
      <c r="BD1984" s="2859"/>
      <c r="BE1984" s="2859"/>
      <c r="BF1984" s="2859"/>
      <c r="BG1984" s="2859"/>
      <c r="BH1984" s="2859"/>
      <c r="BI1984" s="2859"/>
      <c r="BJ1984" s="2859"/>
      <c r="BK1984" s="2859"/>
      <c r="BL1984" s="2859"/>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4995"/>
      <c r="C1985" s="2813"/>
      <c r="D1985" s="68"/>
      <c r="E1985" s="2816" t="s">
        <v>9459</v>
      </c>
      <c r="F1985" s="218">
        <v>20</v>
      </c>
      <c r="G1985" s="218">
        <v>-20</v>
      </c>
      <c r="H1985" s="218">
        <f>COUNTIF(HabilidadesEsenciales_Adquiridas,Tablas!E1985)</f>
        <v>0</v>
      </c>
      <c r="I1985" s="2818"/>
      <c r="J1985" s="422"/>
      <c r="K1985" s="2809"/>
      <c r="M1985" s="1959"/>
      <c r="N1985" s="100"/>
      <c r="O1985" s="468" t="s">
        <v>9971</v>
      </c>
      <c r="P1985" s="2811">
        <v>10</v>
      </c>
      <c r="Q1985" s="575">
        <v>-20</v>
      </c>
      <c r="R1985" s="2818">
        <f>COUNTIF(PoderesDeCriatura_Adquiridos,Tablas!O1985)</f>
        <v>0</v>
      </c>
      <c r="S1985" s="422"/>
      <c r="T1985" s="2809"/>
      <c r="U1985" s="500"/>
      <c r="V1985" s="2868" t="s">
        <v>1606</v>
      </c>
      <c r="W1985" s="2838"/>
      <c r="X1985" s="2340" t="str">
        <f t="shared" si="113"/>
        <v/>
      </c>
      <c r="Y1985" s="2852" t="s">
        <v>8977</v>
      </c>
      <c r="Z1985" s="2859"/>
      <c r="AA1985" s="2859"/>
      <c r="AB1985" s="2859"/>
      <c r="AC1985" s="2859"/>
      <c r="AD1985" s="2859"/>
      <c r="AE1985" s="2859"/>
      <c r="AF1985" s="2859"/>
      <c r="AG1985" s="2859"/>
      <c r="AH1985" s="2859"/>
      <c r="AI1985" s="2859"/>
      <c r="AJ1985" s="2859"/>
      <c r="AK1985" s="2859"/>
      <c r="AL1985" s="2859"/>
      <c r="AM1985" s="2859"/>
      <c r="AN1985" s="2859"/>
      <c r="AO1985" s="2859"/>
      <c r="AP1985" s="2859"/>
      <c r="AQ1985" s="2859"/>
      <c r="AR1985" s="2859"/>
      <c r="AS1985" s="2859"/>
      <c r="AT1985" s="2859"/>
      <c r="AU1985" s="2859"/>
      <c r="AV1985" s="2859"/>
      <c r="AW1985" s="2859"/>
      <c r="AX1985" s="2859"/>
      <c r="AY1985" s="2859"/>
      <c r="AZ1985" s="2859"/>
      <c r="BA1985" s="2859"/>
      <c r="BB1985" s="2859"/>
      <c r="BC1985" s="2859"/>
      <c r="BD1985" s="2859"/>
      <c r="BE1985" s="2859"/>
      <c r="BF1985" s="2859"/>
      <c r="BG1985" s="2859"/>
      <c r="BH1985" s="2859"/>
      <c r="BI1985" s="2859"/>
      <c r="BJ1985" s="2859"/>
      <c r="BK1985" s="2859"/>
      <c r="BL1985" s="2859"/>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4995"/>
      <c r="C1986" s="2813"/>
      <c r="D1986" s="260"/>
      <c r="E1986" s="2816" t="s">
        <v>1594</v>
      </c>
      <c r="F1986" s="218">
        <v>10</v>
      </c>
      <c r="G1986" s="218">
        <v>-20</v>
      </c>
      <c r="H1986" s="218">
        <f>COUNTIF(HabilidadesEsenciales_Adquiridas,Tablas!E1986)</f>
        <v>0</v>
      </c>
      <c r="I1986" s="2818"/>
      <c r="J1986" s="422"/>
      <c r="K1986" s="2809"/>
      <c r="M1986" s="1959"/>
      <c r="N1986" s="100"/>
      <c r="O1986" s="468" t="s">
        <v>9972</v>
      </c>
      <c r="P1986" s="2811">
        <v>10</v>
      </c>
      <c r="Q1986" s="575">
        <v>-20</v>
      </c>
      <c r="R1986" s="2818">
        <f>COUNTIF(PoderesDeCriatura_Adquiridos,Tablas!O1986)</f>
        <v>0</v>
      </c>
      <c r="S1986" s="422"/>
      <c r="T1986" s="2809"/>
      <c r="U1986" s="500"/>
      <c r="V1986" s="2868" t="s">
        <v>1607</v>
      </c>
      <c r="W1986" s="2838"/>
      <c r="X1986" s="2340"/>
      <c r="Y1986" s="2852" t="s">
        <v>8977</v>
      </c>
      <c r="Z1986" s="2859"/>
      <c r="AA1986" s="2859"/>
      <c r="AB1986" s="2859"/>
      <c r="AC1986" s="2859"/>
      <c r="AD1986" s="2859"/>
      <c r="AE1986" s="2859"/>
      <c r="AF1986" s="2859"/>
      <c r="AG1986" s="2859"/>
      <c r="AH1986" s="2859"/>
      <c r="AI1986" s="2859"/>
      <c r="AJ1986" s="2859"/>
      <c r="AK1986" s="2859"/>
      <c r="AL1986" s="2859"/>
      <c r="AM1986" s="2859"/>
      <c r="AN1986" s="2859"/>
      <c r="AO1986" s="2859"/>
      <c r="AP1986" s="2859"/>
      <c r="AQ1986" s="2859"/>
      <c r="AR1986" s="2859"/>
      <c r="AS1986" s="2859"/>
      <c r="AT1986" s="2859"/>
      <c r="AU1986" s="2859"/>
      <c r="AV1986" s="2859"/>
      <c r="AW1986" s="2859"/>
      <c r="AX1986" s="2859"/>
      <c r="AY1986" s="2859"/>
      <c r="AZ1986" s="2859"/>
      <c r="BA1986" s="2859"/>
      <c r="BB1986" s="2859"/>
      <c r="BC1986" s="2859"/>
      <c r="BD1986" s="2859"/>
      <c r="BE1986" s="2859"/>
      <c r="BF1986" s="2859"/>
      <c r="BG1986" s="2859"/>
      <c r="BH1986" s="2859"/>
      <c r="BI1986" s="2859"/>
      <c r="BJ1986" s="2859"/>
      <c r="BK1986" s="2859"/>
      <c r="BL1986" s="2859"/>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4995"/>
      <c r="C1987" s="2813"/>
      <c r="D1987" s="260"/>
      <c r="E1987" s="2816" t="s">
        <v>1595</v>
      </c>
      <c r="F1987" s="218">
        <v>0</v>
      </c>
      <c r="G1987" s="218">
        <v>0</v>
      </c>
      <c r="H1987" s="218"/>
      <c r="I1987" s="2818"/>
      <c r="J1987" s="422"/>
      <c r="K1987" s="2809"/>
      <c r="M1987" s="1959"/>
      <c r="N1987" s="100"/>
      <c r="O1987" s="468" t="s">
        <v>9973</v>
      </c>
      <c r="P1987" s="2811">
        <v>10</v>
      </c>
      <c r="Q1987" s="575">
        <v>-20</v>
      </c>
      <c r="R1987" s="2818">
        <f>COUNTIF(PoderesDeCriatura_Adquiridos,Tablas!O1987)</f>
        <v>0</v>
      </c>
      <c r="S1987" s="422"/>
      <c r="T1987" s="2809"/>
      <c r="U1987" s="500"/>
      <c r="V1987" s="2868" t="str">
        <f>$E2014</f>
        <v>Habilidad #1</v>
      </c>
      <c r="W1987" s="2838"/>
      <c r="X1987" s="2340"/>
      <c r="Y1987" s="2859"/>
      <c r="Z1987" s="2859"/>
      <c r="AA1987" s="2859"/>
      <c r="AB1987" s="2859"/>
      <c r="AC1987" s="2859"/>
      <c r="AD1987" s="2859"/>
      <c r="AE1987" s="2859"/>
      <c r="AF1987" s="2859"/>
      <c r="AG1987" s="2859"/>
      <c r="AH1987" s="2859"/>
      <c r="AI1987" s="2859"/>
      <c r="AJ1987" s="2859"/>
      <c r="AK1987" s="2859"/>
      <c r="AL1987" s="2859"/>
      <c r="AM1987" s="2859"/>
      <c r="AN1987" s="2859"/>
      <c r="AO1987" s="2859"/>
      <c r="AP1987" s="2859"/>
      <c r="AQ1987" s="2859"/>
      <c r="AR1987" s="2859"/>
      <c r="AS1987" s="2859"/>
      <c r="AT1987" s="2859"/>
      <c r="AU1987" s="2859"/>
      <c r="AV1987" s="2859"/>
      <c r="AW1987" s="2859"/>
      <c r="AX1987" s="2859"/>
      <c r="AY1987" s="2859"/>
      <c r="AZ1987" s="2859"/>
      <c r="BA1987" s="2859"/>
      <c r="BB1987" s="2859"/>
      <c r="BC1987" s="2859"/>
      <c r="BD1987" s="2859"/>
      <c r="BE1987" s="2859"/>
      <c r="BF1987" s="2859"/>
      <c r="BG1987" s="2859"/>
      <c r="BH1987" s="2859"/>
      <c r="BI1987" s="2859"/>
      <c r="BJ1987" s="2859"/>
      <c r="BK1987" s="2859"/>
      <c r="BL1987" s="2859"/>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4995"/>
      <c r="C1988" s="2813"/>
      <c r="D1988" s="260"/>
      <c r="E1988" s="2816" t="s">
        <v>2908</v>
      </c>
      <c r="F1988" s="218">
        <v>5</v>
      </c>
      <c r="G1988" s="218">
        <v>-10</v>
      </c>
      <c r="H1988" s="218">
        <f>COUNTIF(HabilidadesEsenciales_Adquiridas,Tablas!E1988)</f>
        <v>0</v>
      </c>
      <c r="I1988" s="2818"/>
      <c r="J1988" s="422"/>
      <c r="K1988" s="2809"/>
      <c r="M1988" s="1959"/>
      <c r="N1988" s="100"/>
      <c r="O1988" s="468" t="s">
        <v>9974</v>
      </c>
      <c r="P1988" s="2811">
        <v>10</v>
      </c>
      <c r="Q1988" s="575">
        <v>10</v>
      </c>
      <c r="R1988" s="2818">
        <f>COUNTIF(PoderesDeCriatura_Adquiridos,Tablas!O1988)</f>
        <v>0</v>
      </c>
      <c r="S1988" s="422">
        <f t="array" ref="S1988">MAX(R1988:R1997*{10;20;30;40;50;-10;-20;-30;-40;-50})</f>
        <v>0</v>
      </c>
      <c r="T1988" s="2809" t="s">
        <v>1780</v>
      </c>
      <c r="U1988" s="500"/>
      <c r="V1988" s="2868" t="str">
        <f>$E$2015</f>
        <v>Habilidad #1</v>
      </c>
      <c r="W1988" s="2838"/>
      <c r="X1988" s="2340"/>
      <c r="Y1988" s="2859"/>
      <c r="Z1988" s="2859"/>
      <c r="AA1988" s="2859"/>
      <c r="AB1988" s="2859"/>
      <c r="AC1988" s="2859"/>
      <c r="AD1988" s="2859"/>
      <c r="AE1988" s="2859"/>
      <c r="AF1988" s="2859"/>
      <c r="AG1988" s="2859"/>
      <c r="AH1988" s="2859"/>
      <c r="AI1988" s="2859"/>
      <c r="AJ1988" s="2859"/>
      <c r="AK1988" s="2859"/>
      <c r="AL1988" s="2859"/>
      <c r="AM1988" s="2859"/>
      <c r="AN1988" s="2859"/>
      <c r="AO1988" s="2859"/>
      <c r="AP1988" s="2859"/>
      <c r="AQ1988" s="2859"/>
      <c r="AR1988" s="2859"/>
      <c r="AS1988" s="2859"/>
      <c r="AT1988" s="2859"/>
      <c r="AU1988" s="2859"/>
      <c r="AV1988" s="2859"/>
      <c r="AW1988" s="2859"/>
      <c r="AX1988" s="2859"/>
      <c r="AY1988" s="2859"/>
      <c r="AZ1988" s="2859"/>
      <c r="BA1988" s="2859"/>
      <c r="BB1988" s="2859"/>
      <c r="BC1988" s="2859"/>
      <c r="BD1988" s="2859"/>
      <c r="BE1988" s="2859"/>
      <c r="BF1988" s="2859"/>
      <c r="BG1988" s="2859"/>
      <c r="BH1988" s="2859"/>
      <c r="BI1988" s="2859"/>
      <c r="BJ1988" s="2859"/>
      <c r="BK1988" s="2859"/>
      <c r="BL1988" s="2859"/>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4995"/>
      <c r="C1989" s="2813"/>
      <c r="D1989" s="260"/>
      <c r="E1989" s="2816" t="s">
        <v>2909</v>
      </c>
      <c r="F1989" s="218">
        <v>5</v>
      </c>
      <c r="G1989" s="218">
        <v>-10</v>
      </c>
      <c r="H1989" s="218">
        <f>COUNTIF(HabilidadesEsenciales_Adquiridas,Tablas!E1989)</f>
        <v>0</v>
      </c>
      <c r="I1989" s="2818"/>
      <c r="J1989" s="422"/>
      <c r="K1989" s="2809"/>
      <c r="M1989" s="1959"/>
      <c r="N1989" s="100"/>
      <c r="O1989" s="468" t="s">
        <v>9975</v>
      </c>
      <c r="P1989" s="2811">
        <v>15</v>
      </c>
      <c r="Q1989" s="575">
        <v>20</v>
      </c>
      <c r="R1989" s="2818">
        <f>COUNTIF(PoderesDeCriatura_Adquiridos,Tablas!O1989)</f>
        <v>0</v>
      </c>
      <c r="S1989" s="422"/>
      <c r="T1989" s="2809"/>
      <c r="U1989" s="500"/>
      <c r="V1989" s="2868" t="str">
        <f>$E$2016</f>
        <v>Habilidad #1</v>
      </c>
      <c r="W1989" s="2838"/>
      <c r="X1989" s="2340"/>
      <c r="Y1989" s="2859"/>
      <c r="Z1989" s="2859"/>
      <c r="AA1989" s="2859"/>
      <c r="AB1989" s="2859"/>
      <c r="AC1989" s="2859"/>
      <c r="AD1989" s="2859"/>
      <c r="AE1989" s="2859"/>
      <c r="AF1989" s="2859"/>
      <c r="AG1989" s="2859"/>
      <c r="AH1989" s="2859"/>
      <c r="AI1989" s="2859"/>
      <c r="AJ1989" s="2859"/>
      <c r="AK1989" s="2859"/>
      <c r="AL1989" s="2859"/>
      <c r="AM1989" s="2859"/>
      <c r="AN1989" s="2859"/>
      <c r="AO1989" s="2859"/>
      <c r="AP1989" s="2859"/>
      <c r="AQ1989" s="2859"/>
      <c r="AR1989" s="2859"/>
      <c r="AS1989" s="2859"/>
      <c r="AT1989" s="2859"/>
      <c r="AU1989" s="2859"/>
      <c r="AV1989" s="2859"/>
      <c r="AW1989" s="2859"/>
      <c r="AX1989" s="2859"/>
      <c r="AY1989" s="2859"/>
      <c r="AZ1989" s="2859"/>
      <c r="BA1989" s="2859"/>
      <c r="BB1989" s="2859"/>
      <c r="BC1989" s="2859"/>
      <c r="BD1989" s="2859"/>
      <c r="BE1989" s="2859"/>
      <c r="BF1989" s="2859"/>
      <c r="BG1989" s="2859"/>
      <c r="BH1989" s="2859"/>
      <c r="BI1989" s="2859"/>
      <c r="BJ1989" s="2859"/>
      <c r="BK1989" s="2859"/>
      <c r="BL1989" s="2859"/>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4995"/>
      <c r="C1990" s="2813"/>
      <c r="D1990" s="260"/>
      <c r="E1990" s="2816" t="s">
        <v>1596</v>
      </c>
      <c r="F1990" s="218">
        <v>5</v>
      </c>
      <c r="G1990" s="218">
        <v>-10</v>
      </c>
      <c r="H1990" s="218">
        <f>COUNTIF(HabilidadesEsenciales_Adquiridas,Tablas!E1990)</f>
        <v>0</v>
      </c>
      <c r="I1990" s="2818">
        <v>1</v>
      </c>
      <c r="J1990" s="422"/>
      <c r="K1990" s="2809"/>
      <c r="M1990" s="1959"/>
      <c r="N1990" s="100"/>
      <c r="O1990" s="468" t="s">
        <v>9976</v>
      </c>
      <c r="P1990" s="2811">
        <v>20</v>
      </c>
      <c r="Q1990" s="575">
        <v>30</v>
      </c>
      <c r="R1990" s="2818">
        <f>COUNTIF(PoderesDeCriatura_Adquiridos,Tablas!O1990)</f>
        <v>0</v>
      </c>
      <c r="S1990" s="422"/>
      <c r="T1990" s="2809"/>
      <c r="U1990" s="500"/>
      <c r="V1990" s="2868" t="str">
        <f>$E$2017</f>
        <v>Habilidad #1</v>
      </c>
      <c r="W1990" s="2838"/>
      <c r="X1990" s="2340"/>
      <c r="Y1990" s="2859"/>
      <c r="Z1990" s="2859"/>
      <c r="AA1990" s="2859"/>
      <c r="AB1990" s="2859"/>
      <c r="AC1990" s="2859"/>
      <c r="AD1990" s="2859"/>
      <c r="AE1990" s="2859"/>
      <c r="AF1990" s="2859"/>
      <c r="AG1990" s="2859"/>
      <c r="AH1990" s="2859"/>
      <c r="AI1990" s="2859"/>
      <c r="AJ1990" s="2859"/>
      <c r="AK1990" s="2859"/>
      <c r="AL1990" s="2859"/>
      <c r="AM1990" s="2859"/>
      <c r="AN1990" s="2859"/>
      <c r="AO1990" s="2859"/>
      <c r="AP1990" s="2859"/>
      <c r="AQ1990" s="2859"/>
      <c r="AR1990" s="2859"/>
      <c r="AS1990" s="2859"/>
      <c r="AT1990" s="2859"/>
      <c r="AU1990" s="2859"/>
      <c r="AV1990" s="2859"/>
      <c r="AW1990" s="2859"/>
      <c r="AX1990" s="2859"/>
      <c r="AY1990" s="2859"/>
      <c r="AZ1990" s="2859"/>
      <c r="BA1990" s="2859"/>
      <c r="BB1990" s="2859"/>
      <c r="BC1990" s="2859"/>
      <c r="BD1990" s="2859"/>
      <c r="BE1990" s="2859"/>
      <c r="BF1990" s="2859"/>
      <c r="BG1990" s="2859"/>
      <c r="BH1990" s="2859"/>
      <c r="BI1990" s="2859"/>
      <c r="BJ1990" s="2859"/>
      <c r="BK1990" s="2859"/>
      <c r="BL1990" s="2859"/>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4995"/>
      <c r="C1991" s="2813"/>
      <c r="D1991" s="260"/>
      <c r="E1991" s="2816" t="s">
        <v>2913</v>
      </c>
      <c r="F1991" s="218">
        <v>5</v>
      </c>
      <c r="G1991" s="218">
        <v>-30</v>
      </c>
      <c r="H1991" s="218">
        <f>COUNTIF(HabilidadesEsenciales_Adquiridas,Tablas!E1991)</f>
        <v>0</v>
      </c>
      <c r="I1991" s="2818">
        <v>1</v>
      </c>
      <c r="J1991" s="422"/>
      <c r="K1991" s="2809"/>
      <c r="M1991" s="1959"/>
      <c r="N1991" s="100"/>
      <c r="O1991" s="468" t="s">
        <v>9977</v>
      </c>
      <c r="P1991" s="2811">
        <v>25</v>
      </c>
      <c r="Q1991" s="575">
        <v>40</v>
      </c>
      <c r="R1991" s="2818">
        <f>COUNTIF(PoderesDeCriatura_Adquiridos,Tablas!O1991)</f>
        <v>0</v>
      </c>
      <c r="S1991" s="422"/>
      <c r="T1991" s="2809"/>
      <c r="U1991" s="500"/>
      <c r="V1991" s="2868" t="str">
        <f>$E$2018</f>
        <v>Habilidad #1</v>
      </c>
      <c r="W1991" s="2838"/>
      <c r="X1991" s="2340"/>
      <c r="Y1991" s="2859"/>
      <c r="Z1991" s="2859"/>
      <c r="AA1991" s="2859"/>
      <c r="AB1991" s="2859"/>
      <c r="AC1991" s="2859"/>
      <c r="AD1991" s="2859"/>
      <c r="AE1991" s="2859"/>
      <c r="AF1991" s="2859"/>
      <c r="AG1991" s="2859"/>
      <c r="AH1991" s="2859"/>
      <c r="AI1991" s="2859"/>
      <c r="AJ1991" s="2859"/>
      <c r="AK1991" s="2859"/>
      <c r="AL1991" s="2859"/>
      <c r="AM1991" s="2859"/>
      <c r="AN1991" s="2859"/>
      <c r="AO1991" s="2859"/>
      <c r="AP1991" s="2859"/>
      <c r="AQ1991" s="2859"/>
      <c r="AR1991" s="2859"/>
      <c r="AS1991" s="2859"/>
      <c r="AT1991" s="2859"/>
      <c r="AU1991" s="2859"/>
      <c r="AV1991" s="2859"/>
      <c r="AW1991" s="2859"/>
      <c r="AX1991" s="2859"/>
      <c r="AY1991" s="2859"/>
      <c r="AZ1991" s="2859"/>
      <c r="BA1991" s="2859"/>
      <c r="BB1991" s="2859"/>
      <c r="BC1991" s="2859"/>
      <c r="BD1991" s="2859"/>
      <c r="BE1991" s="2859"/>
      <c r="BF1991" s="2859"/>
      <c r="BG1991" s="2859"/>
      <c r="BH1991" s="2859"/>
      <c r="BI1991" s="2859"/>
      <c r="BJ1991" s="2859"/>
      <c r="BK1991" s="2859"/>
      <c r="BL1991" s="2859"/>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4995"/>
      <c r="C1992" s="2813"/>
      <c r="D1992" s="260"/>
      <c r="E1992" s="2816" t="s">
        <v>2910</v>
      </c>
      <c r="F1992" s="218">
        <v>5</v>
      </c>
      <c r="G1992" s="218">
        <v>-10</v>
      </c>
      <c r="H1992" s="218">
        <f>COUNTIF(HabilidadesEsenciales_Adquiridas,Tablas!E1992)</f>
        <v>0</v>
      </c>
      <c r="I1992" s="2818"/>
      <c r="J1992" s="422"/>
      <c r="K1992" s="2809"/>
      <c r="M1992" s="1959"/>
      <c r="N1992" s="100"/>
      <c r="O1992" s="468" t="s">
        <v>9978</v>
      </c>
      <c r="P1992" s="2811">
        <v>35</v>
      </c>
      <c r="Q1992" s="575">
        <v>50</v>
      </c>
      <c r="R1992" s="2818">
        <f>COUNTIF(PoderesDeCriatura_Adquiridos,Tablas!O1992)</f>
        <v>0</v>
      </c>
      <c r="S1992" s="422"/>
      <c r="T1992" s="2809"/>
      <c r="V1992" s="2874" t="s">
        <v>10273</v>
      </c>
      <c r="W1992" s="2875"/>
      <c r="X1992" s="2876"/>
      <c r="Y1992" s="2876"/>
      <c r="Z1992" s="2877"/>
      <c r="AA1992" s="2877"/>
      <c r="AB1992" s="2875" t="s">
        <v>10272</v>
      </c>
      <c r="AC1992" s="2875"/>
      <c r="AD1992" s="2877"/>
      <c r="AE1992" s="2877"/>
      <c r="AF1992" s="2877"/>
      <c r="AG1992" s="2877"/>
      <c r="AH1992" s="2877"/>
      <c r="AI1992" s="2877"/>
      <c r="AJ1992" s="2877"/>
      <c r="AK1992" s="2877"/>
      <c r="AL1992" s="2877"/>
      <c r="AM1992" s="2877"/>
      <c r="AN1992" s="2877"/>
      <c r="AO1992" s="2877"/>
      <c r="AP1992" s="2877"/>
      <c r="AQ1992" s="2877"/>
      <c r="AR1992" s="2877"/>
      <c r="AS1992" s="2877"/>
      <c r="AT1992" s="2877"/>
      <c r="AU1992" s="2877"/>
      <c r="AV1992" s="2877"/>
      <c r="AW1992" s="2877"/>
      <c r="AX1992" s="2877"/>
      <c r="AY1992" s="2877"/>
      <c r="AZ1992" s="2877"/>
      <c r="BA1992" s="2877"/>
      <c r="BB1992" s="2877"/>
      <c r="BC1992" s="2877"/>
      <c r="BD1992" s="2877"/>
      <c r="BE1992" s="2877"/>
      <c r="BF1992" s="2877"/>
      <c r="BG1992" s="2877"/>
      <c r="BH1992" s="2877"/>
      <c r="BI1992" s="2877"/>
      <c r="BJ1992" s="2877"/>
      <c r="BK1992" s="2877"/>
      <c r="BL1992" s="2877"/>
      <c r="BM1992" s="2877"/>
      <c r="BN1992" s="2877"/>
      <c r="BO1992" s="2877"/>
      <c r="BP1992" s="2877"/>
      <c r="BQ1992" s="2877"/>
      <c r="BR1992" s="2877"/>
      <c r="BS1992" s="2877"/>
      <c r="BT1992" s="2877"/>
      <c r="BU1992" s="2877"/>
      <c r="BV1992" s="2877"/>
      <c r="BW1992" s="2877"/>
      <c r="BX1992" s="2877"/>
      <c r="BY1992" s="2877"/>
      <c r="BZ1992" s="2877"/>
      <c r="CA1992" s="2878"/>
    </row>
    <row r="1993" spans="1:79" ht="12.75" customHeight="1" x14ac:dyDescent="0.2">
      <c r="A1993" s="2029">
        <v>211</v>
      </c>
      <c r="B1993" s="4995"/>
      <c r="C1993" s="2813"/>
      <c r="D1993" s="260"/>
      <c r="E1993" s="2816" t="s">
        <v>1597</v>
      </c>
      <c r="F1993" s="218">
        <v>5</v>
      </c>
      <c r="G1993" s="218">
        <v>-20</v>
      </c>
      <c r="H1993" s="218">
        <f>COUNTIF(HabilidadesEsenciales_Adquiridas,Tablas!E1993)</f>
        <v>0</v>
      </c>
      <c r="I1993" s="2818"/>
      <c r="J1993" s="422"/>
      <c r="K1993" s="2809"/>
      <c r="M1993" s="1959"/>
      <c r="N1993" s="100"/>
      <c r="O1993" s="468" t="s">
        <v>9979</v>
      </c>
      <c r="P1993" s="2811">
        <v>10</v>
      </c>
      <c r="Q1993" s="575">
        <v>-10</v>
      </c>
      <c r="R1993" s="2818">
        <f>COUNTIF(PoderesDeCriatura_Adquiridos,Tablas!O1993)</f>
        <v>0</v>
      </c>
      <c r="S1993" s="422"/>
      <c r="T1993" s="2809"/>
      <c r="V1993" s="500"/>
      <c r="W1993" s="2858"/>
      <c r="X1993" s="2128"/>
      <c r="Y1993" s="2128"/>
      <c r="Z1993" s="500"/>
      <c r="AA1993" s="500"/>
      <c r="AB1993" s="500"/>
      <c r="AC1993" s="2795"/>
    </row>
    <row r="1994" spans="1:79" ht="12.75" customHeight="1" x14ac:dyDescent="0.2">
      <c r="A1994" s="2029">
        <v>211</v>
      </c>
      <c r="B1994" s="4995"/>
      <c r="C1994" s="2813"/>
      <c r="D1994" s="260"/>
      <c r="E1994" s="2816" t="s">
        <v>1598</v>
      </c>
      <c r="F1994" s="218">
        <v>0</v>
      </c>
      <c r="G1994" s="218">
        <v>0</v>
      </c>
      <c r="H1994" s="218"/>
      <c r="I1994" s="2818"/>
      <c r="J1994" s="422"/>
      <c r="K1994" s="2809"/>
      <c r="M1994" s="1959"/>
      <c r="N1994" s="100"/>
      <c r="O1994" s="468" t="s">
        <v>9980</v>
      </c>
      <c r="P1994" s="2811">
        <v>10</v>
      </c>
      <c r="Q1994" s="575">
        <v>-15</v>
      </c>
      <c r="R1994" s="2818">
        <f>COUNTIF(PoderesDeCriatura_Adquiridos,Tablas!O1994)</f>
        <v>0</v>
      </c>
      <c r="S1994" s="422"/>
      <c r="T1994" s="2809"/>
      <c r="V1994" s="500"/>
      <c r="X1994" s="2128"/>
      <c r="Y1994" s="2128"/>
      <c r="Z1994" s="500"/>
      <c r="AA1994" s="500"/>
      <c r="AB1994" s="413"/>
    </row>
    <row r="1995" spans="1:79" ht="12.75" customHeight="1" x14ac:dyDescent="0.2">
      <c r="A1995" s="2029">
        <v>211</v>
      </c>
      <c r="B1995" s="4995"/>
      <c r="C1995" s="2813"/>
      <c r="D1995" s="260"/>
      <c r="E1995" s="2816" t="s">
        <v>2917</v>
      </c>
      <c r="F1995" s="218">
        <v>5</v>
      </c>
      <c r="G1995" s="218">
        <v>-10</v>
      </c>
      <c r="H1995" s="218">
        <f>COUNTIF(HabilidadesEsenciales_Adquiridas,Tablas!E1995)</f>
        <v>0</v>
      </c>
      <c r="I1995" s="2818">
        <v>1</v>
      </c>
      <c r="J1995" s="422"/>
      <c r="K1995" s="2809"/>
      <c r="M1995" s="1959"/>
      <c r="N1995" s="100"/>
      <c r="O1995" s="468" t="s">
        <v>9981</v>
      </c>
      <c r="P1995" s="2811">
        <v>10</v>
      </c>
      <c r="Q1995" s="575">
        <v>-20</v>
      </c>
      <c r="R1995" s="2818">
        <f>COUNTIF(PoderesDeCriatura_Adquiridos,Tablas!O1995)</f>
        <v>0</v>
      </c>
      <c r="S1995" s="422"/>
      <c r="T1995" s="2809"/>
      <c r="V1995" s="500"/>
      <c r="W1995" s="2858"/>
      <c r="X1995" s="2128"/>
      <c r="Y1995" s="2128"/>
      <c r="Z1995" s="500"/>
      <c r="AA1995" s="500"/>
      <c r="AB1995" s="500"/>
      <c r="AC1995" s="2795"/>
      <c r="AF1995" s="2620"/>
      <c r="AG1995" s="2620"/>
      <c r="AH1995" s="2620"/>
      <c r="AI1995" s="2620"/>
      <c r="AJ1995" s="2620"/>
      <c r="AK1995" s="2620"/>
      <c r="AL1995" s="2620"/>
      <c r="AM1995" s="2620"/>
      <c r="AN1995" s="2620"/>
      <c r="AO1995" s="2620"/>
      <c r="AP1995" s="2620"/>
      <c r="AQ1995" s="2620"/>
      <c r="AR1995" s="2620"/>
      <c r="AS1995" s="2620"/>
      <c r="AT1995" s="2620"/>
      <c r="AU1995" s="2620"/>
      <c r="AV1995" s="2620"/>
      <c r="AW1995" s="2620"/>
      <c r="AX1995" s="2620"/>
      <c r="AY1995" s="2620"/>
      <c r="AZ1995" s="2620"/>
      <c r="BA1995" s="2620"/>
      <c r="BB1995" s="2620"/>
      <c r="BC1995" s="2620"/>
      <c r="BD1995" s="2620"/>
      <c r="BE1995" s="2620"/>
      <c r="BF1995" s="2620"/>
      <c r="BG1995" s="2620"/>
      <c r="BH1995" s="2620"/>
      <c r="BI1995" s="2620"/>
      <c r="BJ1995" s="2620"/>
      <c r="BK1995" s="2620"/>
      <c r="BL1995" s="2620"/>
      <c r="BM1995" s="2620"/>
      <c r="BN1995" s="2620"/>
      <c r="BO1995" s="2620"/>
      <c r="BP1995" s="2620"/>
      <c r="BQ1995" s="2620"/>
      <c r="BR1995" s="2620"/>
      <c r="BS1995" s="2620"/>
    </row>
    <row r="1996" spans="1:79" ht="12.75" customHeight="1" x14ac:dyDescent="0.2">
      <c r="A1996" s="2029">
        <v>211</v>
      </c>
      <c r="B1996" s="4995"/>
      <c r="C1996" s="2813"/>
      <c r="D1996" s="260"/>
      <c r="E1996" s="2816" t="s">
        <v>2918</v>
      </c>
      <c r="F1996" s="218">
        <v>5</v>
      </c>
      <c r="G1996" s="218">
        <v>-10</v>
      </c>
      <c r="H1996" s="218">
        <f>COUNTIF(HabilidadesEsenciales_Adquiridas,Tablas!E1996)</f>
        <v>0</v>
      </c>
      <c r="I1996" s="2818"/>
      <c r="J1996" s="422"/>
      <c r="K1996" s="2809"/>
      <c r="M1996" s="1959"/>
      <c r="N1996" s="100"/>
      <c r="O1996" s="468" t="s">
        <v>9982</v>
      </c>
      <c r="P1996" s="2811">
        <v>20</v>
      </c>
      <c r="Q1996" s="575">
        <v>-25</v>
      </c>
      <c r="R1996" s="2818">
        <f>COUNTIF(PoderesDeCriatura_Adquiridos,Tablas!O1996)</f>
        <v>0</v>
      </c>
      <c r="S1996" s="422"/>
      <c r="T1996" s="2809"/>
      <c r="V1996" s="500"/>
      <c r="W1996" s="2858"/>
      <c r="X1996" s="2128"/>
      <c r="Y1996" s="2128"/>
      <c r="Z1996" s="500"/>
      <c r="AA1996" s="500"/>
      <c r="AB1996" s="500"/>
      <c r="AC1996" s="2795"/>
      <c r="AF1996" s="2620"/>
      <c r="AG1996" s="2620"/>
      <c r="AH1996" s="2620"/>
      <c r="AI1996" s="2620"/>
      <c r="AJ1996" s="2620"/>
      <c r="AK1996" s="2620"/>
      <c r="AL1996" s="2620"/>
      <c r="AM1996" s="2620"/>
      <c r="AN1996" s="2620"/>
      <c r="AO1996" s="2620"/>
      <c r="AP1996" s="2620"/>
      <c r="AQ1996" s="2620"/>
      <c r="AR1996" s="2620"/>
      <c r="AS1996" s="2620"/>
      <c r="AT1996" s="2620"/>
      <c r="AU1996" s="2620"/>
      <c r="AV1996" s="2620"/>
      <c r="AW1996" s="2620"/>
      <c r="AX1996" s="2620"/>
      <c r="AY1996" s="2620"/>
      <c r="AZ1996" s="2620"/>
      <c r="BA1996" s="2620"/>
      <c r="BB1996" s="2620"/>
      <c r="BC1996" s="2620"/>
      <c r="BD1996" s="2620"/>
      <c r="BE1996" s="2620"/>
      <c r="BF1996" s="2620"/>
      <c r="BG1996" s="2620"/>
      <c r="BH1996" s="2620"/>
      <c r="BI1996" s="2620"/>
      <c r="BJ1996" s="2620"/>
      <c r="BK1996" s="2620"/>
      <c r="BL1996" s="2620"/>
      <c r="BM1996" s="2620"/>
      <c r="BN1996" s="2620"/>
      <c r="BO1996" s="2620"/>
      <c r="BP1996" s="2620"/>
      <c r="BQ1996" s="2620"/>
      <c r="BR1996" s="2620"/>
      <c r="BS1996" s="2620"/>
    </row>
    <row r="1997" spans="1:79" ht="12.75" customHeight="1" x14ac:dyDescent="0.2">
      <c r="A1997" s="2029">
        <v>211</v>
      </c>
      <c r="B1997" s="4995"/>
      <c r="C1997" s="2813"/>
      <c r="D1997" s="260"/>
      <c r="E1997" s="2816" t="s">
        <v>1599</v>
      </c>
      <c r="F1997" s="218">
        <v>5</v>
      </c>
      <c r="G1997" s="218">
        <v>-20</v>
      </c>
      <c r="H1997" s="218">
        <f>COUNTIF(HabilidadesEsenciales_Adquiridas,Tablas!E1997)</f>
        <v>0</v>
      </c>
      <c r="I1997" s="2818"/>
      <c r="J1997" s="422"/>
      <c r="K1997" s="2809"/>
      <c r="M1997" s="1959"/>
      <c r="N1997" s="100"/>
      <c r="O1997" s="468" t="s">
        <v>9983</v>
      </c>
      <c r="P1997" s="2811">
        <v>20</v>
      </c>
      <c r="Q1997" s="575">
        <v>-30</v>
      </c>
      <c r="R1997" s="2818">
        <f>COUNTIF(PoderesDeCriatura_Adquiridos,Tablas!O1997)</f>
        <v>0</v>
      </c>
      <c r="S1997" s="422"/>
      <c r="T1997" s="2809"/>
      <c r="V1997" s="500"/>
      <c r="W1997" s="2858"/>
      <c r="X1997" s="2128"/>
      <c r="Y1997" s="2128"/>
      <c r="Z1997" s="500"/>
      <c r="AA1997" s="500"/>
      <c r="AB1997" s="500"/>
      <c r="AC1997" s="2795"/>
      <c r="AF1997" s="2620"/>
      <c r="AG1997" s="2620"/>
      <c r="AH1997" s="2620"/>
      <c r="AI1997" s="2620"/>
      <c r="AJ1997" s="2620"/>
      <c r="AK1997" s="2620"/>
      <c r="AL1997" s="2620"/>
      <c r="AM1997" s="2620"/>
      <c r="AN1997" s="2620"/>
      <c r="AO1997" s="2620"/>
      <c r="AP1997" s="2620"/>
      <c r="AQ1997" s="2620"/>
      <c r="AR1997" s="2620"/>
      <c r="AS1997" s="2620"/>
      <c r="AT1997" s="2620"/>
      <c r="AU1997" s="2620"/>
      <c r="AV1997" s="2620"/>
      <c r="AW1997" s="2620"/>
      <c r="AX1997" s="2620"/>
      <c r="AY1997" s="2620"/>
      <c r="AZ1997" s="2620"/>
      <c r="BA1997" s="2620"/>
      <c r="BB1997" s="2620"/>
      <c r="BC1997" s="2620"/>
      <c r="BD1997" s="2620"/>
      <c r="BE1997" s="2620"/>
      <c r="BF1997" s="2620"/>
      <c r="BG1997" s="2620"/>
      <c r="BH1997" s="2620"/>
      <c r="BI1997" s="2620"/>
      <c r="BJ1997" s="2620"/>
      <c r="BK1997" s="2620"/>
      <c r="BL1997" s="2620"/>
      <c r="BM1997" s="2620"/>
      <c r="BN1997" s="2620"/>
      <c r="BO1997" s="2620"/>
      <c r="BP1997" s="2620"/>
      <c r="BQ1997" s="2620"/>
      <c r="BR1997" s="2620"/>
      <c r="BS1997" s="2620"/>
    </row>
    <row r="1998" spans="1:79" ht="12.75" customHeight="1" x14ac:dyDescent="0.2">
      <c r="A1998" s="2029">
        <v>211</v>
      </c>
      <c r="B1998" s="4995"/>
      <c r="C1998" s="2813"/>
      <c r="D1998" s="260"/>
      <c r="E1998" s="2816" t="s">
        <v>1600</v>
      </c>
      <c r="F1998" s="218">
        <v>0</v>
      </c>
      <c r="G1998" s="218">
        <v>0</v>
      </c>
      <c r="H1998" s="218"/>
      <c r="I1998" s="2818"/>
      <c r="J1998" s="422"/>
      <c r="K1998" s="2809"/>
      <c r="M1998" s="1959"/>
      <c r="N1998" s="100"/>
      <c r="O1998" s="468" t="s">
        <v>9984</v>
      </c>
      <c r="P1998" s="2811">
        <v>10</v>
      </c>
      <c r="Q1998" s="575">
        <v>10</v>
      </c>
      <c r="R1998" s="2818">
        <f>COUNTIF(PoderesDeCriatura_Adquiridos,Tablas!O1998)</f>
        <v>0</v>
      </c>
      <c r="S1998" s="422">
        <f t="array" ref="S1998">MAX(R1998:R2007*{10;20;30;40;50;-10;-20;-30;-40;-50})</f>
        <v>0</v>
      </c>
      <c r="T1998" s="2809" t="s">
        <v>1778</v>
      </c>
      <c r="V1998" s="500"/>
      <c r="W1998" s="2858"/>
      <c r="X1998" s="2128"/>
      <c r="Y1998" s="2128"/>
      <c r="Z1998" s="500"/>
      <c r="AA1998" s="500"/>
      <c r="AB1998" s="500"/>
      <c r="AC1998" s="2795"/>
      <c r="AF1998" s="2620"/>
      <c r="AG1998" s="2620"/>
      <c r="AH1998" s="2620"/>
      <c r="AI1998" s="2620"/>
      <c r="AJ1998" s="2620"/>
      <c r="AK1998" s="2620"/>
      <c r="AL1998" s="2620"/>
      <c r="AM1998" s="2620"/>
      <c r="AN1998" s="2620"/>
      <c r="AO1998" s="2620"/>
      <c r="AP1998" s="2620"/>
      <c r="AQ1998" s="2620"/>
      <c r="AR1998" s="2620"/>
      <c r="AS1998" s="2620"/>
      <c r="AT1998" s="2620"/>
      <c r="AU1998" s="2620"/>
      <c r="AV1998" s="2620"/>
      <c r="AW1998" s="2620"/>
      <c r="AX1998" s="2620"/>
      <c r="AY1998" s="2620"/>
      <c r="AZ1998" s="2620"/>
      <c r="BA1998" s="2620"/>
      <c r="BB1998" s="2620"/>
      <c r="BC1998" s="2620"/>
      <c r="BD1998" s="2620"/>
      <c r="BE1998" s="2620"/>
      <c r="BF1998" s="2620"/>
      <c r="BG1998" s="2620"/>
      <c r="BH1998" s="2620"/>
      <c r="BI1998" s="2620"/>
      <c r="BJ1998" s="2620"/>
      <c r="BK1998" s="2620"/>
      <c r="BL1998" s="2620"/>
      <c r="BM1998" s="2620"/>
      <c r="BN1998" s="2620"/>
      <c r="BO1998" s="2620"/>
      <c r="BP1998" s="2620"/>
      <c r="BQ1998" s="2620"/>
      <c r="BR1998" s="2620"/>
      <c r="BS1998" s="2620"/>
    </row>
    <row r="1999" spans="1:79" ht="12.75" customHeight="1" x14ac:dyDescent="0.2">
      <c r="A1999" s="2029">
        <v>211</v>
      </c>
      <c r="B1999" s="4995"/>
      <c r="C1999" s="2813"/>
      <c r="D1999" s="260"/>
      <c r="E1999" s="2816" t="s">
        <v>2801</v>
      </c>
      <c r="F1999" s="218">
        <v>20</v>
      </c>
      <c r="G1999" s="218">
        <v>40</v>
      </c>
      <c r="H1999" s="218">
        <f>COUNTIF(HabilidadesEsenciales_Adquiridas,Tablas!E1999)</f>
        <v>0</v>
      </c>
      <c r="I1999" s="2818"/>
      <c r="J1999" s="422"/>
      <c r="K1999" s="2809"/>
      <c r="M1999" s="1959"/>
      <c r="N1999" s="100"/>
      <c r="O1999" s="468" t="s">
        <v>9985</v>
      </c>
      <c r="P1999" s="2811">
        <v>15</v>
      </c>
      <c r="Q1999" s="575">
        <v>20</v>
      </c>
      <c r="R1999" s="2818">
        <f>COUNTIF(PoderesDeCriatura_Adquiridos,Tablas!O1999)</f>
        <v>0</v>
      </c>
      <c r="S1999" s="422"/>
      <c r="T1999" s="2809"/>
      <c r="W1999" s="2795"/>
      <c r="X1999" s="2625"/>
      <c r="Y1999" s="2112"/>
      <c r="AB1999" s="413"/>
      <c r="AC1999" s="2795"/>
      <c r="AF1999" s="2620"/>
      <c r="AG1999" s="2620"/>
      <c r="AH1999" s="2620"/>
      <c r="AI1999" s="2620"/>
      <c r="AJ1999" s="2620"/>
      <c r="AK1999" s="2620"/>
      <c r="AL1999" s="2620"/>
      <c r="AM1999" s="2620"/>
      <c r="AN1999" s="2620"/>
      <c r="AO1999" s="2620"/>
      <c r="AP1999" s="2620"/>
      <c r="AQ1999" s="2620"/>
      <c r="AR1999" s="2620"/>
      <c r="AS1999" s="2620"/>
      <c r="AT1999" s="2620"/>
      <c r="AU1999" s="2620"/>
      <c r="AV1999" s="2620"/>
      <c r="AW1999" s="2620"/>
      <c r="AX1999" s="2620"/>
      <c r="AY1999" s="2620"/>
      <c r="AZ1999" s="2620"/>
      <c r="BA1999" s="2620"/>
      <c r="BB1999" s="2620"/>
      <c r="BC1999" s="2620"/>
      <c r="BD1999" s="2620"/>
      <c r="BE1999" s="2620"/>
      <c r="BF1999" s="2620"/>
      <c r="BG1999" s="2620"/>
      <c r="BH1999" s="2620"/>
      <c r="BI1999" s="2620"/>
      <c r="BJ1999" s="2620"/>
      <c r="BK1999" s="2620"/>
      <c r="BL1999" s="2620"/>
      <c r="BM1999" s="2620"/>
      <c r="BN1999" s="2620"/>
      <c r="BO1999" s="2620"/>
      <c r="BP1999" s="2620"/>
      <c r="BQ1999" s="2620"/>
      <c r="BR1999" s="2620"/>
      <c r="BS1999" s="2620"/>
    </row>
    <row r="2000" spans="1:79" ht="12.75" customHeight="1" x14ac:dyDescent="0.2">
      <c r="A2000" s="2029">
        <v>211</v>
      </c>
      <c r="B2000" s="4995"/>
      <c r="C2000" s="2813"/>
      <c r="D2000" s="260"/>
      <c r="E2000" s="2816" t="s">
        <v>1601</v>
      </c>
      <c r="F2000" s="218">
        <v>20</v>
      </c>
      <c r="G2000" s="218">
        <v>20</v>
      </c>
      <c r="H2000" s="218">
        <f>COUNTIF(HabilidadesEsenciales_Adquiridas,Tablas!E2000)</f>
        <v>0</v>
      </c>
      <c r="I2000" s="2818"/>
      <c r="J2000" s="422"/>
      <c r="K2000" s="2809"/>
      <c r="M2000" s="1959"/>
      <c r="N2000" s="100"/>
      <c r="O2000" s="468" t="s">
        <v>9986</v>
      </c>
      <c r="P2000" s="2811">
        <v>20</v>
      </c>
      <c r="Q2000" s="575">
        <v>30</v>
      </c>
      <c r="R2000" s="2818">
        <f>COUNTIF(PoderesDeCriatura_Adquiridos,Tablas!O2000)</f>
        <v>0</v>
      </c>
      <c r="S2000" s="422"/>
      <c r="T2000" s="2809"/>
      <c r="W2000" s="2795"/>
      <c r="X2000" s="2625"/>
      <c r="Y2000" s="2112"/>
      <c r="AB2000" s="413"/>
      <c r="AC2000" s="2795"/>
      <c r="AF2000" s="2620"/>
      <c r="AG2000" s="2620"/>
      <c r="AH2000" s="2620"/>
      <c r="AI2000" s="2620"/>
      <c r="AJ2000" s="2620"/>
      <c r="AK2000" s="2620"/>
      <c r="AL2000" s="2620"/>
      <c r="AM2000" s="2620"/>
      <c r="AN2000" s="2620"/>
      <c r="AO2000" s="2620"/>
      <c r="AP2000" s="2620"/>
      <c r="AQ2000" s="2620"/>
      <c r="AR2000" s="2620"/>
      <c r="AS2000" s="2620"/>
      <c r="AT2000" s="2620"/>
      <c r="AU2000" s="2620"/>
      <c r="AV2000" s="2620"/>
      <c r="AW2000" s="2620"/>
      <c r="AX2000" s="2620"/>
      <c r="AY2000" s="2620"/>
      <c r="AZ2000" s="2620"/>
      <c r="BA2000" s="2620"/>
      <c r="BB2000" s="2620"/>
      <c r="BC2000" s="2620"/>
      <c r="BD2000" s="2620"/>
      <c r="BE2000" s="2620"/>
      <c r="BF2000" s="2620"/>
      <c r="BG2000" s="2620"/>
      <c r="BH2000" s="2620"/>
      <c r="BI2000" s="2620"/>
      <c r="BJ2000" s="2620"/>
      <c r="BK2000" s="2620"/>
      <c r="BL2000" s="2620"/>
      <c r="BM2000" s="2620"/>
      <c r="BN2000" s="2620"/>
      <c r="BO2000" s="2620"/>
      <c r="BP2000" s="2620"/>
      <c r="BQ2000" s="2620"/>
      <c r="BR2000" s="2620"/>
      <c r="BS2000" s="2620"/>
    </row>
    <row r="2001" spans="1:71" ht="12.75" customHeight="1" x14ac:dyDescent="0.2">
      <c r="A2001" s="2029">
        <v>211</v>
      </c>
      <c r="B2001" s="4995"/>
      <c r="C2001" s="2813"/>
      <c r="D2001" s="260"/>
      <c r="E2001" s="2816" t="s">
        <v>2844</v>
      </c>
      <c r="F2001" s="218">
        <v>10</v>
      </c>
      <c r="G2001" s="218">
        <v>10</v>
      </c>
      <c r="H2001" s="218">
        <f>COUNTIF(HabilidadesEsenciales_Adquiridas,Tablas!E2001)</f>
        <v>0</v>
      </c>
      <c r="I2001" s="2818"/>
      <c r="J2001" s="422"/>
      <c r="K2001" s="2809"/>
      <c r="M2001" s="1959"/>
      <c r="N2001" s="100"/>
      <c r="O2001" s="468" t="s">
        <v>9987</v>
      </c>
      <c r="P2001" s="2811">
        <v>25</v>
      </c>
      <c r="Q2001" s="575">
        <v>40</v>
      </c>
      <c r="R2001" s="2818">
        <f>COUNTIF(PoderesDeCriatura_Adquiridos,Tablas!O2001)</f>
        <v>0</v>
      </c>
      <c r="S2001" s="422"/>
      <c r="T2001" s="2809"/>
      <c r="W2001" s="2795"/>
      <c r="X2001" s="2625"/>
      <c r="Y2001" s="2112"/>
      <c r="AB2001" s="413"/>
      <c r="AC2001" s="2795"/>
      <c r="AF2001" s="2620"/>
      <c r="AG2001" s="2620"/>
      <c r="AH2001" s="2620"/>
      <c r="AI2001" s="2620"/>
      <c r="AJ2001" s="2620"/>
      <c r="AK2001" s="2620"/>
      <c r="AL2001" s="2620"/>
      <c r="AM2001" s="2620"/>
      <c r="AN2001" s="2620"/>
      <c r="AO2001" s="2620"/>
      <c r="AP2001" s="2620"/>
      <c r="AQ2001" s="2620"/>
      <c r="AR2001" s="2620"/>
      <c r="AS2001" s="2620"/>
      <c r="AT2001" s="2620"/>
      <c r="AU2001" s="2620"/>
      <c r="AV2001" s="2620"/>
      <c r="AW2001" s="2620"/>
      <c r="AX2001" s="2620"/>
      <c r="AY2001" s="2620"/>
      <c r="AZ2001" s="2620"/>
      <c r="BA2001" s="2620"/>
      <c r="BB2001" s="2620"/>
      <c r="BC2001" s="2620"/>
      <c r="BD2001" s="2620"/>
      <c r="BE2001" s="2620"/>
      <c r="BF2001" s="2620"/>
      <c r="BG2001" s="2620"/>
      <c r="BH2001" s="2620"/>
      <c r="BI2001" s="2620"/>
      <c r="BJ2001" s="2620"/>
      <c r="BK2001" s="2620"/>
      <c r="BL2001" s="2620"/>
      <c r="BM2001" s="2620"/>
      <c r="BN2001" s="2620"/>
      <c r="BO2001" s="2620"/>
      <c r="BP2001" s="2620"/>
      <c r="BQ2001" s="2620"/>
      <c r="BR2001" s="2620"/>
      <c r="BS2001" s="2620"/>
    </row>
    <row r="2002" spans="1:71" ht="12.75" customHeight="1" x14ac:dyDescent="0.2">
      <c r="A2002" s="2029">
        <v>211</v>
      </c>
      <c r="B2002" s="4995"/>
      <c r="C2002" s="2813"/>
      <c r="D2002" s="260"/>
      <c r="E2002" s="2816" t="s">
        <v>2925</v>
      </c>
      <c r="F2002" s="218">
        <v>5</v>
      </c>
      <c r="G2002" s="218">
        <v>20</v>
      </c>
      <c r="H2002" s="218">
        <f>COUNTIF(HabilidadesEsenciales_Adquiridas,Tablas!E2002)</f>
        <v>0</v>
      </c>
      <c r="I2002" s="2818"/>
      <c r="J2002" s="422"/>
      <c r="K2002" s="2809"/>
      <c r="M2002" s="1959"/>
      <c r="N2002" s="100"/>
      <c r="O2002" s="468" t="s">
        <v>9988</v>
      </c>
      <c r="P2002" s="2811">
        <v>35</v>
      </c>
      <c r="Q2002" s="575">
        <v>50</v>
      </c>
      <c r="R2002" s="2818">
        <f>COUNTIF(PoderesDeCriatura_Adquiridos,Tablas!O2002)</f>
        <v>0</v>
      </c>
      <c r="S2002" s="422"/>
      <c r="T2002" s="2809"/>
      <c r="W2002" s="2795"/>
      <c r="X2002" s="2625"/>
      <c r="Y2002" s="2112"/>
      <c r="AB2002" s="413"/>
      <c r="AC2002" s="2795"/>
      <c r="AF2002" s="2620"/>
      <c r="AG2002" s="2620"/>
      <c r="AH2002" s="2620"/>
      <c r="AI2002" s="2620"/>
      <c r="AJ2002" s="2620"/>
      <c r="AK2002" s="2620"/>
      <c r="AL2002" s="2620"/>
      <c r="AM2002" s="2620"/>
      <c r="AN2002" s="2620"/>
      <c r="AO2002" s="2620"/>
      <c r="AP2002" s="2620"/>
      <c r="AQ2002" s="2620"/>
      <c r="AR2002" s="2620"/>
      <c r="AS2002" s="2620"/>
      <c r="AT2002" s="2620"/>
      <c r="AU2002" s="2620"/>
      <c r="AV2002" s="2620"/>
      <c r="AW2002" s="2620"/>
      <c r="AX2002" s="2620"/>
      <c r="AY2002" s="2620"/>
      <c r="AZ2002" s="2620"/>
      <c r="BA2002" s="2620"/>
      <c r="BB2002" s="2620"/>
      <c r="BC2002" s="2620"/>
      <c r="BD2002" s="2620"/>
      <c r="BE2002" s="2620"/>
      <c r="BF2002" s="2620"/>
      <c r="BG2002" s="2620"/>
      <c r="BH2002" s="2620"/>
      <c r="BI2002" s="2620"/>
      <c r="BJ2002" s="2620"/>
      <c r="BK2002" s="2620"/>
      <c r="BL2002" s="2620"/>
      <c r="BM2002" s="2620"/>
      <c r="BN2002" s="2620"/>
      <c r="BO2002" s="2620"/>
      <c r="BP2002" s="2620"/>
      <c r="BQ2002" s="2620"/>
      <c r="BR2002" s="2620"/>
      <c r="BS2002" s="2620"/>
    </row>
    <row r="2003" spans="1:71" ht="12.75" customHeight="1" x14ac:dyDescent="0.2">
      <c r="A2003" s="2029">
        <v>211</v>
      </c>
      <c r="B2003" s="4995"/>
      <c r="C2003" s="2813"/>
      <c r="D2003" s="260"/>
      <c r="E2003" s="2816" t="s">
        <v>2938</v>
      </c>
      <c r="F2003" s="218">
        <v>0</v>
      </c>
      <c r="G2003" s="218">
        <v>10</v>
      </c>
      <c r="H2003" s="218">
        <f>COUNTIF(HabilidadesEsenciales_Adquiridas,Tablas!E2003)</f>
        <v>0</v>
      </c>
      <c r="I2003" s="2818"/>
      <c r="J2003" s="422"/>
      <c r="K2003" s="2809"/>
      <c r="M2003" s="1959"/>
      <c r="N2003" s="100"/>
      <c r="O2003" s="468" t="s">
        <v>9989</v>
      </c>
      <c r="P2003" s="2811">
        <v>10</v>
      </c>
      <c r="Q2003" s="575">
        <v>-10</v>
      </c>
      <c r="R2003" s="2818">
        <f>COUNTIF(PoderesDeCriatura_Adquiridos,Tablas!O2003)</f>
        <v>0</v>
      </c>
      <c r="S2003" s="422"/>
      <c r="T2003" s="2809"/>
      <c r="W2003" s="2795"/>
      <c r="X2003" s="2625"/>
      <c r="Y2003" s="2112"/>
      <c r="AB2003" s="413"/>
      <c r="AC2003" s="2795"/>
      <c r="AF2003" s="2620"/>
      <c r="AG2003" s="2620"/>
      <c r="AH2003" s="2620"/>
      <c r="AI2003" s="2620"/>
      <c r="AJ2003" s="2620"/>
      <c r="AK2003" s="2620"/>
      <c r="AL2003" s="2620"/>
      <c r="AM2003" s="2620"/>
      <c r="AN2003" s="2620"/>
      <c r="AO2003" s="2620"/>
      <c r="AP2003" s="2620"/>
      <c r="AQ2003" s="2620"/>
      <c r="AR2003" s="2620"/>
      <c r="AS2003" s="2620"/>
      <c r="AT2003" s="2620"/>
      <c r="AU2003" s="2620"/>
      <c r="AV2003" s="2620"/>
      <c r="AW2003" s="2620"/>
      <c r="AX2003" s="2620"/>
      <c r="AY2003" s="2620"/>
      <c r="AZ2003" s="2620"/>
      <c r="BA2003" s="2620"/>
      <c r="BB2003" s="2620"/>
      <c r="BC2003" s="2620"/>
      <c r="BD2003" s="2620"/>
      <c r="BE2003" s="2620"/>
      <c r="BF2003" s="2620"/>
      <c r="BG2003" s="2620"/>
      <c r="BH2003" s="2620"/>
      <c r="BI2003" s="2620"/>
      <c r="BJ2003" s="2620"/>
      <c r="BK2003" s="2620"/>
      <c r="BL2003" s="2620"/>
      <c r="BM2003" s="2620"/>
      <c r="BN2003" s="2620"/>
      <c r="BO2003" s="2620"/>
      <c r="BP2003" s="2620"/>
      <c r="BQ2003" s="2620"/>
      <c r="BR2003" s="2620"/>
      <c r="BS2003" s="2620"/>
    </row>
    <row r="2004" spans="1:71" ht="12.75" customHeight="1" x14ac:dyDescent="0.2">
      <c r="A2004" s="2029">
        <v>211</v>
      </c>
      <c r="B2004" s="4995"/>
      <c r="C2004" s="2813"/>
      <c r="D2004" s="260"/>
      <c r="E2004" s="2816" t="s">
        <v>2945</v>
      </c>
      <c r="F2004" s="218">
        <v>10</v>
      </c>
      <c r="G2004" s="218">
        <v>20</v>
      </c>
      <c r="H2004" s="218">
        <f>COUNTIF(HabilidadesEsenciales_Adquiridas,Tablas!E2004)</f>
        <v>0</v>
      </c>
      <c r="I2004" s="2818">
        <v>1</v>
      </c>
      <c r="J2004" s="422"/>
      <c r="K2004" s="2809"/>
      <c r="M2004" s="1959"/>
      <c r="N2004" s="100"/>
      <c r="O2004" s="468" t="s">
        <v>9990</v>
      </c>
      <c r="P2004" s="2811">
        <v>10</v>
      </c>
      <c r="Q2004" s="575">
        <v>-15</v>
      </c>
      <c r="R2004" s="2818">
        <f>COUNTIF(PoderesDeCriatura_Adquiridos,Tablas!O2004)</f>
        <v>0</v>
      </c>
      <c r="S2004" s="422"/>
      <c r="T2004" s="2809"/>
      <c r="W2004" s="2795"/>
      <c r="X2004" s="2625"/>
      <c r="Y2004" s="2112"/>
      <c r="AB2004" s="413"/>
      <c r="AC2004" s="2795"/>
      <c r="AF2004" s="2620"/>
      <c r="AG2004" s="2620"/>
      <c r="AH2004" s="2620"/>
      <c r="AI2004" s="2620"/>
      <c r="AJ2004" s="2620"/>
      <c r="AK2004" s="2620"/>
      <c r="AL2004" s="2620"/>
      <c r="AM2004" s="2620"/>
      <c r="AN2004" s="2620"/>
      <c r="AO2004" s="2620"/>
      <c r="AP2004" s="2620"/>
      <c r="AQ2004" s="2620"/>
      <c r="AR2004" s="2620"/>
      <c r="AS2004" s="2620"/>
      <c r="AT2004" s="2620"/>
      <c r="AU2004" s="2620"/>
      <c r="AV2004" s="2620"/>
      <c r="AW2004" s="2620"/>
      <c r="AX2004" s="2620"/>
      <c r="AY2004" s="2620"/>
      <c r="AZ2004" s="2620"/>
      <c r="BA2004" s="2620"/>
      <c r="BB2004" s="2620"/>
      <c r="BC2004" s="2620"/>
      <c r="BD2004" s="2620"/>
      <c r="BE2004" s="2620"/>
      <c r="BF2004" s="2620"/>
      <c r="BG2004" s="2620"/>
      <c r="BH2004" s="2620"/>
      <c r="BI2004" s="2620"/>
      <c r="BJ2004" s="2620"/>
      <c r="BK2004" s="2620"/>
      <c r="BL2004" s="2620"/>
      <c r="BM2004" s="2620"/>
      <c r="BN2004" s="2620"/>
      <c r="BO2004" s="2620"/>
      <c r="BP2004" s="2620"/>
      <c r="BQ2004" s="2620"/>
      <c r="BR2004" s="2620"/>
      <c r="BS2004" s="2620"/>
    </row>
    <row r="2005" spans="1:71" ht="12.75" customHeight="1" x14ac:dyDescent="0.2">
      <c r="A2005" s="2029">
        <v>211</v>
      </c>
      <c r="B2005" s="4995"/>
      <c r="C2005" s="2813"/>
      <c r="D2005" s="260"/>
      <c r="E2005" s="2816" t="s">
        <v>2949</v>
      </c>
      <c r="F2005" s="218">
        <v>10</v>
      </c>
      <c r="G2005" s="218">
        <v>20</v>
      </c>
      <c r="H2005" s="218">
        <f>COUNTIF(HabilidadesEsenciales_Adquiridas,Tablas!E2005)</f>
        <v>0</v>
      </c>
      <c r="I2005" s="2818"/>
      <c r="J2005" s="422"/>
      <c r="K2005" s="2809"/>
      <c r="M2005" s="1959"/>
      <c r="N2005" s="100"/>
      <c r="O2005" s="468" t="s">
        <v>9991</v>
      </c>
      <c r="P2005" s="2811">
        <v>10</v>
      </c>
      <c r="Q2005" s="575">
        <v>-20</v>
      </c>
      <c r="R2005" s="2818">
        <f>COUNTIF(PoderesDeCriatura_Adquiridos,Tablas!O2005)</f>
        <v>0</v>
      </c>
      <c r="S2005" s="422"/>
      <c r="T2005" s="2809"/>
      <c r="W2005" s="2795"/>
      <c r="X2005" s="2625"/>
      <c r="Y2005" s="2112"/>
      <c r="AB2005" s="413"/>
      <c r="AC2005" s="2795"/>
      <c r="AF2005" s="2620"/>
      <c r="AG2005" s="2620"/>
      <c r="AH2005" s="2620"/>
      <c r="AI2005" s="2620"/>
      <c r="AJ2005" s="2620"/>
      <c r="AK2005" s="2620"/>
      <c r="AL2005" s="2620"/>
      <c r="AM2005" s="2620"/>
      <c r="AN2005" s="2620"/>
      <c r="AO2005" s="2620"/>
      <c r="AP2005" s="2620"/>
      <c r="AQ2005" s="2620"/>
      <c r="AR2005" s="2620"/>
      <c r="AS2005" s="2620"/>
      <c r="AT2005" s="2620"/>
      <c r="AU2005" s="2620"/>
      <c r="AV2005" s="2620"/>
      <c r="AW2005" s="2620"/>
      <c r="AX2005" s="2620"/>
      <c r="AY2005" s="2620"/>
      <c r="AZ2005" s="2620"/>
      <c r="BA2005" s="2620"/>
      <c r="BB2005" s="2620"/>
      <c r="BC2005" s="2620"/>
      <c r="BD2005" s="2620"/>
      <c r="BE2005" s="2620"/>
      <c r="BF2005" s="2620"/>
      <c r="BG2005" s="2620"/>
      <c r="BH2005" s="2620"/>
      <c r="BI2005" s="2620"/>
      <c r="BJ2005" s="2620"/>
      <c r="BK2005" s="2620"/>
      <c r="BL2005" s="2620"/>
      <c r="BM2005" s="2620"/>
      <c r="BN2005" s="2620"/>
      <c r="BO2005" s="2620"/>
      <c r="BP2005" s="2620"/>
      <c r="BQ2005" s="2620"/>
      <c r="BR2005" s="2620"/>
      <c r="BS2005" s="2620"/>
    </row>
    <row r="2006" spans="1:71" ht="12.75" customHeight="1" x14ac:dyDescent="0.2">
      <c r="A2006" s="2029">
        <v>211</v>
      </c>
      <c r="B2006" s="4995"/>
      <c r="C2006" s="2813"/>
      <c r="D2006" s="260"/>
      <c r="E2006" s="2816" t="s">
        <v>2952</v>
      </c>
      <c r="F2006" s="218">
        <v>15</v>
      </c>
      <c r="G2006" s="218">
        <v>30</v>
      </c>
      <c r="H2006" s="218">
        <f>COUNTIF(HabilidadesEsenciales_Adquiridas,Tablas!E2006)</f>
        <v>0</v>
      </c>
      <c r="I2006" s="2818"/>
      <c r="J2006" s="422"/>
      <c r="K2006" s="2809"/>
      <c r="M2006" s="1959"/>
      <c r="N2006" s="100"/>
      <c r="O2006" s="468" t="s">
        <v>9992</v>
      </c>
      <c r="P2006" s="2811">
        <v>20</v>
      </c>
      <c r="Q2006" s="575">
        <v>-25</v>
      </c>
      <c r="R2006" s="2818">
        <f>COUNTIF(PoderesDeCriatura_Adquiridos,Tablas!O2006)</f>
        <v>0</v>
      </c>
      <c r="S2006" s="422"/>
      <c r="T2006" s="2809"/>
      <c r="W2006" s="2795"/>
      <c r="X2006" s="2625"/>
      <c r="Y2006" s="2112"/>
      <c r="AB2006" s="413"/>
      <c r="AC2006" s="2795"/>
      <c r="AF2006" s="2620"/>
      <c r="AG2006" s="2620"/>
      <c r="AH2006" s="2620"/>
      <c r="AI2006" s="2620"/>
      <c r="AJ2006" s="2620"/>
      <c r="AK2006" s="2620"/>
      <c r="AL2006" s="2620"/>
      <c r="AM2006" s="2620"/>
      <c r="AN2006" s="2620"/>
      <c r="AO2006" s="2620"/>
      <c r="AP2006" s="2620"/>
      <c r="AQ2006" s="2620"/>
      <c r="AR2006" s="2620"/>
      <c r="AS2006" s="2620"/>
      <c r="AT2006" s="2620"/>
      <c r="AU2006" s="2620"/>
      <c r="AV2006" s="2620"/>
      <c r="AW2006" s="2620"/>
      <c r="AX2006" s="2620"/>
      <c r="AY2006" s="2620"/>
      <c r="AZ2006" s="2620"/>
      <c r="BA2006" s="2620"/>
      <c r="BB2006" s="2620"/>
      <c r="BC2006" s="2620"/>
      <c r="BD2006" s="2620"/>
      <c r="BE2006" s="2620"/>
      <c r="BF2006" s="2620"/>
      <c r="BG2006" s="2620"/>
      <c r="BH2006" s="2620"/>
      <c r="BI2006" s="2620"/>
      <c r="BJ2006" s="2620"/>
      <c r="BK2006" s="2620"/>
      <c r="BL2006" s="2620"/>
      <c r="BM2006" s="2620"/>
      <c r="BN2006" s="2620"/>
      <c r="BO2006" s="2620"/>
      <c r="BP2006" s="2620"/>
      <c r="BQ2006" s="2620"/>
      <c r="BR2006" s="2620"/>
      <c r="BS2006" s="2620"/>
    </row>
    <row r="2007" spans="1:71" ht="12.75" customHeight="1" x14ac:dyDescent="0.2">
      <c r="A2007" s="2029">
        <v>211</v>
      </c>
      <c r="B2007" s="4995"/>
      <c r="C2007" s="2813"/>
      <c r="D2007" s="260"/>
      <c r="E2007" s="2816" t="s">
        <v>1602</v>
      </c>
      <c r="F2007" s="218">
        <v>10</v>
      </c>
      <c r="G2007" s="218">
        <v>20</v>
      </c>
      <c r="H2007" s="218">
        <f>COUNTIF(HabilidadesEsenciales_Adquiridas,Tablas!E2007)</f>
        <v>0</v>
      </c>
      <c r="I2007" s="2818"/>
      <c r="J2007" s="422"/>
      <c r="K2007" s="2809"/>
      <c r="M2007" s="1959"/>
      <c r="N2007" s="100"/>
      <c r="O2007" s="468" t="s">
        <v>9993</v>
      </c>
      <c r="P2007" s="2811">
        <v>20</v>
      </c>
      <c r="Q2007" s="575">
        <v>-30</v>
      </c>
      <c r="R2007" s="2818">
        <f>COUNTIF(PoderesDeCriatura_Adquiridos,Tablas!O2007)</f>
        <v>0</v>
      </c>
      <c r="S2007" s="422"/>
      <c r="T2007" s="2809"/>
      <c r="W2007" s="2795"/>
      <c r="X2007" s="2625"/>
      <c r="Y2007" s="2112"/>
      <c r="AB2007" s="413"/>
      <c r="AC2007" s="2795"/>
      <c r="AF2007" s="2620"/>
      <c r="AG2007" s="2620"/>
      <c r="AH2007" s="2620"/>
      <c r="AI2007" s="2620"/>
      <c r="AJ2007" s="2620"/>
      <c r="AK2007" s="2620"/>
      <c r="AL2007" s="2620"/>
      <c r="AM2007" s="2620"/>
      <c r="AN2007" s="2620"/>
      <c r="AO2007" s="2620"/>
      <c r="AP2007" s="2620"/>
      <c r="AQ2007" s="2620"/>
      <c r="AR2007" s="2620"/>
      <c r="AS2007" s="2620"/>
      <c r="AT2007" s="2620"/>
      <c r="AU2007" s="2620"/>
      <c r="AV2007" s="2620"/>
      <c r="AW2007" s="2620"/>
      <c r="AX2007" s="2620"/>
      <c r="AY2007" s="2620"/>
      <c r="AZ2007" s="2620"/>
      <c r="BA2007" s="2620"/>
      <c r="BB2007" s="2620"/>
      <c r="BC2007" s="2620"/>
      <c r="BD2007" s="2620"/>
      <c r="BE2007" s="2620"/>
      <c r="BF2007" s="2620"/>
      <c r="BG2007" s="2620"/>
      <c r="BH2007" s="2620"/>
      <c r="BI2007" s="2620"/>
      <c r="BJ2007" s="2620"/>
      <c r="BK2007" s="2620"/>
      <c r="BL2007" s="2620"/>
      <c r="BM2007" s="2620"/>
      <c r="BN2007" s="2620"/>
      <c r="BO2007" s="2620"/>
      <c r="BP2007" s="2620"/>
      <c r="BQ2007" s="2620"/>
      <c r="BR2007" s="2620"/>
      <c r="BS2007" s="2620"/>
    </row>
    <row r="2008" spans="1:71" ht="12.75" customHeight="1" x14ac:dyDescent="0.2">
      <c r="A2008" s="2029">
        <v>211</v>
      </c>
      <c r="B2008" s="4995"/>
      <c r="C2008" s="2813"/>
      <c r="D2008" s="260"/>
      <c r="E2008" s="2816" t="s">
        <v>2965</v>
      </c>
      <c r="F2008" s="218">
        <v>5</v>
      </c>
      <c r="G2008" s="218">
        <v>20</v>
      </c>
      <c r="H2008" s="218">
        <f>COUNTIF(HabilidadesEsenciales_Adquiridas,Tablas!E2008)</f>
        <v>0</v>
      </c>
      <c r="I2008" s="2818">
        <v>1</v>
      </c>
      <c r="J2008" s="422"/>
      <c r="K2008" s="2809"/>
      <c r="M2008" s="1959"/>
      <c r="N2008" s="100"/>
      <c r="O2008" s="468" t="s">
        <v>9994</v>
      </c>
      <c r="P2008" s="2811">
        <v>0</v>
      </c>
      <c r="Q2008" s="575">
        <v>10</v>
      </c>
      <c r="R2008" s="2818">
        <f>COUNTIF(PoderesDeCriatura_Adquiridos,Tablas!O2008)</f>
        <v>0</v>
      </c>
      <c r="S2008" s="422">
        <f>IF(SUM(R2021:R2025)&gt;0,0,SUMPRODUCT(R2008:R2018,VALUE(RIGHT(O2008:O2018,2))))</f>
        <v>0</v>
      </c>
      <c r="T2008" s="2809" t="s">
        <v>1680</v>
      </c>
      <c r="W2008" s="2795"/>
      <c r="X2008" s="2625"/>
      <c r="Y2008" s="2112"/>
      <c r="AB2008" s="413"/>
      <c r="AC2008" s="2795"/>
      <c r="AF2008" s="2620"/>
      <c r="AG2008" s="2620"/>
      <c r="AH2008" s="2620"/>
      <c r="AI2008" s="2620"/>
      <c r="AJ2008" s="2620"/>
      <c r="AK2008" s="2620"/>
      <c r="AL2008" s="2620"/>
      <c r="AM2008" s="2620"/>
      <c r="AN2008" s="2620"/>
      <c r="AO2008" s="2620"/>
      <c r="AP2008" s="2620"/>
      <c r="AQ2008" s="2620"/>
      <c r="AR2008" s="2620"/>
      <c r="AS2008" s="2620"/>
      <c r="AT2008" s="2620"/>
      <c r="AU2008" s="2620"/>
      <c r="AV2008" s="2620"/>
      <c r="AW2008" s="2620"/>
      <c r="AX2008" s="2620"/>
      <c r="AY2008" s="2620"/>
      <c r="AZ2008" s="2620"/>
      <c r="BA2008" s="2620"/>
      <c r="BB2008" s="2620"/>
      <c r="BC2008" s="2620"/>
      <c r="BD2008" s="2620"/>
      <c r="BE2008" s="2620"/>
      <c r="BF2008" s="2620"/>
      <c r="BG2008" s="2620"/>
      <c r="BH2008" s="2620"/>
      <c r="BI2008" s="2620"/>
      <c r="BJ2008" s="2620"/>
      <c r="BK2008" s="2620"/>
      <c r="BL2008" s="2620"/>
      <c r="BM2008" s="2620"/>
      <c r="BN2008" s="2620"/>
      <c r="BO2008" s="2620"/>
      <c r="BP2008" s="2620"/>
      <c r="BQ2008" s="2620"/>
      <c r="BR2008" s="2620"/>
      <c r="BS2008" s="2620"/>
    </row>
    <row r="2009" spans="1:71" ht="12.75" customHeight="1" x14ac:dyDescent="0.2">
      <c r="A2009" s="2029">
        <v>211</v>
      </c>
      <c r="B2009" s="4995"/>
      <c r="C2009" s="2813"/>
      <c r="D2009" s="260"/>
      <c r="E2009" s="2816" t="s">
        <v>1603</v>
      </c>
      <c r="F2009" s="218">
        <v>0</v>
      </c>
      <c r="G2009" s="218">
        <v>20</v>
      </c>
      <c r="H2009" s="218">
        <f>COUNTIF(HabilidadesEsenciales_Adquiridas,Tablas!E2009)</f>
        <v>0</v>
      </c>
      <c r="I2009" s="2818">
        <v>1</v>
      </c>
      <c r="J2009" s="422"/>
      <c r="K2009" s="2809"/>
      <c r="M2009" s="1959"/>
      <c r="N2009" s="100"/>
      <c r="O2009" s="468" t="s">
        <v>9995</v>
      </c>
      <c r="P2009" s="2811">
        <v>0</v>
      </c>
      <c r="Q2009" s="575">
        <v>20</v>
      </c>
      <c r="R2009" s="2818">
        <f>COUNTIF(PoderesDeCriatura_Adquiridos,Tablas!O2009)</f>
        <v>0</v>
      </c>
      <c r="S2009" s="422"/>
      <c r="T2009" s="2809"/>
      <c r="W2009" s="2795"/>
      <c r="X2009" s="2625"/>
      <c r="Y2009" s="2112"/>
      <c r="AB2009" s="413"/>
      <c r="AC2009" s="2795"/>
      <c r="AF2009" s="2620"/>
      <c r="AG2009" s="2620"/>
      <c r="AH2009" s="2620"/>
      <c r="AI2009" s="2620"/>
      <c r="AJ2009" s="2620"/>
      <c r="AK2009" s="2620"/>
      <c r="AL2009" s="2620"/>
      <c r="AM2009" s="2620"/>
      <c r="AN2009" s="2620"/>
      <c r="AO2009" s="2620"/>
      <c r="AP2009" s="2620"/>
      <c r="AQ2009" s="2620"/>
      <c r="AR2009" s="2620"/>
      <c r="AS2009" s="2620"/>
      <c r="AT2009" s="2620"/>
      <c r="AU2009" s="2620"/>
      <c r="AV2009" s="2620"/>
      <c r="AW2009" s="2620"/>
      <c r="AX2009" s="2620"/>
      <c r="AY2009" s="2620"/>
      <c r="AZ2009" s="2620"/>
      <c r="BA2009" s="2620"/>
      <c r="BB2009" s="2620"/>
      <c r="BC2009" s="2620"/>
      <c r="BD2009" s="2620"/>
      <c r="BE2009" s="2620"/>
      <c r="BF2009" s="2620"/>
      <c r="BG2009" s="2620"/>
      <c r="BH2009" s="2620"/>
      <c r="BI2009" s="2620"/>
      <c r="BJ2009" s="2620"/>
      <c r="BK2009" s="2620"/>
      <c r="BL2009" s="2620"/>
      <c r="BM2009" s="2620"/>
      <c r="BN2009" s="2620"/>
      <c r="BO2009" s="2620"/>
      <c r="BP2009" s="2620"/>
      <c r="BQ2009" s="2620"/>
      <c r="BR2009" s="2620"/>
      <c r="BS2009" s="2620"/>
    </row>
    <row r="2010" spans="1:71" ht="12.75" customHeight="1" x14ac:dyDescent="0.2">
      <c r="A2010" s="2029">
        <v>211</v>
      </c>
      <c r="B2010" s="4995"/>
      <c r="C2010" s="2813"/>
      <c r="D2010" s="260"/>
      <c r="E2010" s="2816" t="s">
        <v>1604</v>
      </c>
      <c r="F2010" s="218">
        <v>0</v>
      </c>
      <c r="G2010" s="218">
        <v>0</v>
      </c>
      <c r="H2010" s="218"/>
      <c r="I2010" s="2818"/>
      <c r="J2010" s="422"/>
      <c r="K2010" s="2809"/>
      <c r="M2010" s="1959"/>
      <c r="N2010" s="100"/>
      <c r="O2010" s="468" t="s">
        <v>9996</v>
      </c>
      <c r="P2010" s="2811">
        <v>0</v>
      </c>
      <c r="Q2010" s="575">
        <v>30</v>
      </c>
      <c r="R2010" s="2818">
        <f>COUNTIF(PoderesDeCriatura_Adquiridos,Tablas!O2010)</f>
        <v>0</v>
      </c>
      <c r="S2010" s="422"/>
      <c r="T2010" s="2809"/>
      <c r="W2010" s="2795"/>
      <c r="X2010" s="2625"/>
      <c r="Y2010" s="2112"/>
      <c r="AB2010" s="413"/>
      <c r="AC2010" s="2795"/>
      <c r="AF2010" s="2620"/>
      <c r="AG2010" s="2620"/>
      <c r="AH2010" s="2620"/>
      <c r="AI2010" s="2620"/>
      <c r="AJ2010" s="2620"/>
      <c r="AK2010" s="2620"/>
      <c r="AL2010" s="2620"/>
      <c r="AM2010" s="2620"/>
      <c r="AN2010" s="2620"/>
      <c r="AO2010" s="2620"/>
      <c r="AP2010" s="2620"/>
      <c r="AQ2010" s="2620"/>
      <c r="AR2010" s="2620"/>
      <c r="AS2010" s="2620"/>
      <c r="AT2010" s="2620"/>
      <c r="AU2010" s="2620"/>
      <c r="AV2010" s="2620"/>
      <c r="AW2010" s="2620"/>
      <c r="AX2010" s="2620"/>
      <c r="AY2010" s="2620"/>
      <c r="AZ2010" s="2620"/>
      <c r="BA2010" s="2620"/>
      <c r="BB2010" s="2620"/>
      <c r="BC2010" s="2620"/>
      <c r="BD2010" s="2620"/>
      <c r="BE2010" s="2620"/>
      <c r="BF2010" s="2620"/>
      <c r="BG2010" s="2620"/>
      <c r="BH2010" s="2620"/>
      <c r="BI2010" s="2620"/>
      <c r="BJ2010" s="2620"/>
      <c r="BK2010" s="2620"/>
      <c r="BL2010" s="2620"/>
      <c r="BM2010" s="2620"/>
      <c r="BN2010" s="2620"/>
      <c r="BO2010" s="2620"/>
      <c r="BP2010" s="2620"/>
      <c r="BQ2010" s="2620"/>
      <c r="BR2010" s="2620"/>
      <c r="BS2010" s="2620"/>
    </row>
    <row r="2011" spans="1:71" ht="12.75" customHeight="1" x14ac:dyDescent="0.2">
      <c r="A2011" s="2029">
        <v>211</v>
      </c>
      <c r="B2011" s="4995"/>
      <c r="C2011" s="2813"/>
      <c r="D2011" s="260"/>
      <c r="E2011" s="2816" t="s">
        <v>1605</v>
      </c>
      <c r="F2011" s="218">
        <v>0</v>
      </c>
      <c r="G2011" s="218">
        <v>-30</v>
      </c>
      <c r="H2011" s="218">
        <f>COUNTIF(HabilidadesEsenciales_Adquiridas,Tablas!E2011)</f>
        <v>0</v>
      </c>
      <c r="I2011" s="2818"/>
      <c r="J2011" s="422"/>
      <c r="K2011" s="2809"/>
      <c r="M2011" s="1959"/>
      <c r="N2011" s="100"/>
      <c r="O2011" s="468" t="s">
        <v>9997</v>
      </c>
      <c r="P2011" s="2811">
        <v>5</v>
      </c>
      <c r="Q2011" s="575">
        <v>40</v>
      </c>
      <c r="R2011" s="2818">
        <f>COUNTIF(PoderesDeCriatura_Adquiridos,Tablas!O2011)</f>
        <v>0</v>
      </c>
      <c r="S2011" s="422"/>
      <c r="T2011" s="2809"/>
      <c r="W2011" s="2795"/>
      <c r="X2011" s="2625"/>
      <c r="Y2011" s="2112"/>
      <c r="AB2011" s="413"/>
      <c r="AC2011" s="2795"/>
      <c r="AF2011" s="2620"/>
      <c r="AG2011" s="2620"/>
      <c r="AH2011" s="2620"/>
      <c r="AI2011" s="2620"/>
      <c r="AJ2011" s="2620"/>
      <c r="AK2011" s="2620"/>
      <c r="AL2011" s="2620"/>
      <c r="AM2011" s="2620"/>
      <c r="AN2011" s="2620"/>
      <c r="AO2011" s="2620"/>
      <c r="AP2011" s="2620"/>
      <c r="AQ2011" s="2620"/>
      <c r="AR2011" s="2620"/>
      <c r="AS2011" s="2620"/>
      <c r="AT2011" s="2620"/>
      <c r="AU2011" s="2620"/>
      <c r="AV2011" s="2620"/>
      <c r="AW2011" s="2620"/>
      <c r="AX2011" s="2620"/>
      <c r="AY2011" s="2620"/>
      <c r="AZ2011" s="2620"/>
      <c r="BA2011" s="2620"/>
      <c r="BB2011" s="2620"/>
      <c r="BC2011" s="2620"/>
      <c r="BD2011" s="2620"/>
      <c r="BE2011" s="2620"/>
      <c r="BF2011" s="2620"/>
      <c r="BG2011" s="2620"/>
      <c r="BH2011" s="2620"/>
      <c r="BI2011" s="2620"/>
      <c r="BJ2011" s="2620"/>
      <c r="BK2011" s="2620"/>
      <c r="BL2011" s="2620"/>
      <c r="BM2011" s="2620"/>
      <c r="BN2011" s="2620"/>
      <c r="BO2011" s="2620"/>
      <c r="BP2011" s="2620"/>
      <c r="BQ2011" s="2620"/>
      <c r="BR2011" s="2620"/>
      <c r="BS2011" s="2620"/>
    </row>
    <row r="2012" spans="1:71" ht="12.75" customHeight="1" x14ac:dyDescent="0.2">
      <c r="A2012" s="2029">
        <v>211</v>
      </c>
      <c r="B2012" s="4995"/>
      <c r="C2012" s="2813"/>
      <c r="D2012" s="260"/>
      <c r="E2012" s="2816" t="s">
        <v>1606</v>
      </c>
      <c r="F2012" s="218">
        <v>0</v>
      </c>
      <c r="G2012" s="218">
        <v>-20</v>
      </c>
      <c r="H2012" s="218">
        <f>COUNTIF(HabilidadesEsenciales_Adquiridas,Tablas!E2012)</f>
        <v>0</v>
      </c>
      <c r="I2012" s="2818"/>
      <c r="J2012" s="422"/>
      <c r="K2012" s="2809"/>
      <c r="M2012" s="1959"/>
      <c r="N2012" s="100"/>
      <c r="O2012" s="468" t="s">
        <v>9998</v>
      </c>
      <c r="P2012" s="2811">
        <v>10</v>
      </c>
      <c r="Q2012" s="575">
        <v>60</v>
      </c>
      <c r="R2012" s="2818">
        <f>COUNTIF(PoderesDeCriatura_Adquiridos,Tablas!O2012)</f>
        <v>0</v>
      </c>
      <c r="S2012" s="422"/>
      <c r="T2012" s="2809"/>
      <c r="W2012" s="2795"/>
      <c r="X2012" s="2625"/>
      <c r="Y2012" s="2112"/>
      <c r="AB2012" s="413"/>
      <c r="AC2012" s="2795"/>
      <c r="AF2012" s="2620"/>
      <c r="AG2012" s="2620"/>
      <c r="AH2012" s="2620"/>
      <c r="AI2012" s="2620"/>
      <c r="AJ2012" s="2620"/>
      <c r="AK2012" s="2620"/>
      <c r="AL2012" s="2620"/>
      <c r="AM2012" s="2620"/>
      <c r="AN2012" s="2620"/>
      <c r="AO2012" s="2620"/>
      <c r="AP2012" s="2620"/>
      <c r="AQ2012" s="2620"/>
      <c r="AR2012" s="2620"/>
      <c r="AS2012" s="2620"/>
      <c r="AT2012" s="2620"/>
      <c r="AU2012" s="2620"/>
      <c r="AV2012" s="2620"/>
      <c r="AW2012" s="2620"/>
      <c r="AX2012" s="2620"/>
      <c r="AY2012" s="2620"/>
      <c r="AZ2012" s="2620"/>
      <c r="BA2012" s="2620"/>
      <c r="BB2012" s="2620"/>
      <c r="BC2012" s="2620"/>
      <c r="BD2012" s="2620"/>
      <c r="BE2012" s="2620"/>
      <c r="BF2012" s="2620"/>
      <c r="BG2012" s="2620"/>
      <c r="BH2012" s="2620"/>
      <c r="BI2012" s="2620"/>
      <c r="BJ2012" s="2620"/>
      <c r="BK2012" s="2620"/>
      <c r="BL2012" s="2620"/>
      <c r="BM2012" s="2620"/>
      <c r="BN2012" s="2620"/>
      <c r="BO2012" s="2620"/>
      <c r="BP2012" s="2620"/>
      <c r="BQ2012" s="2620"/>
      <c r="BR2012" s="2620"/>
      <c r="BS2012" s="2620"/>
    </row>
    <row r="2013" spans="1:71" ht="12.75" customHeight="1" x14ac:dyDescent="0.2">
      <c r="A2013" s="2029">
        <v>211</v>
      </c>
      <c r="B2013" s="4995"/>
      <c r="C2013" s="2813"/>
      <c r="D2013" s="260"/>
      <c r="E2013" s="2816" t="s">
        <v>9462</v>
      </c>
      <c r="F2013" s="218"/>
      <c r="G2013" s="218"/>
      <c r="H2013" s="218"/>
      <c r="I2013" s="2818"/>
      <c r="J2013" s="422"/>
      <c r="K2013" s="2809"/>
      <c r="M2013" s="1959"/>
      <c r="N2013" s="100"/>
      <c r="O2013" s="468" t="s">
        <v>9999</v>
      </c>
      <c r="P2013" s="2811">
        <v>15</v>
      </c>
      <c r="Q2013" s="575">
        <v>100</v>
      </c>
      <c r="R2013" s="2818">
        <f>COUNTIF(PoderesDeCriatura_Adquiridos,Tablas!O2013)</f>
        <v>0</v>
      </c>
      <c r="S2013" s="422"/>
      <c r="T2013" s="2809"/>
      <c r="W2013" s="2795"/>
      <c r="X2013" s="2625"/>
      <c r="Y2013" s="2112"/>
      <c r="AB2013" s="413"/>
      <c r="AC2013" s="2795"/>
      <c r="AF2013" s="2620"/>
      <c r="AG2013" s="2620"/>
      <c r="AH2013" s="2620"/>
      <c r="AI2013" s="2620"/>
      <c r="AJ2013" s="2620"/>
      <c r="AK2013" s="2620"/>
      <c r="AL2013" s="2620"/>
      <c r="AM2013" s="2620"/>
      <c r="AN2013" s="2620"/>
      <c r="AO2013" s="2620"/>
      <c r="AP2013" s="2620"/>
      <c r="AQ2013" s="2620"/>
      <c r="AR2013" s="2620"/>
      <c r="AS2013" s="2620"/>
      <c r="AT2013" s="2620"/>
      <c r="AU2013" s="2620"/>
      <c r="AV2013" s="2620"/>
      <c r="AW2013" s="2620"/>
      <c r="AX2013" s="2620"/>
      <c r="AY2013" s="2620"/>
      <c r="AZ2013" s="2620"/>
      <c r="BA2013" s="2620"/>
      <c r="BB2013" s="2620"/>
      <c r="BC2013" s="2620"/>
      <c r="BD2013" s="2620"/>
      <c r="BE2013" s="2620"/>
      <c r="BF2013" s="2620"/>
      <c r="BG2013" s="2620"/>
      <c r="BH2013" s="2620"/>
      <c r="BI2013" s="2620"/>
      <c r="BJ2013" s="2620"/>
      <c r="BK2013" s="2620"/>
      <c r="BL2013" s="2620"/>
      <c r="BM2013" s="2620"/>
      <c r="BN2013" s="2620"/>
      <c r="BO2013" s="2620"/>
      <c r="BP2013" s="2620"/>
      <c r="BQ2013" s="2620"/>
      <c r="BR2013" s="2620"/>
      <c r="BS2013" s="2620"/>
    </row>
    <row r="2014" spans="1:71" ht="12.75" customHeight="1" x14ac:dyDescent="0.2">
      <c r="A2014" s="2029">
        <v>211</v>
      </c>
      <c r="B2014" s="4995"/>
      <c r="C2014" s="2813"/>
      <c r="D2014" s="260"/>
      <c r="E2014" s="2816" t="str">
        <f>IF(Personalización!$I8="","Habilidad #1",Personalización!$I8)</f>
        <v>Habilidad #1</v>
      </c>
      <c r="F2014" s="218">
        <f>Personalización!P8</f>
        <v>0</v>
      </c>
      <c r="G2014" s="218">
        <f>Personalización!Q8</f>
        <v>0</v>
      </c>
      <c r="H2014" s="218">
        <f>COUNTIF(HabilidadesEsenciales_Adquiridas,Tablas!E2014)</f>
        <v>0</v>
      </c>
      <c r="I2014" s="2818"/>
      <c r="J2014" s="422"/>
      <c r="K2014" s="2809"/>
      <c r="M2014" s="1959"/>
      <c r="N2014" s="100"/>
      <c r="O2014" s="468" t="s">
        <v>10000</v>
      </c>
      <c r="P2014" s="2811">
        <v>20</v>
      </c>
      <c r="Q2014" s="575">
        <v>140</v>
      </c>
      <c r="R2014" s="2818">
        <f>COUNTIF(PoderesDeCriatura_Adquiridos,Tablas!O2014)</f>
        <v>0</v>
      </c>
      <c r="S2014" s="422"/>
      <c r="T2014" s="2809"/>
      <c r="W2014" s="2795"/>
      <c r="X2014" s="2625"/>
      <c r="Y2014" s="2112"/>
      <c r="AB2014" s="413"/>
      <c r="AC2014" s="2795"/>
      <c r="AF2014" s="2620"/>
      <c r="AG2014" s="2620"/>
      <c r="AH2014" s="2620"/>
      <c r="AI2014" s="2620"/>
      <c r="AJ2014" s="2620"/>
      <c r="AK2014" s="2620"/>
      <c r="AL2014" s="2620"/>
      <c r="AM2014" s="2620"/>
      <c r="AN2014" s="2620"/>
      <c r="AO2014" s="2620"/>
      <c r="AP2014" s="2620"/>
      <c r="AQ2014" s="2620"/>
      <c r="AR2014" s="2620"/>
      <c r="AS2014" s="2620"/>
      <c r="AT2014" s="2620"/>
      <c r="AU2014" s="2620"/>
      <c r="AV2014" s="2620"/>
      <c r="AW2014" s="2620"/>
      <c r="AX2014" s="2620"/>
      <c r="AY2014" s="2620"/>
      <c r="AZ2014" s="2620"/>
      <c r="BA2014" s="2620"/>
      <c r="BB2014" s="2620"/>
      <c r="BC2014" s="2620"/>
      <c r="BD2014" s="2620"/>
      <c r="BE2014" s="2620"/>
      <c r="BF2014" s="2620"/>
      <c r="BG2014" s="2620"/>
      <c r="BH2014" s="2620"/>
      <c r="BI2014" s="2620"/>
      <c r="BJ2014" s="2620"/>
      <c r="BK2014" s="2620"/>
      <c r="BL2014" s="2620"/>
      <c r="BM2014" s="2620"/>
      <c r="BN2014" s="2620"/>
      <c r="BO2014" s="2620"/>
      <c r="BP2014" s="2620"/>
      <c r="BQ2014" s="2620"/>
      <c r="BR2014" s="2620"/>
      <c r="BS2014" s="2620"/>
    </row>
    <row r="2015" spans="1:71" ht="12.75" customHeight="1" x14ac:dyDescent="0.2">
      <c r="A2015" s="2029">
        <v>211</v>
      </c>
      <c r="B2015" s="4995"/>
      <c r="C2015" s="2813"/>
      <c r="D2015" s="260"/>
      <c r="E2015" s="2816" t="str">
        <f>IF(Personalización!$I9="","Habilidad #1",Personalización!$I9)</f>
        <v>Habilidad #1</v>
      </c>
      <c r="F2015" s="218">
        <f>Personalización!P9</f>
        <v>0</v>
      </c>
      <c r="G2015" s="218">
        <f>Personalización!Q9</f>
        <v>0</v>
      </c>
      <c r="H2015" s="218">
        <f>COUNTIF(HabilidadesEsenciales_Adquiridas,Tablas!E2015)</f>
        <v>0</v>
      </c>
      <c r="I2015" s="2818"/>
      <c r="J2015" s="422"/>
      <c r="K2015" s="2809"/>
      <c r="M2015" s="1959"/>
      <c r="N2015" s="100"/>
      <c r="O2015" s="468" t="s">
        <v>10001</v>
      </c>
      <c r="P2015" s="2811">
        <v>25</v>
      </c>
      <c r="Q2015" s="575">
        <v>160</v>
      </c>
      <c r="R2015" s="2818">
        <f>COUNTIF(PoderesDeCriatura_Adquiridos,Tablas!O2015)</f>
        <v>0</v>
      </c>
      <c r="S2015" s="422"/>
      <c r="T2015" s="2809"/>
      <c r="W2015" s="2795"/>
      <c r="X2015" s="2625"/>
      <c r="Y2015" s="2112"/>
      <c r="AB2015" s="413"/>
      <c r="AC2015" s="2795"/>
      <c r="AF2015" s="2620"/>
      <c r="AG2015" s="2620"/>
      <c r="AH2015" s="2620"/>
      <c r="AI2015" s="2620"/>
      <c r="AJ2015" s="2620"/>
      <c r="AK2015" s="2620"/>
      <c r="AL2015" s="2620"/>
      <c r="AM2015" s="2620"/>
      <c r="AN2015" s="2620"/>
      <c r="AO2015" s="2620"/>
      <c r="AP2015" s="2620"/>
      <c r="AQ2015" s="2620"/>
      <c r="AR2015" s="2620"/>
      <c r="AS2015" s="2620"/>
      <c r="AT2015" s="2620"/>
      <c r="AU2015" s="2620"/>
      <c r="AV2015" s="2620"/>
      <c r="AW2015" s="2620"/>
      <c r="AX2015" s="2620"/>
      <c r="AY2015" s="2620"/>
      <c r="AZ2015" s="2620"/>
      <c r="BA2015" s="2620"/>
      <c r="BB2015" s="2620"/>
      <c r="BC2015" s="2620"/>
      <c r="BD2015" s="2620"/>
      <c r="BE2015" s="2620"/>
      <c r="BF2015" s="2620"/>
      <c r="BG2015" s="2620"/>
      <c r="BH2015" s="2620"/>
      <c r="BI2015" s="2620"/>
      <c r="BJ2015" s="2620"/>
      <c r="BK2015" s="2620"/>
      <c r="BL2015" s="2620"/>
      <c r="BM2015" s="2620"/>
      <c r="BN2015" s="2620"/>
      <c r="BO2015" s="2620"/>
      <c r="BP2015" s="2620"/>
      <c r="BQ2015" s="2620"/>
      <c r="BR2015" s="2620"/>
      <c r="BS2015" s="2620"/>
    </row>
    <row r="2016" spans="1:71" ht="12.75" customHeight="1" x14ac:dyDescent="0.2">
      <c r="A2016" s="2029">
        <v>211</v>
      </c>
      <c r="B2016" s="4995"/>
      <c r="C2016" s="2813"/>
      <c r="D2016" s="260"/>
      <c r="E2016" s="2816" t="str">
        <f>IF(Personalización!$I10="","Habilidad #1",Personalización!$I10)</f>
        <v>Habilidad #1</v>
      </c>
      <c r="F2016" s="218">
        <f>Personalización!P10</f>
        <v>0</v>
      </c>
      <c r="G2016" s="218">
        <f>Personalización!Q10</f>
        <v>0</v>
      </c>
      <c r="H2016" s="218">
        <f>COUNTIF(HabilidadesEsenciales_Adquiridas,Tablas!E2016)</f>
        <v>0</v>
      </c>
      <c r="I2016" s="2818"/>
      <c r="J2016" s="422"/>
      <c r="K2016" s="2809"/>
      <c r="M2016" s="1959"/>
      <c r="N2016" s="100"/>
      <c r="O2016" s="468" t="s">
        <v>10002</v>
      </c>
      <c r="P2016" s="2811">
        <v>35</v>
      </c>
      <c r="Q2016" s="575">
        <v>180</v>
      </c>
      <c r="R2016" s="2818">
        <f>COUNTIF(PoderesDeCriatura_Adquiridos,Tablas!O2016)</f>
        <v>0</v>
      </c>
      <c r="S2016" s="422"/>
      <c r="T2016" s="2809"/>
      <c r="W2016" s="2795"/>
      <c r="X2016" s="2625"/>
      <c r="Y2016" s="2112"/>
      <c r="AB2016" s="413"/>
      <c r="AC2016" s="2795"/>
      <c r="AF2016" s="2620"/>
      <c r="AG2016" s="2620"/>
      <c r="AH2016" s="2620"/>
      <c r="AI2016" s="2620"/>
      <c r="AJ2016" s="2620"/>
      <c r="AK2016" s="2620"/>
      <c r="AL2016" s="2620"/>
      <c r="AM2016" s="2620"/>
      <c r="AN2016" s="2620"/>
      <c r="AO2016" s="2620"/>
      <c r="AP2016" s="2620"/>
      <c r="AQ2016" s="2620"/>
      <c r="AR2016" s="2620"/>
      <c r="AS2016" s="2620"/>
      <c r="AT2016" s="2620"/>
      <c r="AU2016" s="2620"/>
      <c r="AV2016" s="2620"/>
      <c r="AW2016" s="2620"/>
      <c r="AX2016" s="2620"/>
      <c r="AY2016" s="2620"/>
      <c r="AZ2016" s="2620"/>
      <c r="BA2016" s="2620"/>
      <c r="BB2016" s="2620"/>
      <c r="BC2016" s="2620"/>
      <c r="BD2016" s="2620"/>
      <c r="BE2016" s="2620"/>
      <c r="BF2016" s="2620"/>
      <c r="BG2016" s="2620"/>
      <c r="BH2016" s="2620"/>
      <c r="BI2016" s="2620"/>
      <c r="BJ2016" s="2620"/>
      <c r="BK2016" s="2620"/>
      <c r="BL2016" s="2620"/>
      <c r="BM2016" s="2620"/>
      <c r="BN2016" s="2620"/>
      <c r="BO2016" s="2620"/>
      <c r="BP2016" s="2620"/>
      <c r="BQ2016" s="2620"/>
      <c r="BR2016" s="2620"/>
      <c r="BS2016" s="2620"/>
    </row>
    <row r="2017" spans="1:71" ht="12.75" customHeight="1" x14ac:dyDescent="0.2">
      <c r="A2017" s="2029">
        <v>211</v>
      </c>
      <c r="B2017" s="4995"/>
      <c r="C2017" s="2813"/>
      <c r="D2017" s="260"/>
      <c r="E2017" s="2816" t="str">
        <f>IF(Personalización!$I11="","Habilidad #1",Personalización!$I11)</f>
        <v>Habilidad #1</v>
      </c>
      <c r="F2017" s="218">
        <f>Personalización!P11</f>
        <v>0</v>
      </c>
      <c r="G2017" s="218">
        <f>Personalización!Q11</f>
        <v>0</v>
      </c>
      <c r="H2017" s="218">
        <f>COUNTIF(HabilidadesEsenciales_Adquiridas,Tablas!E2017)</f>
        <v>0</v>
      </c>
      <c r="I2017" s="2818"/>
      <c r="J2017" s="422"/>
      <c r="K2017" s="2809"/>
      <c r="M2017" s="1959"/>
      <c r="N2017" s="100"/>
      <c r="O2017" s="468" t="s">
        <v>10003</v>
      </c>
      <c r="P2017" s="2811">
        <v>45</v>
      </c>
      <c r="Q2017" s="575">
        <v>200</v>
      </c>
      <c r="R2017" s="2818">
        <f>COUNTIF(PoderesDeCriatura_Adquiridos,Tablas!O2017)</f>
        <v>0</v>
      </c>
      <c r="S2017" s="422"/>
      <c r="T2017" s="2809"/>
      <c r="W2017" s="2795"/>
      <c r="X2017" s="2625"/>
      <c r="Y2017" s="2112"/>
      <c r="AB2017" s="413"/>
      <c r="AC2017" s="2795"/>
      <c r="AF2017" s="2620"/>
      <c r="AG2017" s="2620"/>
      <c r="AH2017" s="2620"/>
      <c r="AI2017" s="2620"/>
      <c r="AJ2017" s="2620"/>
      <c r="AK2017" s="2620"/>
      <c r="AL2017" s="2620"/>
      <c r="AM2017" s="2620"/>
      <c r="AN2017" s="2620"/>
      <c r="AO2017" s="2620"/>
      <c r="AP2017" s="2620"/>
      <c r="AQ2017" s="2620"/>
      <c r="AR2017" s="2620"/>
      <c r="AS2017" s="2620"/>
      <c r="AT2017" s="2620"/>
      <c r="AU2017" s="2620"/>
      <c r="AV2017" s="2620"/>
      <c r="AW2017" s="2620"/>
      <c r="AX2017" s="2620"/>
      <c r="AY2017" s="2620"/>
      <c r="AZ2017" s="2620"/>
      <c r="BA2017" s="2620"/>
      <c r="BB2017" s="2620"/>
      <c r="BC2017" s="2620"/>
      <c r="BD2017" s="2620"/>
      <c r="BE2017" s="2620"/>
      <c r="BF2017" s="2620"/>
      <c r="BG2017" s="2620"/>
      <c r="BH2017" s="2620"/>
      <c r="BI2017" s="2620"/>
      <c r="BJ2017" s="2620"/>
      <c r="BK2017" s="2620"/>
      <c r="BL2017" s="2620"/>
      <c r="BM2017" s="2620"/>
      <c r="BN2017" s="2620"/>
      <c r="BO2017" s="2620"/>
      <c r="BP2017" s="2620"/>
      <c r="BQ2017" s="2620"/>
      <c r="BR2017" s="2620"/>
      <c r="BS2017" s="2620"/>
    </row>
    <row r="2018" spans="1:71" ht="12.75" customHeight="1" thickBot="1" x14ac:dyDescent="0.25">
      <c r="A2018" s="2029">
        <v>211</v>
      </c>
      <c r="B2018" s="4995"/>
      <c r="C2018" s="2814"/>
      <c r="D2018" s="2815"/>
      <c r="E2018" s="2817" t="str">
        <f>IF(Personalización!$I12="","Habilidad #1",Personalización!$I12)</f>
        <v>Habilidad #1</v>
      </c>
      <c r="F2018" s="2792">
        <f>Personalización!P12</f>
        <v>0</v>
      </c>
      <c r="G2018" s="2792">
        <f>Personalización!Q12</f>
        <v>0</v>
      </c>
      <c r="H2018" s="2792">
        <f>COUNTIF(HabilidadesEsenciales_Adquiridas,Tablas!E2018)</f>
        <v>0</v>
      </c>
      <c r="I2018" s="2819"/>
      <c r="J2018" s="2290"/>
      <c r="K2018" s="2810"/>
      <c r="M2018" s="1959"/>
      <c r="N2018" s="100"/>
      <c r="O2018" s="468" t="s">
        <v>10004</v>
      </c>
      <c r="P2018" s="2811">
        <v>50</v>
      </c>
      <c r="Q2018" s="575">
        <v>220</v>
      </c>
      <c r="R2018" s="2818">
        <f>COUNTIF(PoderesDeCriatura_Adquiridos,Tablas!O2018)</f>
        <v>0</v>
      </c>
      <c r="S2018" s="422"/>
      <c r="T2018" s="2809"/>
      <c r="W2018" s="2795"/>
      <c r="X2018" s="2625"/>
      <c r="Y2018" s="2112"/>
      <c r="AB2018" s="413"/>
      <c r="AC2018" s="2795"/>
      <c r="AF2018" s="2620"/>
      <c r="AG2018" s="2620"/>
      <c r="AH2018" s="2620"/>
      <c r="AI2018" s="2620"/>
      <c r="AJ2018" s="2620"/>
      <c r="AK2018" s="2620"/>
      <c r="AL2018" s="2620"/>
      <c r="AM2018" s="2620"/>
      <c r="AN2018" s="2620"/>
      <c r="AO2018" s="2620"/>
      <c r="AP2018" s="2620"/>
      <c r="AQ2018" s="2620"/>
      <c r="AR2018" s="2620"/>
      <c r="AS2018" s="2620"/>
      <c r="AT2018" s="2620"/>
      <c r="AU2018" s="2620"/>
      <c r="AV2018" s="2620"/>
      <c r="AW2018" s="2620"/>
      <c r="AX2018" s="2620"/>
      <c r="AY2018" s="2620"/>
      <c r="AZ2018" s="2620"/>
      <c r="BA2018" s="2620"/>
      <c r="BB2018" s="2620"/>
      <c r="BC2018" s="2620"/>
      <c r="BD2018" s="2620"/>
      <c r="BE2018" s="2620"/>
      <c r="BF2018" s="2620"/>
      <c r="BG2018" s="2620"/>
      <c r="BH2018" s="2620"/>
      <c r="BI2018" s="2620"/>
      <c r="BJ2018" s="2620"/>
      <c r="BK2018" s="2620"/>
      <c r="BL2018" s="2620"/>
      <c r="BM2018" s="2620"/>
      <c r="BN2018" s="2620"/>
      <c r="BO2018" s="2620"/>
      <c r="BP2018" s="2620"/>
      <c r="BQ2018" s="2620"/>
      <c r="BR2018" s="2620"/>
      <c r="BS2018" s="2620"/>
    </row>
    <row r="2019" spans="1:71" ht="12.75" customHeight="1" x14ac:dyDescent="0.2">
      <c r="A2019" s="2029">
        <v>211</v>
      </c>
      <c r="B2019" s="4995"/>
      <c r="C2019" s="2112"/>
      <c r="H2019" s="413"/>
      <c r="M2019" s="1959"/>
      <c r="N2019" s="100"/>
      <c r="O2019" s="468" t="s">
        <v>10005</v>
      </c>
      <c r="P2019" s="2811">
        <v>0</v>
      </c>
      <c r="Q2019" s="575">
        <v>-10</v>
      </c>
      <c r="R2019" s="2818">
        <f>COUNTIF(PoderesDeCriatura_Adquiridos,Tablas!O2019)</f>
        <v>0</v>
      </c>
      <c r="S2019" s="422"/>
      <c r="T2019" s="2809"/>
      <c r="W2019" s="2795"/>
      <c r="X2019" s="2625"/>
      <c r="Y2019" s="2112"/>
      <c r="AB2019" s="413"/>
      <c r="AC2019" s="2795"/>
      <c r="AF2019" s="2620"/>
      <c r="AG2019" s="2620"/>
      <c r="AH2019" s="2620"/>
      <c r="AI2019" s="2620"/>
      <c r="AJ2019" s="2620"/>
      <c r="AK2019" s="2620"/>
      <c r="AL2019" s="2620"/>
      <c r="AM2019" s="2620"/>
      <c r="AN2019" s="2620"/>
      <c r="AO2019" s="2620"/>
      <c r="AP2019" s="2620"/>
      <c r="AQ2019" s="2620"/>
      <c r="AR2019" s="2620"/>
      <c r="AS2019" s="2620"/>
      <c r="AT2019" s="2620"/>
      <c r="AU2019" s="2620"/>
      <c r="AV2019" s="2620"/>
      <c r="AW2019" s="2620"/>
      <c r="AX2019" s="2620"/>
      <c r="AY2019" s="2620"/>
      <c r="AZ2019" s="2620"/>
      <c r="BA2019" s="2620"/>
      <c r="BB2019" s="2620"/>
      <c r="BC2019" s="2620"/>
      <c r="BD2019" s="2620"/>
      <c r="BE2019" s="2620"/>
      <c r="BF2019" s="2620"/>
      <c r="BG2019" s="2620"/>
      <c r="BH2019" s="2620"/>
      <c r="BI2019" s="2620"/>
      <c r="BJ2019" s="2620"/>
      <c r="BK2019" s="2620"/>
      <c r="BL2019" s="2620"/>
      <c r="BM2019" s="2620"/>
      <c r="BN2019" s="2620"/>
      <c r="BO2019" s="2620"/>
      <c r="BP2019" s="2620"/>
      <c r="BQ2019" s="2620"/>
      <c r="BR2019" s="2620"/>
      <c r="BS2019" s="2620"/>
    </row>
    <row r="2020" spans="1:71" ht="12.75" customHeight="1" x14ac:dyDescent="0.2">
      <c r="A2020" s="2029">
        <v>211</v>
      </c>
      <c r="B2020" s="4995"/>
      <c r="C2020" s="2112"/>
      <c r="H2020" s="413"/>
      <c r="M2020" s="1959"/>
      <c r="N2020" s="100"/>
      <c r="O2020" s="468" t="s">
        <v>10006</v>
      </c>
      <c r="P2020" s="2811">
        <v>10</v>
      </c>
      <c r="Q2020" s="575">
        <v>-40</v>
      </c>
      <c r="R2020" s="2818">
        <f>COUNTIF(PoderesDeCriatura_Adquiridos,Tablas!O2020)</f>
        <v>0</v>
      </c>
      <c r="S2020" s="422"/>
      <c r="T2020" s="2809"/>
      <c r="W2020" s="2795"/>
      <c r="X2020" s="2625"/>
      <c r="Y2020" s="2112"/>
      <c r="AB2020" s="413"/>
      <c r="AC2020" s="2795"/>
      <c r="AF2020" s="2620"/>
      <c r="AG2020" s="2620"/>
      <c r="AH2020" s="2620"/>
      <c r="AI2020" s="2620"/>
      <c r="AJ2020" s="2620"/>
      <c r="AK2020" s="2620"/>
      <c r="AL2020" s="2620"/>
      <c r="AM2020" s="2620"/>
      <c r="AN2020" s="2620"/>
      <c r="AO2020" s="2620"/>
      <c r="AP2020" s="2620"/>
      <c r="AQ2020" s="2620"/>
      <c r="AR2020" s="2620"/>
      <c r="AS2020" s="2620"/>
      <c r="AT2020" s="2620"/>
      <c r="AU2020" s="2620"/>
      <c r="AV2020" s="2620"/>
      <c r="AW2020" s="2620"/>
      <c r="AX2020" s="2620"/>
      <c r="AY2020" s="2620"/>
      <c r="AZ2020" s="2620"/>
      <c r="BA2020" s="2620"/>
      <c r="BB2020" s="2620"/>
      <c r="BC2020" s="2620"/>
      <c r="BD2020" s="2620"/>
      <c r="BE2020" s="2620"/>
      <c r="BF2020" s="2620"/>
      <c r="BG2020" s="2620"/>
      <c r="BH2020" s="2620"/>
      <c r="BI2020" s="2620"/>
      <c r="BJ2020" s="2620"/>
      <c r="BK2020" s="2620"/>
      <c r="BL2020" s="2620"/>
      <c r="BM2020" s="2620"/>
      <c r="BN2020" s="2620"/>
      <c r="BO2020" s="2620"/>
      <c r="BP2020" s="2620"/>
      <c r="BQ2020" s="2620"/>
      <c r="BR2020" s="2620"/>
      <c r="BS2020" s="2620"/>
    </row>
    <row r="2021" spans="1:71" ht="12.75" customHeight="1" x14ac:dyDescent="0.2">
      <c r="A2021" s="2029">
        <v>211</v>
      </c>
      <c r="B2021" s="4995"/>
      <c r="C2021" s="2112"/>
      <c r="H2021" s="413"/>
      <c r="M2021" s="1959"/>
      <c r="N2021" s="100"/>
      <c r="O2021" s="468" t="s">
        <v>10007</v>
      </c>
      <c r="P2021" s="2811">
        <v>10</v>
      </c>
      <c r="Q2021" s="575">
        <v>-30</v>
      </c>
      <c r="R2021" s="2818">
        <f>COUNTIF(PoderesDeCriatura_Adquiridos,Tablas!O2021)</f>
        <v>0</v>
      </c>
      <c r="S2021" s="422"/>
      <c r="T2021" s="2809"/>
      <c r="Y2021" s="2112"/>
      <c r="AB2021" s="413"/>
      <c r="AC2021" s="2795"/>
      <c r="AF2021" s="2620"/>
      <c r="AG2021" s="2620"/>
      <c r="AH2021" s="2620"/>
      <c r="AI2021" s="2620"/>
      <c r="AJ2021" s="2620"/>
      <c r="AK2021" s="2620"/>
      <c r="AL2021" s="2620"/>
      <c r="AM2021" s="2620"/>
      <c r="AN2021" s="2620"/>
      <c r="AO2021" s="2620"/>
      <c r="AP2021" s="2620"/>
      <c r="AQ2021" s="2620"/>
      <c r="AR2021" s="2620"/>
      <c r="AS2021" s="2620"/>
      <c r="AT2021" s="2620"/>
      <c r="AU2021" s="2620"/>
      <c r="AV2021" s="2620"/>
      <c r="AW2021" s="2620"/>
      <c r="AX2021" s="2620"/>
      <c r="AY2021" s="2620"/>
      <c r="AZ2021" s="2620"/>
      <c r="BA2021" s="2620"/>
      <c r="BB2021" s="2620"/>
      <c r="BC2021" s="2620"/>
      <c r="BD2021" s="2620"/>
      <c r="BE2021" s="2620"/>
      <c r="BF2021" s="2620"/>
      <c r="BG2021" s="2620"/>
      <c r="BH2021" s="2620"/>
      <c r="BI2021" s="2620"/>
      <c r="BJ2021" s="2620"/>
      <c r="BK2021" s="2620"/>
      <c r="BL2021" s="2620"/>
      <c r="BM2021" s="2620"/>
      <c r="BN2021" s="2620"/>
      <c r="BO2021" s="2620"/>
      <c r="BP2021" s="2620"/>
      <c r="BQ2021" s="2620"/>
      <c r="BR2021" s="2620"/>
      <c r="BS2021" s="2620"/>
    </row>
    <row r="2022" spans="1:71" ht="12.75" customHeight="1" x14ac:dyDescent="0.2">
      <c r="A2022" s="2029">
        <v>211</v>
      </c>
      <c r="B2022" s="4995"/>
      <c r="C2022" s="2112"/>
      <c r="H2022" s="413"/>
      <c r="M2022" s="1959"/>
      <c r="N2022" s="100"/>
      <c r="O2022" s="468" t="s">
        <v>10008</v>
      </c>
      <c r="P2022" s="2811">
        <v>10</v>
      </c>
      <c r="Q2022" s="575">
        <v>-40</v>
      </c>
      <c r="R2022" s="2818">
        <f>COUNTIF(PoderesDeCriatura_Adquiridos,Tablas!O2022)</f>
        <v>0</v>
      </c>
      <c r="S2022" s="422">
        <f t="array" ref="S2022">MIN(R2022:R2025*{-10;-25;-50;-100})</f>
        <v>0</v>
      </c>
      <c r="T2022" s="2809" t="s">
        <v>9161</v>
      </c>
      <c r="Y2022" s="2112"/>
      <c r="AB2022" s="413"/>
      <c r="AC2022" s="2795"/>
      <c r="AF2022" s="2620"/>
      <c r="AG2022" s="2620"/>
      <c r="AH2022" s="2620"/>
      <c r="AI2022" s="2620"/>
      <c r="AJ2022" s="2620"/>
      <c r="AK2022" s="2620"/>
      <c r="AL2022" s="2620"/>
      <c r="AM2022" s="2620"/>
      <c r="AN2022" s="2620"/>
      <c r="AO2022" s="2620"/>
      <c r="AP2022" s="2620"/>
      <c r="AQ2022" s="2620"/>
      <c r="AR2022" s="2620"/>
      <c r="AS2022" s="2620"/>
      <c r="AT2022" s="2620"/>
      <c r="AU2022" s="2620"/>
      <c r="AV2022" s="2620"/>
      <c r="AW2022" s="2620"/>
      <c r="AX2022" s="2620"/>
      <c r="AY2022" s="2620"/>
      <c r="AZ2022" s="2620"/>
      <c r="BA2022" s="2620"/>
      <c r="BB2022" s="2620"/>
      <c r="BC2022" s="2620"/>
      <c r="BD2022" s="2620"/>
      <c r="BE2022" s="2620"/>
      <c r="BF2022" s="2620"/>
      <c r="BG2022" s="2620"/>
      <c r="BH2022" s="2620"/>
      <c r="BI2022" s="2620"/>
      <c r="BJ2022" s="2620"/>
      <c r="BK2022" s="2620"/>
      <c r="BL2022" s="2620"/>
      <c r="BM2022" s="2620"/>
      <c r="BN2022" s="2620"/>
      <c r="BO2022" s="2620"/>
      <c r="BP2022" s="2620"/>
      <c r="BQ2022" s="2620"/>
      <c r="BR2022" s="2620"/>
      <c r="BS2022" s="2620"/>
    </row>
    <row r="2023" spans="1:71" ht="12.75" customHeight="1" x14ac:dyDescent="0.2">
      <c r="A2023" s="2029">
        <v>211</v>
      </c>
      <c r="B2023" s="4995"/>
      <c r="C2023" s="2112"/>
      <c r="H2023" s="413"/>
      <c r="M2023" s="1959"/>
      <c r="N2023" s="100"/>
      <c r="O2023" s="468" t="s">
        <v>10009</v>
      </c>
      <c r="P2023" s="2811">
        <v>10</v>
      </c>
      <c r="Q2023" s="575">
        <v>-45</v>
      </c>
      <c r="R2023" s="2818">
        <f>COUNTIF(PoderesDeCriatura_Adquiridos,Tablas!O2023)</f>
        <v>0</v>
      </c>
      <c r="S2023" s="422"/>
      <c r="T2023" s="2809"/>
      <c r="U2023" s="576"/>
      <c r="Y2023" s="2112"/>
      <c r="AB2023" s="413"/>
      <c r="AC2023" s="2795"/>
      <c r="AF2023" s="2620"/>
      <c r="AG2023" s="2620"/>
      <c r="AH2023" s="2620"/>
      <c r="AI2023" s="2620"/>
      <c r="AJ2023" s="2620"/>
      <c r="AK2023" s="2620"/>
      <c r="AL2023" s="2620"/>
      <c r="AM2023" s="2620"/>
      <c r="AN2023" s="2620"/>
      <c r="AO2023" s="2620"/>
      <c r="AP2023" s="2620"/>
      <c r="AQ2023" s="2620"/>
      <c r="AR2023" s="2620"/>
      <c r="AS2023" s="2620"/>
      <c r="AT2023" s="2620"/>
      <c r="AU2023" s="2620"/>
      <c r="AV2023" s="2620"/>
      <c r="AW2023" s="2620"/>
      <c r="AX2023" s="2620"/>
      <c r="AY2023" s="2620"/>
      <c r="AZ2023" s="2620"/>
      <c r="BA2023" s="2620"/>
      <c r="BB2023" s="2620"/>
      <c r="BC2023" s="2620"/>
      <c r="BD2023" s="2620"/>
      <c r="BE2023" s="2620"/>
      <c r="BF2023" s="2620"/>
      <c r="BG2023" s="2620"/>
      <c r="BH2023" s="2620"/>
      <c r="BI2023" s="2620"/>
      <c r="BJ2023" s="2620"/>
      <c r="BK2023" s="2620"/>
      <c r="BL2023" s="2620"/>
      <c r="BM2023" s="2620"/>
      <c r="BN2023" s="2620"/>
      <c r="BO2023" s="2620"/>
      <c r="BP2023" s="2620"/>
      <c r="BQ2023" s="2620"/>
      <c r="BR2023" s="2620"/>
      <c r="BS2023" s="2620"/>
    </row>
    <row r="2024" spans="1:71" ht="12.75" customHeight="1" x14ac:dyDescent="0.2">
      <c r="A2024" s="2029">
        <v>211</v>
      </c>
      <c r="B2024" s="4995"/>
      <c r="C2024" s="2112"/>
      <c r="H2024" s="413"/>
      <c r="M2024" s="1959"/>
      <c r="N2024" s="100"/>
      <c r="O2024" s="468" t="s">
        <v>10010</v>
      </c>
      <c r="P2024" s="2811">
        <v>10</v>
      </c>
      <c r="Q2024" s="575">
        <v>-50</v>
      </c>
      <c r="R2024" s="2818">
        <f>COUNTIF(PoderesDeCriatura_Adquiridos,Tablas!O2024)</f>
        <v>0</v>
      </c>
      <c r="S2024" s="422"/>
      <c r="T2024" s="2809"/>
      <c r="U2024" s="576"/>
      <c r="Y2024" s="2112"/>
      <c r="AB2024" s="413"/>
      <c r="AC2024" s="2795"/>
      <c r="AF2024" s="2620"/>
      <c r="AG2024" s="2620"/>
      <c r="AH2024" s="2620"/>
      <c r="AI2024" s="2620"/>
      <c r="AJ2024" s="2620"/>
      <c r="AK2024" s="2620"/>
      <c r="AL2024" s="2620"/>
      <c r="AM2024" s="2620"/>
      <c r="AN2024" s="2620"/>
      <c r="AO2024" s="2620"/>
      <c r="AP2024" s="2620"/>
      <c r="AQ2024" s="2620"/>
      <c r="AR2024" s="2620"/>
      <c r="AS2024" s="2620"/>
      <c r="AT2024" s="2620"/>
      <c r="AU2024" s="2620"/>
      <c r="AV2024" s="2620"/>
      <c r="AW2024" s="2620"/>
      <c r="AX2024" s="2620"/>
      <c r="AY2024" s="2620"/>
      <c r="AZ2024" s="2620"/>
      <c r="BA2024" s="2620"/>
      <c r="BB2024" s="2620"/>
      <c r="BC2024" s="2620"/>
      <c r="BD2024" s="2620"/>
      <c r="BE2024" s="2620"/>
      <c r="BF2024" s="2620"/>
      <c r="BG2024" s="2620"/>
      <c r="BH2024" s="2620"/>
      <c r="BI2024" s="2620"/>
      <c r="BJ2024" s="2620"/>
      <c r="BK2024" s="2620"/>
      <c r="BL2024" s="2620"/>
      <c r="BM2024" s="2620"/>
      <c r="BN2024" s="2620"/>
      <c r="BO2024" s="2620"/>
      <c r="BP2024" s="2620"/>
      <c r="BQ2024" s="2620"/>
      <c r="BR2024" s="2620"/>
      <c r="BS2024" s="2620"/>
    </row>
    <row r="2025" spans="1:71" ht="12.75" customHeight="1" x14ac:dyDescent="0.2">
      <c r="A2025" s="2029">
        <v>211</v>
      </c>
      <c r="B2025" s="4995"/>
      <c r="C2025" s="2112"/>
      <c r="H2025" s="413"/>
      <c r="M2025" s="1959"/>
      <c r="N2025" s="100"/>
      <c r="O2025" s="468" t="s">
        <v>10011</v>
      </c>
      <c r="P2025" s="2811">
        <v>10</v>
      </c>
      <c r="Q2025" s="575">
        <v>-60</v>
      </c>
      <c r="R2025" s="2818">
        <f>COUNTIF(PoderesDeCriatura_Adquiridos,Tablas!O2025)</f>
        <v>0</v>
      </c>
      <c r="S2025" s="422"/>
      <c r="T2025" s="2809"/>
      <c r="U2025" s="576"/>
      <c r="Y2025" s="2112"/>
      <c r="AB2025" s="413"/>
      <c r="AC2025" s="2795"/>
      <c r="AF2025" s="2620"/>
      <c r="AG2025" s="2620"/>
      <c r="AH2025" s="2620"/>
      <c r="AI2025" s="2620"/>
      <c r="AJ2025" s="2620"/>
      <c r="AK2025" s="2620"/>
      <c r="AL2025" s="2620"/>
      <c r="AM2025" s="2620"/>
      <c r="AN2025" s="2620"/>
      <c r="AO2025" s="2620"/>
      <c r="AP2025" s="2620"/>
      <c r="AQ2025" s="2620"/>
      <c r="AR2025" s="2620"/>
      <c r="AS2025" s="2620"/>
      <c r="AT2025" s="2620"/>
      <c r="AU2025" s="2620"/>
      <c r="AV2025" s="2620"/>
      <c r="AW2025" s="2620"/>
      <c r="AX2025" s="2620"/>
      <c r="AY2025" s="2620"/>
      <c r="AZ2025" s="2620"/>
      <c r="BA2025" s="2620"/>
      <c r="BB2025" s="2620"/>
      <c r="BC2025" s="2620"/>
      <c r="BD2025" s="2620"/>
      <c r="BE2025" s="2620"/>
      <c r="BF2025" s="2620"/>
      <c r="BG2025" s="2620"/>
      <c r="BH2025" s="2620"/>
      <c r="BI2025" s="2620"/>
      <c r="BJ2025" s="2620"/>
      <c r="BK2025" s="2620"/>
      <c r="BL2025" s="2620"/>
      <c r="BM2025" s="2620"/>
      <c r="BN2025" s="2620"/>
      <c r="BO2025" s="2620"/>
      <c r="BP2025" s="2620"/>
      <c r="BQ2025" s="2620"/>
      <c r="BR2025" s="2620"/>
      <c r="BS2025" s="2620"/>
    </row>
    <row r="2026" spans="1:71" ht="12.75" customHeight="1" x14ac:dyDescent="0.2">
      <c r="A2026" s="2029">
        <v>211</v>
      </c>
      <c r="B2026" s="4995"/>
      <c r="C2026" s="2112"/>
      <c r="H2026" s="413"/>
      <c r="M2026" s="1959"/>
      <c r="N2026" s="100"/>
      <c r="O2026" s="468" t="s">
        <v>1625</v>
      </c>
      <c r="P2026" s="2811"/>
      <c r="Q2026" s="575"/>
      <c r="R2026" s="2818"/>
      <c r="S2026" s="422"/>
      <c r="T2026" s="2809"/>
      <c r="U2026" s="576"/>
      <c r="Y2026" s="2112"/>
      <c r="AB2026" s="413"/>
      <c r="AC2026" s="2795"/>
      <c r="AF2026" s="2620"/>
      <c r="AG2026" s="2620"/>
      <c r="AH2026" s="2620"/>
      <c r="AI2026" s="2620"/>
      <c r="AJ2026" s="2620"/>
      <c r="AK2026" s="2620"/>
      <c r="AL2026" s="2620"/>
      <c r="AM2026" s="2620"/>
      <c r="AN2026" s="2620"/>
      <c r="AO2026" s="2620"/>
      <c r="AP2026" s="2620"/>
      <c r="AQ2026" s="2620"/>
      <c r="AR2026" s="2620"/>
      <c r="AS2026" s="2620"/>
      <c r="AT2026" s="2620"/>
      <c r="AU2026" s="2620"/>
      <c r="AV2026" s="2620"/>
      <c r="AW2026" s="2620"/>
      <c r="AX2026" s="2620"/>
      <c r="AY2026" s="2620"/>
      <c r="AZ2026" s="2620"/>
      <c r="BA2026" s="2620"/>
      <c r="BB2026" s="2620"/>
      <c r="BC2026" s="2620"/>
      <c r="BD2026" s="2620"/>
      <c r="BE2026" s="2620"/>
      <c r="BF2026" s="2620"/>
      <c r="BG2026" s="2620"/>
      <c r="BH2026" s="2620"/>
      <c r="BI2026" s="2620"/>
      <c r="BJ2026" s="2620"/>
      <c r="BK2026" s="2620"/>
      <c r="BL2026" s="2620"/>
      <c r="BM2026" s="2620"/>
      <c r="BN2026" s="2620"/>
      <c r="BO2026" s="2620"/>
      <c r="BP2026" s="2620"/>
      <c r="BQ2026" s="2620"/>
      <c r="BR2026" s="2620"/>
      <c r="BS2026" s="2620"/>
    </row>
    <row r="2027" spans="1:71" ht="12.75" customHeight="1" x14ac:dyDescent="0.2">
      <c r="A2027" s="2029">
        <v>211</v>
      </c>
      <c r="B2027" s="4995"/>
      <c r="C2027" s="2112"/>
      <c r="H2027" s="413"/>
      <c r="M2027" s="1959"/>
      <c r="N2027" s="100"/>
      <c r="O2027" s="468" t="s">
        <v>10012</v>
      </c>
      <c r="P2027" s="2811">
        <v>15</v>
      </c>
      <c r="Q2027" s="575">
        <v>40</v>
      </c>
      <c r="R2027" s="2818">
        <f>COUNTIF(PoderesDeCriatura_Adquiridos,Tablas!O2027)</f>
        <v>0</v>
      </c>
      <c r="S2027" s="422"/>
      <c r="T2027" s="2809"/>
      <c r="U2027" s="576"/>
      <c r="Y2027" s="2112"/>
      <c r="AB2027" s="413"/>
      <c r="AC2027" s="2795"/>
      <c r="AF2027" s="2620"/>
      <c r="AG2027" s="2620"/>
      <c r="AH2027" s="2620"/>
      <c r="AI2027" s="2620"/>
      <c r="AJ2027" s="2620"/>
      <c r="AK2027" s="2620"/>
      <c r="AL2027" s="2620"/>
      <c r="AM2027" s="2620"/>
      <c r="AN2027" s="2620"/>
      <c r="AO2027" s="2620"/>
      <c r="AP2027" s="2620"/>
      <c r="AQ2027" s="2620"/>
      <c r="AR2027" s="2620"/>
      <c r="AS2027" s="2620"/>
      <c r="AT2027" s="2620"/>
      <c r="AU2027" s="2620"/>
      <c r="AV2027" s="2620"/>
      <c r="AW2027" s="2620"/>
      <c r="AX2027" s="2620"/>
      <c r="AY2027" s="2620"/>
      <c r="AZ2027" s="2620"/>
      <c r="BA2027" s="2620"/>
      <c r="BB2027" s="2620"/>
      <c r="BC2027" s="2620"/>
      <c r="BD2027" s="2620"/>
      <c r="BE2027" s="2620"/>
      <c r="BF2027" s="2620"/>
      <c r="BG2027" s="2620"/>
      <c r="BH2027" s="2620"/>
      <c r="BI2027" s="2620"/>
      <c r="BJ2027" s="2620"/>
      <c r="BK2027" s="2620"/>
      <c r="BL2027" s="2620"/>
      <c r="BM2027" s="2620"/>
      <c r="BN2027" s="2620"/>
      <c r="BO2027" s="2620"/>
      <c r="BP2027" s="2620"/>
      <c r="BQ2027" s="2620"/>
      <c r="BR2027" s="2620"/>
      <c r="BS2027" s="2620"/>
    </row>
    <row r="2028" spans="1:71" ht="12.75" customHeight="1" x14ac:dyDescent="0.2">
      <c r="A2028" s="2029">
        <v>211</v>
      </c>
      <c r="B2028" s="4995"/>
      <c r="C2028" s="2112"/>
      <c r="H2028" s="413"/>
      <c r="M2028" s="1959"/>
      <c r="N2028" s="100"/>
      <c r="O2028" s="468" t="s">
        <v>10013</v>
      </c>
      <c r="P2028" s="2811">
        <v>20</v>
      </c>
      <c r="Q2028" s="575">
        <v>60</v>
      </c>
      <c r="R2028" s="2818">
        <f>COUNTIF(PoderesDeCriatura_Adquiridos,Tablas!O2028)</f>
        <v>0</v>
      </c>
      <c r="S2028" s="422"/>
      <c r="T2028" s="2809"/>
      <c r="U2028" s="576"/>
      <c r="Y2028" s="2112"/>
      <c r="AB2028" s="413"/>
      <c r="AC2028" s="2795"/>
      <c r="AF2028" s="2620"/>
      <c r="AG2028" s="2620"/>
      <c r="AH2028" s="2620"/>
      <c r="AI2028" s="2620"/>
      <c r="AJ2028" s="2620"/>
      <c r="AK2028" s="2620"/>
      <c r="AL2028" s="2620"/>
      <c r="AM2028" s="2620"/>
      <c r="AN2028" s="2620"/>
      <c r="AO2028" s="2620"/>
      <c r="AP2028" s="2620"/>
      <c r="AQ2028" s="2620"/>
      <c r="AR2028" s="2620"/>
      <c r="AS2028" s="2620"/>
      <c r="AT2028" s="2620"/>
      <c r="AU2028" s="2620"/>
      <c r="AV2028" s="2620"/>
      <c r="AW2028" s="2620"/>
      <c r="AX2028" s="2620"/>
      <c r="AY2028" s="2620"/>
      <c r="AZ2028" s="2620"/>
      <c r="BA2028" s="2620"/>
      <c r="BB2028" s="2620"/>
      <c r="BC2028" s="2620"/>
      <c r="BD2028" s="2620"/>
      <c r="BE2028" s="2620"/>
      <c r="BF2028" s="2620"/>
      <c r="BG2028" s="2620"/>
      <c r="BH2028" s="2620"/>
      <c r="BI2028" s="2620"/>
      <c r="BJ2028" s="2620"/>
      <c r="BK2028" s="2620"/>
      <c r="BL2028" s="2620"/>
      <c r="BM2028" s="2620"/>
      <c r="BN2028" s="2620"/>
      <c r="BO2028" s="2620"/>
      <c r="BP2028" s="2620"/>
      <c r="BQ2028" s="2620"/>
      <c r="BR2028" s="2620"/>
      <c r="BS2028" s="2620"/>
    </row>
    <row r="2029" spans="1:71" ht="12.75" customHeight="1" x14ac:dyDescent="0.2">
      <c r="A2029" s="2029">
        <v>211</v>
      </c>
      <c r="B2029" s="4995"/>
      <c r="C2029" s="2112"/>
      <c r="H2029" s="413"/>
      <c r="M2029" s="1959"/>
      <c r="N2029" s="100"/>
      <c r="O2029" s="468" t="s">
        <v>10014</v>
      </c>
      <c r="P2029" s="2811">
        <v>20</v>
      </c>
      <c r="Q2029" s="575">
        <v>80</v>
      </c>
      <c r="R2029" s="2818">
        <f>COUNTIF(PoderesDeCriatura_Adquiridos,Tablas!O2029)</f>
        <v>0</v>
      </c>
      <c r="S2029" s="422"/>
      <c r="T2029" s="2809"/>
      <c r="U2029" s="576"/>
      <c r="Y2029" s="2112"/>
      <c r="AB2029" s="413"/>
      <c r="AC2029" s="2795"/>
      <c r="AF2029" s="2620"/>
      <c r="AG2029" s="2620"/>
      <c r="AH2029" s="2620"/>
      <c r="AI2029" s="2620"/>
      <c r="AJ2029" s="2620"/>
      <c r="AK2029" s="2620"/>
      <c r="AL2029" s="2620"/>
      <c r="AM2029" s="2620"/>
      <c r="AN2029" s="2620"/>
      <c r="AO2029" s="2620"/>
      <c r="AP2029" s="2620"/>
      <c r="AQ2029" s="2620"/>
      <c r="AR2029" s="2620"/>
      <c r="AS2029" s="2620"/>
      <c r="AT2029" s="2620"/>
      <c r="AU2029" s="2620"/>
      <c r="AV2029" s="2620"/>
      <c r="AW2029" s="2620"/>
      <c r="AX2029" s="2620"/>
      <c r="AY2029" s="2620"/>
      <c r="AZ2029" s="2620"/>
      <c r="BA2029" s="2620"/>
      <c r="BB2029" s="2620"/>
      <c r="BC2029" s="2620"/>
      <c r="BD2029" s="2620"/>
      <c r="BE2029" s="2620"/>
      <c r="BF2029" s="2620"/>
      <c r="BG2029" s="2620"/>
      <c r="BH2029" s="2620"/>
      <c r="BI2029" s="2620"/>
      <c r="BJ2029" s="2620"/>
      <c r="BK2029" s="2620"/>
      <c r="BL2029" s="2620"/>
      <c r="BM2029" s="2620"/>
      <c r="BN2029" s="2620"/>
      <c r="BO2029" s="2620"/>
      <c r="BP2029" s="2620"/>
      <c r="BQ2029" s="2620"/>
      <c r="BR2029" s="2620"/>
      <c r="BS2029" s="2620"/>
    </row>
    <row r="2030" spans="1:71" ht="12.75" customHeight="1" x14ac:dyDescent="0.2">
      <c r="A2030" s="2029">
        <v>211</v>
      </c>
      <c r="B2030" s="4995"/>
      <c r="C2030" s="2112"/>
      <c r="H2030" s="413"/>
      <c r="M2030" s="1959"/>
      <c r="N2030" s="100"/>
      <c r="O2030" s="468" t="s">
        <v>10015</v>
      </c>
      <c r="P2030" s="2811">
        <v>25</v>
      </c>
      <c r="Q2030" s="575">
        <v>100</v>
      </c>
      <c r="R2030" s="2818">
        <f>COUNTIF(PoderesDeCriatura_Adquiridos,Tablas!O2030)</f>
        <v>0</v>
      </c>
      <c r="S2030" s="422"/>
      <c r="T2030" s="2809"/>
      <c r="U2030" s="576"/>
      <c r="Y2030" s="2112"/>
      <c r="AB2030" s="413"/>
      <c r="AC2030" s="2795"/>
      <c r="AF2030" s="2620"/>
      <c r="AG2030" s="2620"/>
      <c r="AH2030" s="2620"/>
      <c r="AI2030" s="2620"/>
      <c r="AJ2030" s="2620"/>
      <c r="AK2030" s="2620"/>
      <c r="AL2030" s="2620"/>
      <c r="AM2030" s="2620"/>
      <c r="AN2030" s="2620"/>
      <c r="AO2030" s="2620"/>
      <c r="AP2030" s="2620"/>
      <c r="AQ2030" s="2620"/>
      <c r="AR2030" s="2620"/>
      <c r="AS2030" s="2620"/>
      <c r="AT2030" s="2620"/>
      <c r="AU2030" s="2620"/>
      <c r="AV2030" s="2620"/>
      <c r="AW2030" s="2620"/>
      <c r="AX2030" s="2620"/>
      <c r="AY2030" s="2620"/>
      <c r="AZ2030" s="2620"/>
      <c r="BA2030" s="2620"/>
      <c r="BB2030" s="2620"/>
      <c r="BC2030" s="2620"/>
      <c r="BD2030" s="2620"/>
      <c r="BE2030" s="2620"/>
      <c r="BF2030" s="2620"/>
      <c r="BG2030" s="2620"/>
      <c r="BH2030" s="2620"/>
      <c r="BI2030" s="2620"/>
      <c r="BJ2030" s="2620"/>
      <c r="BK2030" s="2620"/>
      <c r="BL2030" s="2620"/>
      <c r="BM2030" s="2620"/>
      <c r="BN2030" s="2620"/>
      <c r="BO2030" s="2620"/>
      <c r="BP2030" s="2620"/>
      <c r="BQ2030" s="2620"/>
      <c r="BR2030" s="2620"/>
      <c r="BS2030" s="2620"/>
    </row>
    <row r="2031" spans="1:71" ht="12.75" customHeight="1" x14ac:dyDescent="0.2">
      <c r="A2031" s="2029">
        <v>211</v>
      </c>
      <c r="B2031" s="4995"/>
      <c r="C2031" s="2112"/>
      <c r="H2031" s="413"/>
      <c r="M2031" s="1959"/>
      <c r="N2031" s="100"/>
      <c r="O2031" s="468" t="s">
        <v>10016</v>
      </c>
      <c r="P2031" s="2811">
        <v>30</v>
      </c>
      <c r="Q2031" s="575">
        <v>140</v>
      </c>
      <c r="R2031" s="2818">
        <f>COUNTIF(PoderesDeCriatura_Adquiridos,Tablas!O2031)</f>
        <v>0</v>
      </c>
      <c r="S2031" s="422"/>
      <c r="T2031" s="2809"/>
      <c r="U2031" s="576"/>
      <c r="Y2031" s="2112"/>
      <c r="AB2031" s="413"/>
      <c r="AC2031" s="2795"/>
      <c r="AF2031" s="2620"/>
      <c r="AG2031" s="2620"/>
      <c r="AH2031" s="2620"/>
      <c r="AI2031" s="2620"/>
      <c r="AJ2031" s="2620"/>
      <c r="AK2031" s="2620"/>
      <c r="AL2031" s="2620"/>
      <c r="AM2031" s="2620"/>
      <c r="AN2031" s="2620"/>
      <c r="AO2031" s="2620"/>
      <c r="AP2031" s="2620"/>
      <c r="AQ2031" s="2620"/>
      <c r="AR2031" s="2620"/>
      <c r="AS2031" s="2620"/>
      <c r="AT2031" s="2620"/>
      <c r="AU2031" s="2620"/>
      <c r="AV2031" s="2620"/>
      <c r="AW2031" s="2620"/>
      <c r="AX2031" s="2620"/>
      <c r="AY2031" s="2620"/>
      <c r="AZ2031" s="2620"/>
      <c r="BA2031" s="2620"/>
      <c r="BB2031" s="2620"/>
      <c r="BC2031" s="2620"/>
      <c r="BD2031" s="2620"/>
      <c r="BE2031" s="2620"/>
      <c r="BF2031" s="2620"/>
      <c r="BG2031" s="2620"/>
      <c r="BH2031" s="2620"/>
      <c r="BI2031" s="2620"/>
      <c r="BJ2031" s="2620"/>
      <c r="BK2031" s="2620"/>
      <c r="BL2031" s="2620"/>
      <c r="BM2031" s="2620"/>
      <c r="BN2031" s="2620"/>
      <c r="BO2031" s="2620"/>
      <c r="BP2031" s="2620"/>
      <c r="BQ2031" s="2620"/>
      <c r="BR2031" s="2620"/>
      <c r="BS2031" s="2620"/>
    </row>
    <row r="2032" spans="1:71" ht="12.75" customHeight="1" x14ac:dyDescent="0.2">
      <c r="A2032" s="2029">
        <v>211</v>
      </c>
      <c r="B2032" s="4995"/>
      <c r="C2032" s="2112"/>
      <c r="H2032" s="413"/>
      <c r="M2032" s="1959"/>
      <c r="N2032" s="100"/>
      <c r="O2032" s="468" t="s">
        <v>10017</v>
      </c>
      <c r="P2032" s="2811">
        <v>35</v>
      </c>
      <c r="Q2032" s="575">
        <v>180</v>
      </c>
      <c r="R2032" s="2818">
        <f>COUNTIF(PoderesDeCriatura_Adquiridos,Tablas!O2032)</f>
        <v>0</v>
      </c>
      <c r="S2032" s="422"/>
      <c r="T2032" s="2809"/>
      <c r="U2032" s="576"/>
      <c r="Y2032" s="2112"/>
      <c r="AB2032" s="413"/>
      <c r="AC2032" s="2795"/>
      <c r="AF2032" s="2620"/>
      <c r="AG2032" s="2620"/>
      <c r="AH2032" s="2620"/>
      <c r="AI2032" s="2620"/>
      <c r="AJ2032" s="2620"/>
      <c r="AK2032" s="2620"/>
      <c r="AL2032" s="2620"/>
      <c r="AM2032" s="2620"/>
      <c r="AN2032" s="2620"/>
      <c r="AO2032" s="2620"/>
      <c r="AP2032" s="2620"/>
      <c r="AQ2032" s="2620"/>
      <c r="AR2032" s="2620"/>
      <c r="AS2032" s="2620"/>
      <c r="AT2032" s="2620"/>
      <c r="AU2032" s="2620"/>
      <c r="AV2032" s="2620"/>
      <c r="AW2032" s="2620"/>
      <c r="AX2032" s="2620"/>
      <c r="AY2032" s="2620"/>
      <c r="AZ2032" s="2620"/>
      <c r="BA2032" s="2620"/>
      <c r="BB2032" s="2620"/>
      <c r="BC2032" s="2620"/>
      <c r="BD2032" s="2620"/>
      <c r="BE2032" s="2620"/>
      <c r="BF2032" s="2620"/>
      <c r="BG2032" s="2620"/>
      <c r="BH2032" s="2620"/>
      <c r="BI2032" s="2620"/>
      <c r="BJ2032" s="2620"/>
      <c r="BK2032" s="2620"/>
      <c r="BL2032" s="2620"/>
      <c r="BM2032" s="2620"/>
      <c r="BN2032" s="2620"/>
      <c r="BO2032" s="2620"/>
      <c r="BP2032" s="2620"/>
      <c r="BQ2032" s="2620"/>
      <c r="BR2032" s="2620"/>
      <c r="BS2032" s="2620"/>
    </row>
    <row r="2033" spans="1:71" ht="12.75" customHeight="1" x14ac:dyDescent="0.2">
      <c r="A2033" s="2029">
        <v>211</v>
      </c>
      <c r="B2033" s="4995"/>
      <c r="C2033" s="2112"/>
      <c r="H2033" s="413"/>
      <c r="M2033" s="1959"/>
      <c r="N2033" s="100"/>
      <c r="O2033" s="468" t="s">
        <v>10018</v>
      </c>
      <c r="P2033" s="2811">
        <v>15</v>
      </c>
      <c r="Q2033" s="575">
        <v>30</v>
      </c>
      <c r="R2033" s="2818">
        <f>COUNTIF(PoderesDeCriatura_Adquiridos,Tablas!O2033)</f>
        <v>0</v>
      </c>
      <c r="S2033" s="422"/>
      <c r="T2033" s="2809"/>
      <c r="U2033" s="576"/>
      <c r="Y2033" s="2112"/>
      <c r="AB2033" s="413"/>
      <c r="AC2033" s="2795"/>
      <c r="AF2033" s="2620"/>
      <c r="AG2033" s="2620"/>
      <c r="AH2033" s="2620"/>
      <c r="AI2033" s="2620"/>
      <c r="AJ2033" s="2620"/>
      <c r="AK2033" s="2620"/>
      <c r="AL2033" s="2620"/>
      <c r="AM2033" s="2620"/>
      <c r="AN2033" s="2620"/>
      <c r="AO2033" s="2620"/>
      <c r="AP2033" s="2620"/>
      <c r="AQ2033" s="2620"/>
      <c r="AR2033" s="2620"/>
      <c r="AS2033" s="2620"/>
      <c r="AT2033" s="2620"/>
      <c r="AU2033" s="2620"/>
      <c r="AV2033" s="2620"/>
      <c r="AW2033" s="2620"/>
      <c r="AX2033" s="2620"/>
      <c r="AY2033" s="2620"/>
      <c r="AZ2033" s="2620"/>
      <c r="BA2033" s="2620"/>
      <c r="BB2033" s="2620"/>
      <c r="BC2033" s="2620"/>
      <c r="BD2033" s="2620"/>
      <c r="BE2033" s="2620"/>
      <c r="BF2033" s="2620"/>
      <c r="BG2033" s="2620"/>
      <c r="BH2033" s="2620"/>
      <c r="BI2033" s="2620"/>
      <c r="BJ2033" s="2620"/>
      <c r="BK2033" s="2620"/>
      <c r="BL2033" s="2620"/>
      <c r="BM2033" s="2620"/>
      <c r="BN2033" s="2620"/>
      <c r="BO2033" s="2620"/>
      <c r="BP2033" s="2620"/>
      <c r="BQ2033" s="2620"/>
      <c r="BR2033" s="2620"/>
      <c r="BS2033" s="2620"/>
    </row>
    <row r="2034" spans="1:71" ht="12.75" customHeight="1" x14ac:dyDescent="0.2">
      <c r="A2034" s="2029">
        <v>211</v>
      </c>
      <c r="B2034" s="4995"/>
      <c r="C2034" s="2112"/>
      <c r="H2034" s="413"/>
      <c r="M2034" s="1959"/>
      <c r="N2034" s="100"/>
      <c r="O2034" s="468" t="s">
        <v>10019</v>
      </c>
      <c r="P2034" s="2811">
        <v>15</v>
      </c>
      <c r="Q2034" s="575">
        <v>40</v>
      </c>
      <c r="R2034" s="2818">
        <f>COUNTIF(PoderesDeCriatura_Adquiridos,Tablas!O2034)</f>
        <v>0</v>
      </c>
      <c r="S2034" s="422"/>
      <c r="T2034" s="2809"/>
      <c r="U2034" s="576"/>
      <c r="Y2034" s="2112"/>
      <c r="AB2034" s="413"/>
      <c r="AC2034" s="2795"/>
      <c r="AF2034" s="2620"/>
      <c r="AG2034" s="2620"/>
      <c r="AH2034" s="2620"/>
      <c r="AI2034" s="2620"/>
      <c r="AJ2034" s="2620"/>
      <c r="AK2034" s="2620"/>
      <c r="AL2034" s="2620"/>
      <c r="AM2034" s="2620"/>
      <c r="AN2034" s="2620"/>
      <c r="AO2034" s="2620"/>
      <c r="AP2034" s="2620"/>
      <c r="AQ2034" s="2620"/>
      <c r="AR2034" s="2620"/>
      <c r="AS2034" s="2620"/>
      <c r="AT2034" s="2620"/>
      <c r="AU2034" s="2620"/>
      <c r="AV2034" s="2620"/>
      <c r="AW2034" s="2620"/>
      <c r="AX2034" s="2620"/>
      <c r="AY2034" s="2620"/>
      <c r="AZ2034" s="2620"/>
      <c r="BA2034" s="2620"/>
      <c r="BB2034" s="2620"/>
      <c r="BC2034" s="2620"/>
      <c r="BD2034" s="2620"/>
      <c r="BE2034" s="2620"/>
      <c r="BF2034" s="2620"/>
      <c r="BG2034" s="2620"/>
      <c r="BH2034" s="2620"/>
      <c r="BI2034" s="2620"/>
      <c r="BJ2034" s="2620"/>
      <c r="BK2034" s="2620"/>
      <c r="BL2034" s="2620"/>
      <c r="BM2034" s="2620"/>
      <c r="BN2034" s="2620"/>
      <c r="BO2034" s="2620"/>
      <c r="BP2034" s="2620"/>
      <c r="BQ2034" s="2620"/>
      <c r="BR2034" s="2620"/>
      <c r="BS2034" s="2620"/>
    </row>
    <row r="2035" spans="1:71" ht="12.75" customHeight="1" x14ac:dyDescent="0.2">
      <c r="A2035" s="2029">
        <v>211</v>
      </c>
      <c r="B2035" s="4995"/>
      <c r="C2035" s="2112"/>
      <c r="H2035" s="413"/>
      <c r="M2035" s="1959"/>
      <c r="N2035" s="100"/>
      <c r="O2035" s="468" t="s">
        <v>10020</v>
      </c>
      <c r="P2035" s="2811">
        <v>20</v>
      </c>
      <c r="Q2035" s="575">
        <v>50</v>
      </c>
      <c r="R2035" s="2818">
        <f>COUNTIF(PoderesDeCriatura_Adquiridos,Tablas!O2035)</f>
        <v>0</v>
      </c>
      <c r="S2035" s="422"/>
      <c r="T2035" s="2809"/>
      <c r="U2035" s="576"/>
      <c r="Y2035" s="2112"/>
      <c r="AB2035" s="413"/>
      <c r="AC2035" s="2795"/>
      <c r="AF2035" s="2620"/>
      <c r="AG2035" s="2620"/>
      <c r="AH2035" s="2620"/>
      <c r="AI2035" s="2620"/>
      <c r="AJ2035" s="2620"/>
      <c r="AK2035" s="2620"/>
      <c r="AL2035" s="2620"/>
      <c r="AM2035" s="2620"/>
      <c r="AN2035" s="2620"/>
      <c r="AO2035" s="2620"/>
      <c r="AP2035" s="2620"/>
      <c r="AQ2035" s="2620"/>
      <c r="AR2035" s="2620"/>
      <c r="AS2035" s="2620"/>
      <c r="AT2035" s="2620"/>
      <c r="AU2035" s="2620"/>
      <c r="AV2035" s="2620"/>
      <c r="AW2035" s="2620"/>
      <c r="AX2035" s="2620"/>
      <c r="AY2035" s="2620"/>
      <c r="AZ2035" s="2620"/>
      <c r="BA2035" s="2620"/>
      <c r="BB2035" s="2620"/>
      <c r="BC2035" s="2620"/>
      <c r="BD2035" s="2620"/>
      <c r="BE2035" s="2620"/>
      <c r="BF2035" s="2620"/>
      <c r="BG2035" s="2620"/>
      <c r="BH2035" s="2620"/>
      <c r="BI2035" s="2620"/>
      <c r="BJ2035" s="2620"/>
      <c r="BK2035" s="2620"/>
      <c r="BL2035" s="2620"/>
      <c r="BM2035" s="2620"/>
      <c r="BN2035" s="2620"/>
      <c r="BO2035" s="2620"/>
      <c r="BP2035" s="2620"/>
      <c r="BQ2035" s="2620"/>
      <c r="BR2035" s="2620"/>
      <c r="BS2035" s="2620"/>
    </row>
    <row r="2036" spans="1:71" ht="12.75" customHeight="1" x14ac:dyDescent="0.2">
      <c r="A2036" s="2029">
        <v>211</v>
      </c>
      <c r="B2036" s="4995"/>
      <c r="C2036" s="2112"/>
      <c r="H2036" s="413"/>
      <c r="M2036" s="1959"/>
      <c r="N2036" s="100"/>
      <c r="O2036" s="468" t="s">
        <v>10021</v>
      </c>
      <c r="P2036" s="2811">
        <v>20</v>
      </c>
      <c r="Q2036" s="575">
        <v>75</v>
      </c>
      <c r="R2036" s="2818">
        <f>COUNTIF(PoderesDeCriatura_Adquiridos,Tablas!O2036)</f>
        <v>0</v>
      </c>
      <c r="S2036" s="422"/>
      <c r="T2036" s="2809"/>
      <c r="U2036" s="576"/>
      <c r="Y2036" s="2112"/>
      <c r="AB2036" s="413"/>
      <c r="AC2036" s="2795"/>
      <c r="AF2036" s="2620"/>
      <c r="AG2036" s="2620"/>
      <c r="AH2036" s="2620"/>
      <c r="AI2036" s="2620"/>
      <c r="AJ2036" s="2620"/>
      <c r="AK2036" s="2620"/>
      <c r="AL2036" s="2620"/>
      <c r="AM2036" s="2620"/>
      <c r="AN2036" s="2620"/>
      <c r="AO2036" s="2620"/>
      <c r="AP2036" s="2620"/>
      <c r="AQ2036" s="2620"/>
      <c r="AR2036" s="2620"/>
      <c r="AS2036" s="2620"/>
      <c r="AT2036" s="2620"/>
      <c r="AU2036" s="2620"/>
      <c r="AV2036" s="2620"/>
      <c r="AW2036" s="2620"/>
      <c r="AX2036" s="2620"/>
      <c r="AY2036" s="2620"/>
      <c r="AZ2036" s="2620"/>
      <c r="BA2036" s="2620"/>
      <c r="BB2036" s="2620"/>
      <c r="BC2036" s="2620"/>
      <c r="BD2036" s="2620"/>
      <c r="BE2036" s="2620"/>
      <c r="BF2036" s="2620"/>
      <c r="BG2036" s="2620"/>
      <c r="BH2036" s="2620"/>
      <c r="BI2036" s="2620"/>
      <c r="BJ2036" s="2620"/>
      <c r="BK2036" s="2620"/>
      <c r="BL2036" s="2620"/>
      <c r="BM2036" s="2620"/>
      <c r="BN2036" s="2620"/>
      <c r="BO2036" s="2620"/>
      <c r="BP2036" s="2620"/>
      <c r="BQ2036" s="2620"/>
      <c r="BR2036" s="2620"/>
      <c r="BS2036" s="2620"/>
    </row>
    <row r="2037" spans="1:71" ht="12.75" customHeight="1" x14ac:dyDescent="0.2">
      <c r="A2037" s="2029">
        <v>211</v>
      </c>
      <c r="B2037" s="4995"/>
      <c r="C2037" s="2112"/>
      <c r="H2037" s="413"/>
      <c r="M2037" s="1959"/>
      <c r="N2037" s="100"/>
      <c r="O2037" s="468" t="s">
        <v>10022</v>
      </c>
      <c r="P2037" s="2811">
        <v>25</v>
      </c>
      <c r="Q2037" s="575">
        <v>100</v>
      </c>
      <c r="R2037" s="2818">
        <f>COUNTIF(PoderesDeCriatura_Adquiridos,Tablas!O2037)</f>
        <v>0</v>
      </c>
      <c r="S2037" s="422"/>
      <c r="T2037" s="2809"/>
      <c r="U2037" s="576"/>
      <c r="Y2037" s="2112"/>
      <c r="AB2037" s="413"/>
      <c r="AC2037" s="2795"/>
      <c r="AF2037" s="2620"/>
      <c r="AG2037" s="2620"/>
      <c r="AH2037" s="2620"/>
      <c r="AI2037" s="2620"/>
      <c r="AJ2037" s="2620"/>
      <c r="AK2037" s="2620"/>
      <c r="AL2037" s="2620"/>
      <c r="AM2037" s="2620"/>
      <c r="AN2037" s="2620"/>
      <c r="AO2037" s="2620"/>
      <c r="AP2037" s="2620"/>
      <c r="AQ2037" s="2620"/>
      <c r="AR2037" s="2620"/>
      <c r="AS2037" s="2620"/>
      <c r="AT2037" s="2620"/>
      <c r="AU2037" s="2620"/>
      <c r="AV2037" s="2620"/>
      <c r="AW2037" s="2620"/>
      <c r="AX2037" s="2620"/>
      <c r="AY2037" s="2620"/>
      <c r="AZ2037" s="2620"/>
      <c r="BA2037" s="2620"/>
      <c r="BB2037" s="2620"/>
      <c r="BC2037" s="2620"/>
      <c r="BD2037" s="2620"/>
      <c r="BE2037" s="2620"/>
      <c r="BF2037" s="2620"/>
      <c r="BG2037" s="2620"/>
      <c r="BH2037" s="2620"/>
      <c r="BI2037" s="2620"/>
      <c r="BJ2037" s="2620"/>
      <c r="BK2037" s="2620"/>
      <c r="BL2037" s="2620"/>
      <c r="BM2037" s="2620"/>
      <c r="BN2037" s="2620"/>
      <c r="BO2037" s="2620"/>
      <c r="BP2037" s="2620"/>
      <c r="BQ2037" s="2620"/>
      <c r="BR2037" s="2620"/>
      <c r="BS2037" s="2620"/>
    </row>
    <row r="2038" spans="1:71" ht="12.75" customHeight="1" x14ac:dyDescent="0.2">
      <c r="A2038" s="2029">
        <v>211</v>
      </c>
      <c r="B2038" s="4995"/>
      <c r="C2038" s="2112"/>
      <c r="H2038" s="413"/>
      <c r="M2038" s="1959"/>
      <c r="N2038" s="100"/>
      <c r="O2038" s="468" t="s">
        <v>10023</v>
      </c>
      <c r="P2038" s="2811">
        <v>30</v>
      </c>
      <c r="Q2038" s="575">
        <v>125</v>
      </c>
      <c r="R2038" s="2818">
        <f>COUNTIF(PoderesDeCriatura_Adquiridos,Tablas!O2038)</f>
        <v>0</v>
      </c>
      <c r="S2038" s="422"/>
      <c r="T2038" s="2809"/>
      <c r="U2038" s="576"/>
      <c r="Y2038" s="2112"/>
      <c r="AB2038" s="413"/>
      <c r="AC2038" s="2795"/>
      <c r="AF2038" s="2620"/>
      <c r="AG2038" s="2620"/>
      <c r="AH2038" s="2620"/>
      <c r="AI2038" s="2620"/>
      <c r="AJ2038" s="2620"/>
      <c r="AK2038" s="2620"/>
      <c r="AL2038" s="2620"/>
      <c r="AM2038" s="2620"/>
      <c r="AN2038" s="2620"/>
      <c r="AO2038" s="2620"/>
      <c r="AP2038" s="2620"/>
      <c r="AQ2038" s="2620"/>
      <c r="AR2038" s="2620"/>
      <c r="AS2038" s="2620"/>
      <c r="AT2038" s="2620"/>
      <c r="AU2038" s="2620"/>
      <c r="AV2038" s="2620"/>
      <c r="AW2038" s="2620"/>
      <c r="AX2038" s="2620"/>
      <c r="AY2038" s="2620"/>
      <c r="AZ2038" s="2620"/>
      <c r="BA2038" s="2620"/>
      <c r="BB2038" s="2620"/>
      <c r="BC2038" s="2620"/>
      <c r="BD2038" s="2620"/>
      <c r="BE2038" s="2620"/>
      <c r="BF2038" s="2620"/>
      <c r="BG2038" s="2620"/>
      <c r="BH2038" s="2620"/>
      <c r="BI2038" s="2620"/>
      <c r="BJ2038" s="2620"/>
      <c r="BK2038" s="2620"/>
      <c r="BL2038" s="2620"/>
      <c r="BM2038" s="2620"/>
      <c r="BN2038" s="2620"/>
      <c r="BO2038" s="2620"/>
      <c r="BP2038" s="2620"/>
      <c r="BQ2038" s="2620"/>
      <c r="BR2038" s="2620"/>
      <c r="BS2038" s="2620"/>
    </row>
    <row r="2039" spans="1:71" ht="12.75" customHeight="1" x14ac:dyDescent="0.2">
      <c r="A2039" s="2029">
        <v>211</v>
      </c>
      <c r="B2039" s="4995"/>
      <c r="C2039" s="2112"/>
      <c r="H2039" s="413"/>
      <c r="M2039" s="1959"/>
      <c r="N2039" s="100"/>
      <c r="O2039" s="468" t="s">
        <v>10024</v>
      </c>
      <c r="P2039" s="2811">
        <v>35</v>
      </c>
      <c r="Q2039" s="575">
        <v>150</v>
      </c>
      <c r="R2039" s="2818">
        <f>COUNTIF(PoderesDeCriatura_Adquiridos,Tablas!O2039)</f>
        <v>0</v>
      </c>
      <c r="S2039" s="422"/>
      <c r="T2039" s="2809"/>
      <c r="U2039" s="576"/>
      <c r="Y2039" s="2112"/>
      <c r="AB2039" s="413"/>
      <c r="AC2039" s="2795"/>
      <c r="AF2039" s="2620"/>
      <c r="AG2039" s="2620"/>
      <c r="AH2039" s="2620"/>
      <c r="AI2039" s="2620"/>
      <c r="AJ2039" s="2620"/>
      <c r="AK2039" s="2620"/>
      <c r="AL2039" s="2620"/>
      <c r="AM2039" s="2620"/>
      <c r="AN2039" s="2620"/>
      <c r="AO2039" s="2620"/>
      <c r="AP2039" s="2620"/>
      <c r="AQ2039" s="2620"/>
      <c r="AR2039" s="2620"/>
      <c r="AS2039" s="2620"/>
      <c r="AT2039" s="2620"/>
      <c r="AU2039" s="2620"/>
      <c r="AV2039" s="2620"/>
      <c r="AW2039" s="2620"/>
      <c r="AX2039" s="2620"/>
      <c r="AY2039" s="2620"/>
      <c r="AZ2039" s="2620"/>
      <c r="BA2039" s="2620"/>
      <c r="BB2039" s="2620"/>
      <c r="BC2039" s="2620"/>
      <c r="BD2039" s="2620"/>
      <c r="BE2039" s="2620"/>
      <c r="BF2039" s="2620"/>
      <c r="BG2039" s="2620"/>
      <c r="BH2039" s="2620"/>
      <c r="BI2039" s="2620"/>
      <c r="BJ2039" s="2620"/>
      <c r="BK2039" s="2620"/>
      <c r="BL2039" s="2620"/>
      <c r="BM2039" s="2620"/>
      <c r="BN2039" s="2620"/>
      <c r="BO2039" s="2620"/>
      <c r="BP2039" s="2620"/>
      <c r="BQ2039" s="2620"/>
      <c r="BR2039" s="2620"/>
      <c r="BS2039" s="2620"/>
    </row>
    <row r="2040" spans="1:71" ht="12.75" customHeight="1" x14ac:dyDescent="0.2">
      <c r="A2040" s="2029">
        <v>211</v>
      </c>
      <c r="B2040" s="4995"/>
      <c r="C2040" s="2112"/>
      <c r="H2040" s="413"/>
      <c r="M2040" s="1959"/>
      <c r="N2040" s="100"/>
      <c r="O2040" s="468" t="s">
        <v>10025</v>
      </c>
      <c r="P2040" s="2811">
        <v>15</v>
      </c>
      <c r="Q2040" s="575">
        <v>60</v>
      </c>
      <c r="R2040" s="2818">
        <f>COUNTIF(PoderesDeCriatura_Adquiridos,Tablas!O2040)</f>
        <v>0</v>
      </c>
      <c r="S2040" s="422"/>
      <c r="T2040" s="2809"/>
      <c r="U2040" s="576"/>
      <c r="Y2040" s="2112"/>
      <c r="AB2040" s="413"/>
      <c r="AC2040" s="2795"/>
      <c r="AF2040" s="2620"/>
      <c r="AG2040" s="2620"/>
      <c r="AH2040" s="2620"/>
      <c r="AI2040" s="2620"/>
      <c r="AJ2040" s="2620"/>
      <c r="AK2040" s="2620"/>
      <c r="AL2040" s="2620"/>
      <c r="AM2040" s="2620"/>
      <c r="AN2040" s="2620"/>
      <c r="AO2040" s="2620"/>
      <c r="AP2040" s="2620"/>
      <c r="AQ2040" s="2620"/>
      <c r="AR2040" s="2620"/>
      <c r="AS2040" s="2620"/>
      <c r="AT2040" s="2620"/>
      <c r="AU2040" s="2620"/>
      <c r="AV2040" s="2620"/>
      <c r="AW2040" s="2620"/>
      <c r="AX2040" s="2620"/>
      <c r="AY2040" s="2620"/>
      <c r="AZ2040" s="2620"/>
      <c r="BA2040" s="2620"/>
      <c r="BB2040" s="2620"/>
      <c r="BC2040" s="2620"/>
      <c r="BD2040" s="2620"/>
      <c r="BE2040" s="2620"/>
      <c r="BF2040" s="2620"/>
      <c r="BG2040" s="2620"/>
      <c r="BH2040" s="2620"/>
      <c r="BI2040" s="2620"/>
      <c r="BJ2040" s="2620"/>
      <c r="BK2040" s="2620"/>
      <c r="BL2040" s="2620"/>
      <c r="BM2040" s="2620"/>
      <c r="BN2040" s="2620"/>
      <c r="BO2040" s="2620"/>
      <c r="BP2040" s="2620"/>
      <c r="BQ2040" s="2620"/>
      <c r="BR2040" s="2620"/>
      <c r="BS2040" s="2620"/>
    </row>
    <row r="2041" spans="1:71" ht="12.75" customHeight="1" x14ac:dyDescent="0.2">
      <c r="A2041" s="2029">
        <v>211</v>
      </c>
      <c r="B2041" s="4995"/>
      <c r="C2041" s="2112"/>
      <c r="H2041" s="413"/>
      <c r="M2041" s="1959"/>
      <c r="N2041" s="100"/>
      <c r="O2041" s="468" t="s">
        <v>10026</v>
      </c>
      <c r="P2041" s="2811">
        <v>20</v>
      </c>
      <c r="Q2041" s="575">
        <v>80</v>
      </c>
      <c r="R2041" s="2818">
        <f>COUNTIF(PoderesDeCriatura_Adquiridos,Tablas!O2041)</f>
        <v>0</v>
      </c>
      <c r="S2041" s="422"/>
      <c r="T2041" s="2809"/>
      <c r="U2041" s="576"/>
      <c r="Y2041" s="2112"/>
      <c r="AB2041" s="413"/>
      <c r="AC2041" s="2795"/>
      <c r="AF2041" s="2620"/>
      <c r="AG2041" s="2620"/>
      <c r="AH2041" s="2620"/>
      <c r="AI2041" s="2620"/>
      <c r="AJ2041" s="2620"/>
      <c r="AK2041" s="2620"/>
      <c r="AL2041" s="2620"/>
      <c r="AM2041" s="2620"/>
      <c r="AN2041" s="2620"/>
      <c r="AO2041" s="2620"/>
      <c r="AP2041" s="2620"/>
      <c r="AQ2041" s="2620"/>
      <c r="AR2041" s="2620"/>
      <c r="AS2041" s="2620"/>
      <c r="AT2041" s="2620"/>
      <c r="AU2041" s="2620"/>
      <c r="AV2041" s="2620"/>
      <c r="AW2041" s="2620"/>
      <c r="AX2041" s="2620"/>
      <c r="AY2041" s="2620"/>
      <c r="AZ2041" s="2620"/>
      <c r="BA2041" s="2620"/>
      <c r="BB2041" s="2620"/>
      <c r="BC2041" s="2620"/>
      <c r="BD2041" s="2620"/>
      <c r="BE2041" s="2620"/>
      <c r="BF2041" s="2620"/>
      <c r="BG2041" s="2620"/>
      <c r="BH2041" s="2620"/>
      <c r="BI2041" s="2620"/>
      <c r="BJ2041" s="2620"/>
      <c r="BK2041" s="2620"/>
      <c r="BL2041" s="2620"/>
      <c r="BM2041" s="2620"/>
      <c r="BN2041" s="2620"/>
      <c r="BO2041" s="2620"/>
      <c r="BP2041" s="2620"/>
      <c r="BQ2041" s="2620"/>
      <c r="BR2041" s="2620"/>
      <c r="BS2041" s="2620"/>
    </row>
    <row r="2042" spans="1:71" ht="12.75" customHeight="1" x14ac:dyDescent="0.2">
      <c r="A2042" s="2029">
        <v>211</v>
      </c>
      <c r="B2042" s="4995"/>
      <c r="C2042" s="2112"/>
      <c r="H2042" s="413"/>
      <c r="M2042" s="1959"/>
      <c r="N2042" s="100"/>
      <c r="O2042" s="468" t="s">
        <v>10027</v>
      </c>
      <c r="P2042" s="2811">
        <v>25</v>
      </c>
      <c r="Q2042" s="575">
        <v>120</v>
      </c>
      <c r="R2042" s="2818">
        <f>COUNTIF(PoderesDeCriatura_Adquiridos,Tablas!O2042)</f>
        <v>0</v>
      </c>
      <c r="S2042" s="422"/>
      <c r="T2042" s="2809"/>
      <c r="U2042" s="576"/>
      <c r="Y2042" s="2112"/>
      <c r="AB2042" s="413"/>
      <c r="AC2042" s="2795"/>
      <c r="AF2042" s="2620"/>
      <c r="AG2042" s="2620"/>
      <c r="AH2042" s="2620"/>
      <c r="AI2042" s="2620"/>
      <c r="AJ2042" s="2620"/>
      <c r="AK2042" s="2620"/>
      <c r="AL2042" s="2620"/>
      <c r="AM2042" s="2620"/>
      <c r="AN2042" s="2620"/>
      <c r="AO2042" s="2620"/>
      <c r="AP2042" s="2620"/>
      <c r="AQ2042" s="2620"/>
      <c r="AR2042" s="2620"/>
      <c r="AS2042" s="2620"/>
      <c r="AT2042" s="2620"/>
      <c r="AU2042" s="2620"/>
      <c r="AV2042" s="2620"/>
      <c r="AW2042" s="2620"/>
      <c r="AX2042" s="2620"/>
      <c r="AY2042" s="2620"/>
      <c r="AZ2042" s="2620"/>
      <c r="BA2042" s="2620"/>
      <c r="BB2042" s="2620"/>
      <c r="BC2042" s="2620"/>
      <c r="BD2042" s="2620"/>
      <c r="BE2042" s="2620"/>
      <c r="BF2042" s="2620"/>
      <c r="BG2042" s="2620"/>
      <c r="BH2042" s="2620"/>
      <c r="BI2042" s="2620"/>
      <c r="BJ2042" s="2620"/>
      <c r="BK2042" s="2620"/>
      <c r="BL2042" s="2620"/>
      <c r="BM2042" s="2620"/>
      <c r="BN2042" s="2620"/>
      <c r="BO2042" s="2620"/>
      <c r="BP2042" s="2620"/>
      <c r="BQ2042" s="2620"/>
      <c r="BR2042" s="2620"/>
      <c r="BS2042" s="2620"/>
    </row>
    <row r="2043" spans="1:71" ht="12.75" customHeight="1" x14ac:dyDescent="0.2">
      <c r="A2043" s="2029">
        <v>211</v>
      </c>
      <c r="B2043" s="4995"/>
      <c r="C2043" s="2112"/>
      <c r="H2043" s="413"/>
      <c r="M2043" s="1959"/>
      <c r="N2043" s="100"/>
      <c r="O2043" s="468" t="s">
        <v>10028</v>
      </c>
      <c r="P2043" s="2811">
        <v>30</v>
      </c>
      <c r="Q2043" s="575">
        <v>140</v>
      </c>
      <c r="R2043" s="2818">
        <f>COUNTIF(PoderesDeCriatura_Adquiridos,Tablas!O2043)</f>
        <v>0</v>
      </c>
      <c r="S2043" s="422"/>
      <c r="T2043" s="2809"/>
      <c r="U2043" s="576"/>
      <c r="Y2043" s="2112"/>
      <c r="AB2043" s="413"/>
      <c r="AC2043" s="2795"/>
      <c r="AF2043" s="2620"/>
      <c r="AG2043" s="2620"/>
      <c r="AH2043" s="2620"/>
      <c r="AI2043" s="2620"/>
      <c r="AJ2043" s="2620"/>
      <c r="AK2043" s="2620"/>
      <c r="AL2043" s="2620"/>
      <c r="AM2043" s="2620"/>
      <c r="AN2043" s="2620"/>
      <c r="AO2043" s="2620"/>
      <c r="AP2043" s="2620"/>
      <c r="AQ2043" s="2620"/>
      <c r="AR2043" s="2620"/>
      <c r="AS2043" s="2620"/>
      <c r="AT2043" s="2620"/>
      <c r="AU2043" s="2620"/>
      <c r="AV2043" s="2620"/>
      <c r="AW2043" s="2620"/>
      <c r="AX2043" s="2620"/>
      <c r="AY2043" s="2620"/>
      <c r="AZ2043" s="2620"/>
      <c r="BA2043" s="2620"/>
      <c r="BB2043" s="2620"/>
      <c r="BC2043" s="2620"/>
      <c r="BD2043" s="2620"/>
      <c r="BE2043" s="2620"/>
      <c r="BF2043" s="2620"/>
      <c r="BG2043" s="2620"/>
      <c r="BH2043" s="2620"/>
      <c r="BI2043" s="2620"/>
      <c r="BJ2043" s="2620"/>
      <c r="BK2043" s="2620"/>
      <c r="BL2043" s="2620"/>
      <c r="BM2043" s="2620"/>
      <c r="BN2043" s="2620"/>
      <c r="BO2043" s="2620"/>
      <c r="BP2043" s="2620"/>
      <c r="BQ2043" s="2620"/>
      <c r="BR2043" s="2620"/>
      <c r="BS2043" s="2620"/>
    </row>
    <row r="2044" spans="1:71" ht="12.75" customHeight="1" x14ac:dyDescent="0.2">
      <c r="A2044" s="2029">
        <v>211</v>
      </c>
      <c r="B2044" s="4995"/>
      <c r="C2044" s="2112"/>
      <c r="H2044" s="413"/>
      <c r="M2044" s="1959"/>
      <c r="N2044" s="100"/>
      <c r="O2044" s="468" t="s">
        <v>10029</v>
      </c>
      <c r="P2044" s="2811">
        <v>15</v>
      </c>
      <c r="Q2044" s="575">
        <v>-30</v>
      </c>
      <c r="R2044" s="2818">
        <f>COUNTIF(PoderesDeCriatura_Adquiridos,Tablas!O2044)</f>
        <v>0</v>
      </c>
      <c r="S2044" s="422"/>
      <c r="T2044" s="2809"/>
      <c r="U2044" s="576"/>
      <c r="Y2044" s="2112"/>
      <c r="AB2044" s="413"/>
      <c r="AC2044" s="2795"/>
      <c r="AF2044" s="2620"/>
      <c r="AG2044" s="2620"/>
      <c r="AH2044" s="2620"/>
      <c r="AI2044" s="2620"/>
      <c r="AJ2044" s="2620"/>
      <c r="AK2044" s="2620"/>
      <c r="AL2044" s="2620"/>
      <c r="AM2044" s="2620"/>
      <c r="AN2044" s="2620"/>
      <c r="AO2044" s="2620"/>
      <c r="AP2044" s="2620"/>
      <c r="AQ2044" s="2620"/>
      <c r="AR2044" s="2620"/>
      <c r="AS2044" s="2620"/>
      <c r="AT2044" s="2620"/>
      <c r="AU2044" s="2620"/>
      <c r="AV2044" s="2620"/>
      <c r="AW2044" s="2620"/>
      <c r="AX2044" s="2620"/>
      <c r="AY2044" s="2620"/>
      <c r="AZ2044" s="2620"/>
      <c r="BA2044" s="2620"/>
      <c r="BB2044" s="2620"/>
      <c r="BC2044" s="2620"/>
      <c r="BD2044" s="2620"/>
      <c r="BE2044" s="2620"/>
      <c r="BF2044" s="2620"/>
      <c r="BG2044" s="2620"/>
      <c r="BH2044" s="2620"/>
      <c r="BI2044" s="2620"/>
      <c r="BJ2044" s="2620"/>
      <c r="BK2044" s="2620"/>
      <c r="BL2044" s="2620"/>
      <c r="BM2044" s="2620"/>
      <c r="BN2044" s="2620"/>
      <c r="BO2044" s="2620"/>
      <c r="BP2044" s="2620"/>
      <c r="BQ2044" s="2620"/>
      <c r="BR2044" s="2620"/>
      <c r="BS2044" s="2620"/>
    </row>
    <row r="2045" spans="1:71" ht="12.75" customHeight="1" x14ac:dyDescent="0.2">
      <c r="A2045" s="2029">
        <v>211</v>
      </c>
      <c r="B2045" s="4995"/>
      <c r="C2045" s="2112"/>
      <c r="H2045" s="413"/>
      <c r="M2045" s="1959"/>
      <c r="N2045" s="100"/>
      <c r="O2045" s="468" t="s">
        <v>10030</v>
      </c>
      <c r="P2045" s="2811">
        <v>15</v>
      </c>
      <c r="Q2045" s="575">
        <v>-20</v>
      </c>
      <c r="R2045" s="2818">
        <f>COUNTIF(PoderesDeCriatura_Adquiridos,Tablas!O2045)</f>
        <v>0</v>
      </c>
      <c r="S2045" s="422"/>
      <c r="T2045" s="2809"/>
      <c r="U2045" s="576"/>
      <c r="Y2045" s="2112"/>
      <c r="AB2045" s="413"/>
      <c r="AC2045" s="2795"/>
      <c r="AF2045" s="2620"/>
      <c r="AG2045" s="2620"/>
      <c r="AH2045" s="2620"/>
      <c r="AI2045" s="2620"/>
      <c r="AJ2045" s="2620"/>
      <c r="AK2045" s="2620"/>
      <c r="AL2045" s="2620"/>
      <c r="AM2045" s="2620"/>
      <c r="AN2045" s="2620"/>
      <c r="AO2045" s="2620"/>
      <c r="AP2045" s="2620"/>
      <c r="AQ2045" s="2620"/>
      <c r="AR2045" s="2620"/>
      <c r="AS2045" s="2620"/>
      <c r="AT2045" s="2620"/>
      <c r="AU2045" s="2620"/>
      <c r="AV2045" s="2620"/>
      <c r="AW2045" s="2620"/>
      <c r="AX2045" s="2620"/>
      <c r="AY2045" s="2620"/>
      <c r="AZ2045" s="2620"/>
      <c r="BA2045" s="2620"/>
      <c r="BB2045" s="2620"/>
      <c r="BC2045" s="2620"/>
      <c r="BD2045" s="2620"/>
      <c r="BE2045" s="2620"/>
      <c r="BF2045" s="2620"/>
      <c r="BG2045" s="2620"/>
      <c r="BH2045" s="2620"/>
      <c r="BI2045" s="2620"/>
      <c r="BJ2045" s="2620"/>
      <c r="BK2045" s="2620"/>
      <c r="BL2045" s="2620"/>
      <c r="BM2045" s="2620"/>
      <c r="BN2045" s="2620"/>
      <c r="BO2045" s="2620"/>
      <c r="BP2045" s="2620"/>
      <c r="BQ2045" s="2620"/>
      <c r="BR2045" s="2620"/>
      <c r="BS2045" s="2620"/>
    </row>
    <row r="2046" spans="1:71" ht="12.75" customHeight="1" x14ac:dyDescent="0.2">
      <c r="A2046" s="2029">
        <v>211</v>
      </c>
      <c r="B2046" s="4995"/>
      <c r="C2046" s="2112"/>
      <c r="H2046" s="413"/>
      <c r="M2046" s="1959"/>
      <c r="N2046" s="100"/>
      <c r="O2046" s="468" t="s">
        <v>10031</v>
      </c>
      <c r="P2046" s="2811">
        <v>15</v>
      </c>
      <c r="Q2046" s="575">
        <v>-10</v>
      </c>
      <c r="R2046" s="2818">
        <f>COUNTIF(PoderesDeCriatura_Adquiridos,Tablas!O2046)</f>
        <v>0</v>
      </c>
      <c r="S2046" s="422"/>
      <c r="T2046" s="2809"/>
      <c r="U2046" s="576"/>
      <c r="Y2046" s="2112"/>
      <c r="AB2046" s="413"/>
      <c r="AC2046" s="2795"/>
      <c r="AF2046" s="2620"/>
      <c r="AG2046" s="2620"/>
      <c r="AH2046" s="2620"/>
      <c r="AI2046" s="2620"/>
      <c r="AJ2046" s="2620"/>
      <c r="AK2046" s="2620"/>
      <c r="AL2046" s="2620"/>
      <c r="AM2046" s="2620"/>
      <c r="AN2046" s="2620"/>
      <c r="AO2046" s="2620"/>
      <c r="AP2046" s="2620"/>
      <c r="AQ2046" s="2620"/>
      <c r="AR2046" s="2620"/>
      <c r="AS2046" s="2620"/>
      <c r="AT2046" s="2620"/>
      <c r="AU2046" s="2620"/>
      <c r="AV2046" s="2620"/>
      <c r="AW2046" s="2620"/>
      <c r="AX2046" s="2620"/>
      <c r="AY2046" s="2620"/>
      <c r="AZ2046" s="2620"/>
      <c r="BA2046" s="2620"/>
      <c r="BB2046" s="2620"/>
      <c r="BC2046" s="2620"/>
      <c r="BD2046" s="2620"/>
      <c r="BE2046" s="2620"/>
      <c r="BF2046" s="2620"/>
      <c r="BG2046" s="2620"/>
      <c r="BH2046" s="2620"/>
      <c r="BI2046" s="2620"/>
      <c r="BJ2046" s="2620"/>
      <c r="BK2046" s="2620"/>
      <c r="BL2046" s="2620"/>
      <c r="BM2046" s="2620"/>
      <c r="BN2046" s="2620"/>
      <c r="BO2046" s="2620"/>
      <c r="BP2046" s="2620"/>
      <c r="BQ2046" s="2620"/>
      <c r="BR2046" s="2620"/>
      <c r="BS2046" s="2620"/>
    </row>
    <row r="2047" spans="1:71" ht="12.75" customHeight="1" x14ac:dyDescent="0.2">
      <c r="A2047" s="2029">
        <v>211</v>
      </c>
      <c r="B2047" s="4995"/>
      <c r="C2047" s="2112"/>
      <c r="H2047" s="413"/>
      <c r="M2047" s="1959"/>
      <c r="N2047" s="100"/>
      <c r="O2047" s="468" t="s">
        <v>10032</v>
      </c>
      <c r="P2047" s="2811">
        <v>15</v>
      </c>
      <c r="Q2047" s="575">
        <v>-10</v>
      </c>
      <c r="R2047" s="2818">
        <f>COUNTIF(PoderesDeCriatura_Adquiridos,Tablas!O2047)</f>
        <v>0</v>
      </c>
      <c r="S2047" s="422"/>
      <c r="T2047" s="2809"/>
      <c r="U2047" s="576"/>
      <c r="Y2047" s="2112"/>
      <c r="AB2047" s="413"/>
      <c r="AC2047" s="2795"/>
      <c r="AF2047" s="2620"/>
      <c r="AG2047" s="2620"/>
      <c r="AH2047" s="2620"/>
      <c r="AI2047" s="2620"/>
      <c r="AJ2047" s="2620"/>
      <c r="AK2047" s="2620"/>
      <c r="AL2047" s="2620"/>
      <c r="AM2047" s="2620"/>
      <c r="AN2047" s="2620"/>
      <c r="AO2047" s="2620"/>
      <c r="AP2047" s="2620"/>
      <c r="AQ2047" s="2620"/>
      <c r="AR2047" s="2620"/>
      <c r="AS2047" s="2620"/>
      <c r="AT2047" s="2620"/>
      <c r="AU2047" s="2620"/>
      <c r="AV2047" s="2620"/>
      <c r="AW2047" s="2620"/>
      <c r="AX2047" s="2620"/>
      <c r="AY2047" s="2620"/>
      <c r="AZ2047" s="2620"/>
      <c r="BA2047" s="2620"/>
      <c r="BB2047" s="2620"/>
      <c r="BC2047" s="2620"/>
      <c r="BD2047" s="2620"/>
      <c r="BE2047" s="2620"/>
      <c r="BF2047" s="2620"/>
      <c r="BG2047" s="2620"/>
      <c r="BH2047" s="2620"/>
      <c r="BI2047" s="2620"/>
      <c r="BJ2047" s="2620"/>
      <c r="BK2047" s="2620"/>
      <c r="BL2047" s="2620"/>
      <c r="BM2047" s="2620"/>
      <c r="BN2047" s="2620"/>
      <c r="BO2047" s="2620"/>
      <c r="BP2047" s="2620"/>
      <c r="BQ2047" s="2620"/>
      <c r="BR2047" s="2620"/>
      <c r="BS2047" s="2620"/>
    </row>
    <row r="2048" spans="1:71" ht="12.75" customHeight="1" x14ac:dyDescent="0.2">
      <c r="A2048" s="2029">
        <v>211</v>
      </c>
      <c r="B2048" s="4995"/>
      <c r="C2048" s="2112"/>
      <c r="H2048" s="413"/>
      <c r="M2048" s="1959"/>
      <c r="N2048" s="100"/>
      <c r="O2048" s="468" t="s">
        <v>10033</v>
      </c>
      <c r="P2048" s="2811">
        <v>15</v>
      </c>
      <c r="Q2048" s="575">
        <v>-20</v>
      </c>
      <c r="R2048" s="2818">
        <f>COUNTIF(PoderesDeCriatura_Adquiridos,Tablas!O2048)</f>
        <v>0</v>
      </c>
      <c r="S2048" s="422"/>
      <c r="T2048" s="2809"/>
      <c r="U2048" s="576"/>
      <c r="Y2048" s="2112"/>
      <c r="AB2048" s="413"/>
      <c r="AC2048" s="2795"/>
      <c r="AF2048" s="2620"/>
      <c r="AG2048" s="2620"/>
      <c r="AH2048" s="2620"/>
      <c r="AI2048" s="2620"/>
      <c r="AJ2048" s="2620"/>
      <c r="AK2048" s="2620"/>
      <c r="AL2048" s="2620"/>
      <c r="AM2048" s="2620"/>
      <c r="AN2048" s="2620"/>
      <c r="AO2048" s="2620"/>
      <c r="AP2048" s="2620"/>
      <c r="AQ2048" s="2620"/>
      <c r="AR2048" s="2620"/>
      <c r="AS2048" s="2620"/>
      <c r="AT2048" s="2620"/>
      <c r="AU2048" s="2620"/>
      <c r="AV2048" s="2620"/>
      <c r="AW2048" s="2620"/>
      <c r="AX2048" s="2620"/>
      <c r="AY2048" s="2620"/>
      <c r="AZ2048" s="2620"/>
      <c r="BA2048" s="2620"/>
      <c r="BB2048" s="2620"/>
      <c r="BC2048" s="2620"/>
      <c r="BD2048" s="2620"/>
      <c r="BE2048" s="2620"/>
      <c r="BF2048" s="2620"/>
      <c r="BG2048" s="2620"/>
      <c r="BH2048" s="2620"/>
      <c r="BI2048" s="2620"/>
      <c r="BJ2048" s="2620"/>
      <c r="BK2048" s="2620"/>
      <c r="BL2048" s="2620"/>
      <c r="BM2048" s="2620"/>
      <c r="BN2048" s="2620"/>
      <c r="BO2048" s="2620"/>
      <c r="BP2048" s="2620"/>
      <c r="BQ2048" s="2620"/>
      <c r="BR2048" s="2620"/>
      <c r="BS2048" s="2620"/>
    </row>
    <row r="2049" spans="1:71" ht="12.75" customHeight="1" x14ac:dyDescent="0.2">
      <c r="A2049" s="2029">
        <v>211</v>
      </c>
      <c r="B2049" s="4995"/>
      <c r="C2049" s="2112"/>
      <c r="H2049" s="413"/>
      <c r="M2049" s="1959"/>
      <c r="N2049" s="100"/>
      <c r="O2049" s="468" t="s">
        <v>10034</v>
      </c>
      <c r="P2049" s="2811">
        <v>15</v>
      </c>
      <c r="Q2049" s="575">
        <v>-10</v>
      </c>
      <c r="R2049" s="2818">
        <f>COUNTIF(PoderesDeCriatura_Adquiridos,Tablas!O2049)</f>
        <v>0</v>
      </c>
      <c r="S2049" s="422"/>
      <c r="T2049" s="2809"/>
      <c r="U2049" s="576"/>
      <c r="Y2049" s="2112"/>
      <c r="AB2049" s="413"/>
      <c r="AC2049" s="2795"/>
      <c r="AF2049" s="2620"/>
      <c r="AG2049" s="2620"/>
      <c r="AH2049" s="2620"/>
      <c r="AI2049" s="2620"/>
      <c r="AJ2049" s="2620"/>
      <c r="AK2049" s="2620"/>
      <c r="AL2049" s="2620"/>
      <c r="AM2049" s="2620"/>
      <c r="AN2049" s="2620"/>
      <c r="AO2049" s="2620"/>
      <c r="AP2049" s="2620"/>
      <c r="AQ2049" s="2620"/>
      <c r="AR2049" s="2620"/>
      <c r="AS2049" s="2620"/>
      <c r="AT2049" s="2620"/>
      <c r="AU2049" s="2620"/>
      <c r="AV2049" s="2620"/>
      <c r="AW2049" s="2620"/>
      <c r="AX2049" s="2620"/>
      <c r="AY2049" s="2620"/>
      <c r="AZ2049" s="2620"/>
      <c r="BA2049" s="2620"/>
      <c r="BB2049" s="2620"/>
      <c r="BC2049" s="2620"/>
      <c r="BD2049" s="2620"/>
      <c r="BE2049" s="2620"/>
      <c r="BF2049" s="2620"/>
      <c r="BG2049" s="2620"/>
      <c r="BH2049" s="2620"/>
      <c r="BI2049" s="2620"/>
      <c r="BJ2049" s="2620"/>
      <c r="BK2049" s="2620"/>
      <c r="BL2049" s="2620"/>
      <c r="BM2049" s="2620"/>
      <c r="BN2049" s="2620"/>
      <c r="BO2049" s="2620"/>
      <c r="BP2049" s="2620"/>
      <c r="BQ2049" s="2620"/>
      <c r="BR2049" s="2620"/>
      <c r="BS2049" s="2620"/>
    </row>
    <row r="2050" spans="1:71" ht="12.75" customHeight="1" x14ac:dyDescent="0.2">
      <c r="A2050" s="2029">
        <v>211</v>
      </c>
      <c r="B2050" s="4995"/>
      <c r="C2050" s="2112"/>
      <c r="H2050" s="413"/>
      <c r="M2050" s="1959"/>
      <c r="N2050" s="100"/>
      <c r="O2050" s="468" t="s">
        <v>10035</v>
      </c>
      <c r="P2050" s="2811">
        <v>20</v>
      </c>
      <c r="Q2050" s="575">
        <v>-10</v>
      </c>
      <c r="R2050" s="2818">
        <f>COUNTIF(PoderesDeCriatura_Adquiridos,Tablas!O2050)</f>
        <v>0</v>
      </c>
      <c r="S2050" s="422"/>
      <c r="T2050" s="2809"/>
      <c r="U2050" s="576"/>
      <c r="Y2050" s="2112"/>
      <c r="AB2050" s="413"/>
      <c r="AC2050" s="2795"/>
      <c r="AF2050" s="2620"/>
      <c r="AG2050" s="2620"/>
      <c r="AH2050" s="2620"/>
      <c r="AI2050" s="2620"/>
      <c r="AJ2050" s="2620"/>
      <c r="AK2050" s="2620"/>
      <c r="AL2050" s="2620"/>
      <c r="AM2050" s="2620"/>
      <c r="AN2050" s="2620"/>
      <c r="AO2050" s="2620"/>
      <c r="AP2050" s="2620"/>
      <c r="AQ2050" s="2620"/>
      <c r="AR2050" s="2620"/>
      <c r="AS2050" s="2620"/>
      <c r="AT2050" s="2620"/>
      <c r="AU2050" s="2620"/>
      <c r="AV2050" s="2620"/>
      <c r="AW2050" s="2620"/>
      <c r="AX2050" s="2620"/>
      <c r="AY2050" s="2620"/>
      <c r="AZ2050" s="2620"/>
      <c r="BA2050" s="2620"/>
      <c r="BB2050" s="2620"/>
      <c r="BC2050" s="2620"/>
      <c r="BD2050" s="2620"/>
      <c r="BE2050" s="2620"/>
      <c r="BF2050" s="2620"/>
      <c r="BG2050" s="2620"/>
      <c r="BH2050" s="2620"/>
      <c r="BI2050" s="2620"/>
      <c r="BJ2050" s="2620"/>
      <c r="BK2050" s="2620"/>
      <c r="BL2050" s="2620"/>
      <c r="BM2050" s="2620"/>
      <c r="BN2050" s="2620"/>
      <c r="BO2050" s="2620"/>
      <c r="BP2050" s="2620"/>
      <c r="BQ2050" s="2620"/>
      <c r="BR2050" s="2620"/>
      <c r="BS2050" s="2620"/>
    </row>
    <row r="2051" spans="1:71" ht="12.75" customHeight="1" x14ac:dyDescent="0.2">
      <c r="A2051" s="2029">
        <v>211</v>
      </c>
      <c r="B2051" s="4995"/>
      <c r="C2051" s="2112"/>
      <c r="H2051" s="413"/>
      <c r="M2051" s="1959"/>
      <c r="N2051" s="100"/>
      <c r="O2051" s="468" t="s">
        <v>10036</v>
      </c>
      <c r="P2051" s="2811">
        <v>25</v>
      </c>
      <c r="Q2051" s="575">
        <v>-10</v>
      </c>
      <c r="R2051" s="2818">
        <f>COUNTIF(PoderesDeCriatura_Adquiridos,Tablas!O2051)</f>
        <v>0</v>
      </c>
      <c r="S2051" s="422"/>
      <c r="T2051" s="2809"/>
      <c r="U2051" s="576"/>
      <c r="Y2051" s="2112"/>
      <c r="AB2051" s="413"/>
      <c r="AC2051" s="2795"/>
      <c r="AF2051" s="2620"/>
      <c r="AG2051" s="2620"/>
      <c r="AH2051" s="2620"/>
      <c r="AI2051" s="2620"/>
      <c r="AJ2051" s="2620"/>
      <c r="AK2051" s="2620"/>
      <c r="AL2051" s="2620"/>
      <c r="AM2051" s="2620"/>
      <c r="AN2051" s="2620"/>
      <c r="AO2051" s="2620"/>
      <c r="AP2051" s="2620"/>
      <c r="AQ2051" s="2620"/>
      <c r="AR2051" s="2620"/>
      <c r="AS2051" s="2620"/>
      <c r="AT2051" s="2620"/>
      <c r="AU2051" s="2620"/>
      <c r="AV2051" s="2620"/>
      <c r="AW2051" s="2620"/>
      <c r="AX2051" s="2620"/>
      <c r="AY2051" s="2620"/>
      <c r="AZ2051" s="2620"/>
      <c r="BA2051" s="2620"/>
      <c r="BB2051" s="2620"/>
      <c r="BC2051" s="2620"/>
      <c r="BD2051" s="2620"/>
      <c r="BE2051" s="2620"/>
      <c r="BF2051" s="2620"/>
      <c r="BG2051" s="2620"/>
      <c r="BH2051" s="2620"/>
      <c r="BI2051" s="2620"/>
      <c r="BJ2051" s="2620"/>
      <c r="BK2051" s="2620"/>
      <c r="BL2051" s="2620"/>
      <c r="BM2051" s="2620"/>
      <c r="BN2051" s="2620"/>
      <c r="BO2051" s="2620"/>
      <c r="BP2051" s="2620"/>
      <c r="BQ2051" s="2620"/>
      <c r="BR2051" s="2620"/>
      <c r="BS2051" s="2620"/>
    </row>
    <row r="2052" spans="1:71" ht="12.75" customHeight="1" x14ac:dyDescent="0.2">
      <c r="A2052" s="2029">
        <v>211</v>
      </c>
      <c r="B2052" s="4995"/>
      <c r="C2052" s="2112"/>
      <c r="H2052" s="413"/>
      <c r="M2052" s="1959"/>
      <c r="N2052" s="100"/>
      <c r="O2052" s="468" t="s">
        <v>10037</v>
      </c>
      <c r="P2052" s="2811">
        <v>20</v>
      </c>
      <c r="Q2052" s="575">
        <v>-10</v>
      </c>
      <c r="R2052" s="2818">
        <f>COUNTIF(PoderesDeCriatura_Adquiridos,Tablas!O2052)</f>
        <v>0</v>
      </c>
      <c r="S2052" s="422"/>
      <c r="T2052" s="2809"/>
      <c r="U2052" s="576"/>
      <c r="Y2052" s="2112"/>
      <c r="AB2052" s="413"/>
      <c r="AC2052" s="2795"/>
      <c r="AF2052" s="2620"/>
      <c r="AG2052" s="2620"/>
      <c r="AH2052" s="2620"/>
      <c r="AI2052" s="2620"/>
      <c r="AJ2052" s="2620"/>
      <c r="AK2052" s="2620"/>
      <c r="AL2052" s="2620"/>
      <c r="AM2052" s="2620"/>
      <c r="AN2052" s="2620"/>
      <c r="AO2052" s="2620"/>
      <c r="AP2052" s="2620"/>
      <c r="AQ2052" s="2620"/>
      <c r="AR2052" s="2620"/>
      <c r="AS2052" s="2620"/>
      <c r="AT2052" s="2620"/>
      <c r="AU2052" s="2620"/>
      <c r="AV2052" s="2620"/>
      <c r="AW2052" s="2620"/>
      <c r="AX2052" s="2620"/>
      <c r="AY2052" s="2620"/>
      <c r="AZ2052" s="2620"/>
      <c r="BA2052" s="2620"/>
      <c r="BB2052" s="2620"/>
      <c r="BC2052" s="2620"/>
      <c r="BD2052" s="2620"/>
      <c r="BE2052" s="2620"/>
      <c r="BF2052" s="2620"/>
      <c r="BG2052" s="2620"/>
      <c r="BH2052" s="2620"/>
      <c r="BI2052" s="2620"/>
      <c r="BJ2052" s="2620"/>
      <c r="BK2052" s="2620"/>
      <c r="BL2052" s="2620"/>
      <c r="BM2052" s="2620"/>
      <c r="BN2052" s="2620"/>
      <c r="BO2052" s="2620"/>
      <c r="BP2052" s="2620"/>
      <c r="BQ2052" s="2620"/>
      <c r="BR2052" s="2620"/>
      <c r="BS2052" s="2620"/>
    </row>
    <row r="2053" spans="1:71" ht="12.75" customHeight="1" x14ac:dyDescent="0.2">
      <c r="A2053" s="2029">
        <v>211</v>
      </c>
      <c r="B2053" s="4995"/>
      <c r="C2053" s="2112"/>
      <c r="H2053" s="413"/>
      <c r="M2053" s="1959"/>
      <c r="N2053" s="100"/>
      <c r="O2053" s="468" t="s">
        <v>10038</v>
      </c>
      <c r="P2053" s="2811">
        <v>20</v>
      </c>
      <c r="Q2053" s="575">
        <v>-10</v>
      </c>
      <c r="R2053" s="2818">
        <f>COUNTIF(PoderesDeCriatura_Adquiridos,Tablas!O2053)</f>
        <v>0</v>
      </c>
      <c r="S2053" s="422"/>
      <c r="T2053" s="2809"/>
      <c r="U2053" s="576"/>
      <c r="Y2053" s="2112"/>
      <c r="AB2053" s="413"/>
      <c r="AC2053" s="2795"/>
      <c r="AF2053" s="2620"/>
      <c r="AG2053" s="2620"/>
      <c r="AH2053" s="2620"/>
      <c r="AI2053" s="2620"/>
      <c r="AJ2053" s="2620"/>
      <c r="AK2053" s="2620"/>
      <c r="AL2053" s="2620"/>
      <c r="AM2053" s="2620"/>
      <c r="AN2053" s="2620"/>
      <c r="AO2053" s="2620"/>
      <c r="AP2053" s="2620"/>
      <c r="AQ2053" s="2620"/>
      <c r="AR2053" s="2620"/>
      <c r="AS2053" s="2620"/>
      <c r="AT2053" s="2620"/>
      <c r="AU2053" s="2620"/>
      <c r="AV2053" s="2620"/>
      <c r="AW2053" s="2620"/>
      <c r="AX2053" s="2620"/>
      <c r="AY2053" s="2620"/>
      <c r="AZ2053" s="2620"/>
      <c r="BA2053" s="2620"/>
      <c r="BB2053" s="2620"/>
      <c r="BC2053" s="2620"/>
      <c r="BD2053" s="2620"/>
      <c r="BE2053" s="2620"/>
      <c r="BF2053" s="2620"/>
      <c r="BG2053" s="2620"/>
      <c r="BH2053" s="2620"/>
      <c r="BI2053" s="2620"/>
      <c r="BJ2053" s="2620"/>
      <c r="BK2053" s="2620"/>
      <c r="BL2053" s="2620"/>
      <c r="BM2053" s="2620"/>
      <c r="BN2053" s="2620"/>
      <c r="BO2053" s="2620"/>
      <c r="BP2053" s="2620"/>
      <c r="BQ2053" s="2620"/>
      <c r="BR2053" s="2620"/>
      <c r="BS2053" s="2620"/>
    </row>
    <row r="2054" spans="1:71" ht="12.75" customHeight="1" x14ac:dyDescent="0.2">
      <c r="A2054" s="2029">
        <v>211</v>
      </c>
      <c r="B2054" s="4995"/>
      <c r="C2054" s="2112"/>
      <c r="H2054" s="413"/>
      <c r="M2054" s="1959"/>
      <c r="N2054" s="100"/>
      <c r="O2054" s="2825" t="s">
        <v>10039</v>
      </c>
      <c r="P2054" s="2811">
        <v>20</v>
      </c>
      <c r="Q2054" s="575">
        <v>-20</v>
      </c>
      <c r="R2054" s="2818">
        <f>COUNTIF(PoderesDeCriatura_Adquiridos,Tablas!O2054)</f>
        <v>0</v>
      </c>
      <c r="S2054" s="422"/>
      <c r="T2054" s="2809"/>
      <c r="U2054" s="576"/>
      <c r="Y2054" s="2112"/>
      <c r="AB2054" s="413"/>
      <c r="AC2054" s="2795"/>
      <c r="AF2054" s="2620"/>
      <c r="AG2054" s="2620"/>
      <c r="AH2054" s="2620"/>
      <c r="AI2054" s="2620"/>
      <c r="AJ2054" s="2620"/>
      <c r="AK2054" s="2620"/>
      <c r="AL2054" s="2620"/>
      <c r="AM2054" s="2620"/>
      <c r="AN2054" s="2620"/>
      <c r="AO2054" s="2620"/>
      <c r="AP2054" s="2620"/>
      <c r="AQ2054" s="2620"/>
      <c r="AR2054" s="2620"/>
      <c r="AS2054" s="2620"/>
      <c r="AT2054" s="2620"/>
      <c r="AU2054" s="2620"/>
      <c r="AV2054" s="2620"/>
      <c r="AW2054" s="2620"/>
      <c r="AX2054" s="2620"/>
      <c r="AY2054" s="2620"/>
      <c r="AZ2054" s="2620"/>
      <c r="BA2054" s="2620"/>
      <c r="BB2054" s="2620"/>
      <c r="BC2054" s="2620"/>
      <c r="BD2054" s="2620"/>
      <c r="BE2054" s="2620"/>
      <c r="BF2054" s="2620"/>
      <c r="BG2054" s="2620"/>
      <c r="BH2054" s="2620"/>
      <c r="BI2054" s="2620"/>
      <c r="BJ2054" s="2620"/>
      <c r="BK2054" s="2620"/>
      <c r="BL2054" s="2620"/>
      <c r="BM2054" s="2620"/>
      <c r="BN2054" s="2620"/>
      <c r="BO2054" s="2620"/>
      <c r="BP2054" s="2620"/>
      <c r="BQ2054" s="2620"/>
      <c r="BR2054" s="2620"/>
      <c r="BS2054" s="2620"/>
    </row>
    <row r="2055" spans="1:71" ht="12.75" customHeight="1" x14ac:dyDescent="0.2">
      <c r="A2055" s="2029">
        <v>211</v>
      </c>
      <c r="B2055" s="4995"/>
      <c r="C2055" s="2112"/>
      <c r="H2055" s="413"/>
      <c r="M2055" s="1959"/>
      <c r="N2055" s="100"/>
      <c r="O2055" s="468" t="s">
        <v>10040</v>
      </c>
      <c r="P2055" s="2811">
        <v>20</v>
      </c>
      <c r="Q2055" s="575">
        <v>-15</v>
      </c>
      <c r="R2055" s="2818">
        <f>COUNTIF(PoderesDeCriatura_Adquiridos,Tablas!O2055)</f>
        <v>0</v>
      </c>
      <c r="S2055" s="422"/>
      <c r="T2055" s="2809"/>
      <c r="U2055" s="576"/>
      <c r="Y2055" s="2112"/>
      <c r="AB2055" s="413"/>
      <c r="AC2055" s="2795"/>
      <c r="AF2055" s="2620"/>
      <c r="AG2055" s="2620"/>
      <c r="AH2055" s="2620"/>
      <c r="AI2055" s="2620"/>
      <c r="AJ2055" s="2620"/>
      <c r="AK2055" s="2620"/>
      <c r="AL2055" s="2620"/>
      <c r="AM2055" s="2620"/>
      <c r="AN2055" s="2620"/>
      <c r="AO2055" s="2620"/>
      <c r="AP2055" s="2620"/>
      <c r="AQ2055" s="2620"/>
      <c r="AR2055" s="2620"/>
      <c r="AS2055" s="2620"/>
      <c r="AT2055" s="2620"/>
      <c r="AU2055" s="2620"/>
      <c r="AV2055" s="2620"/>
      <c r="AW2055" s="2620"/>
      <c r="AX2055" s="2620"/>
      <c r="AY2055" s="2620"/>
      <c r="AZ2055" s="2620"/>
      <c r="BA2055" s="2620"/>
      <c r="BB2055" s="2620"/>
      <c r="BC2055" s="2620"/>
      <c r="BD2055" s="2620"/>
      <c r="BE2055" s="2620"/>
      <c r="BF2055" s="2620"/>
      <c r="BG2055" s="2620"/>
      <c r="BH2055" s="2620"/>
      <c r="BI2055" s="2620"/>
      <c r="BJ2055" s="2620"/>
      <c r="BK2055" s="2620"/>
      <c r="BL2055" s="2620"/>
      <c r="BM2055" s="2620"/>
      <c r="BN2055" s="2620"/>
      <c r="BO2055" s="2620"/>
      <c r="BP2055" s="2620"/>
      <c r="BQ2055" s="2620"/>
      <c r="BR2055" s="2620"/>
      <c r="BS2055" s="2620"/>
    </row>
    <row r="2056" spans="1:71" ht="12.75" customHeight="1" x14ac:dyDescent="0.2">
      <c r="A2056" s="2029">
        <v>211</v>
      </c>
      <c r="B2056" s="4995"/>
      <c r="C2056" s="2112"/>
      <c r="H2056" s="413"/>
      <c r="M2056" s="1959"/>
      <c r="N2056" s="100"/>
      <c r="O2056" s="468" t="s">
        <v>10041</v>
      </c>
      <c r="P2056" s="2811">
        <v>20</v>
      </c>
      <c r="Q2056" s="575">
        <v>-10</v>
      </c>
      <c r="R2056" s="2818">
        <f>COUNTIF(PoderesDeCriatura_Adquiridos,Tablas!O2056)</f>
        <v>0</v>
      </c>
      <c r="S2056" s="422"/>
      <c r="T2056" s="2809"/>
      <c r="U2056" s="576"/>
      <c r="Y2056" s="2112"/>
      <c r="AB2056" s="413"/>
      <c r="AC2056" s="2795"/>
      <c r="AF2056" s="2620"/>
      <c r="AG2056" s="2620"/>
      <c r="AH2056" s="2620"/>
      <c r="AI2056" s="2620"/>
      <c r="AJ2056" s="2620"/>
      <c r="AK2056" s="2620"/>
      <c r="AL2056" s="2620"/>
      <c r="AM2056" s="2620"/>
      <c r="AN2056" s="2620"/>
      <c r="AO2056" s="2620"/>
      <c r="AP2056" s="2620"/>
      <c r="AQ2056" s="2620"/>
      <c r="AR2056" s="2620"/>
      <c r="AS2056" s="2620"/>
      <c r="AT2056" s="2620"/>
      <c r="AU2056" s="2620"/>
      <c r="AV2056" s="2620"/>
      <c r="AW2056" s="2620"/>
      <c r="AX2056" s="2620"/>
      <c r="AY2056" s="2620"/>
      <c r="AZ2056" s="2620"/>
      <c r="BA2056" s="2620"/>
      <c r="BB2056" s="2620"/>
      <c r="BC2056" s="2620"/>
      <c r="BD2056" s="2620"/>
      <c r="BE2056" s="2620"/>
      <c r="BF2056" s="2620"/>
      <c r="BG2056" s="2620"/>
      <c r="BH2056" s="2620"/>
      <c r="BI2056" s="2620"/>
      <c r="BJ2056" s="2620"/>
      <c r="BK2056" s="2620"/>
      <c r="BL2056" s="2620"/>
      <c r="BM2056" s="2620"/>
      <c r="BN2056" s="2620"/>
      <c r="BO2056" s="2620"/>
      <c r="BP2056" s="2620"/>
      <c r="BQ2056" s="2620"/>
      <c r="BR2056" s="2620"/>
      <c r="BS2056" s="2620"/>
    </row>
    <row r="2057" spans="1:71" ht="12.75" customHeight="1" x14ac:dyDescent="0.2">
      <c r="A2057" s="2029">
        <v>211</v>
      </c>
      <c r="B2057" s="4995"/>
      <c r="C2057" s="2112"/>
      <c r="H2057" s="413"/>
      <c r="M2057" s="1959"/>
      <c r="N2057" s="100"/>
      <c r="O2057" s="468" t="s">
        <v>10042</v>
      </c>
      <c r="P2057" s="2811">
        <v>20</v>
      </c>
      <c r="Q2057" s="575">
        <v>-30</v>
      </c>
      <c r="R2057" s="2818">
        <f>COUNTIF(PoderesDeCriatura_Adquiridos,Tablas!O2057)</f>
        <v>0</v>
      </c>
      <c r="S2057" s="422"/>
      <c r="T2057" s="2809"/>
      <c r="U2057" s="576"/>
      <c r="Y2057" s="2112"/>
      <c r="AB2057" s="413"/>
      <c r="AC2057" s="2795"/>
      <c r="AF2057" s="2620"/>
      <c r="AG2057" s="2620"/>
      <c r="AH2057" s="2620"/>
      <c r="AI2057" s="2620"/>
      <c r="AJ2057" s="2620"/>
      <c r="AK2057" s="2620"/>
      <c r="AL2057" s="2620"/>
      <c r="AM2057" s="2620"/>
      <c r="AN2057" s="2620"/>
      <c r="AO2057" s="2620"/>
      <c r="AP2057" s="2620"/>
      <c r="AQ2057" s="2620"/>
      <c r="AR2057" s="2620"/>
      <c r="AS2057" s="2620"/>
      <c r="AT2057" s="2620"/>
      <c r="AU2057" s="2620"/>
      <c r="AV2057" s="2620"/>
      <c r="AW2057" s="2620"/>
      <c r="AX2057" s="2620"/>
      <c r="AY2057" s="2620"/>
      <c r="AZ2057" s="2620"/>
      <c r="BA2057" s="2620"/>
      <c r="BB2057" s="2620"/>
      <c r="BC2057" s="2620"/>
      <c r="BD2057" s="2620"/>
      <c r="BE2057" s="2620"/>
      <c r="BF2057" s="2620"/>
      <c r="BG2057" s="2620"/>
      <c r="BH2057" s="2620"/>
      <c r="BI2057" s="2620"/>
      <c r="BJ2057" s="2620"/>
      <c r="BK2057" s="2620"/>
      <c r="BL2057" s="2620"/>
      <c r="BM2057" s="2620"/>
      <c r="BN2057" s="2620"/>
      <c r="BO2057" s="2620"/>
      <c r="BP2057" s="2620"/>
      <c r="BQ2057" s="2620"/>
      <c r="BR2057" s="2620"/>
      <c r="BS2057" s="2620"/>
    </row>
    <row r="2058" spans="1:71" ht="12.75" customHeight="1" x14ac:dyDescent="0.2">
      <c r="A2058" s="2029">
        <v>211</v>
      </c>
      <c r="B2058" s="4995"/>
      <c r="C2058" s="2112"/>
      <c r="H2058" s="413"/>
      <c r="M2058" s="1959"/>
      <c r="N2058" s="100"/>
      <c r="O2058" s="468" t="s">
        <v>10043</v>
      </c>
      <c r="P2058" s="2811">
        <v>20</v>
      </c>
      <c r="Q2058" s="575">
        <v>-10</v>
      </c>
      <c r="R2058" s="2818">
        <f>COUNTIF(PoderesDeCriatura_Adquiridos,Tablas!O2058)</f>
        <v>0</v>
      </c>
      <c r="S2058" s="422"/>
      <c r="T2058" s="2809"/>
      <c r="U2058" s="576"/>
      <c r="Y2058" s="2112"/>
      <c r="AB2058" s="413"/>
      <c r="AC2058" s="2795"/>
      <c r="AF2058" s="2620"/>
      <c r="AG2058" s="2620"/>
      <c r="AH2058" s="2620"/>
      <c r="AI2058" s="2620"/>
      <c r="AJ2058" s="2620"/>
      <c r="AK2058" s="2620"/>
      <c r="AL2058" s="2620"/>
      <c r="AM2058" s="2620"/>
      <c r="AN2058" s="2620"/>
      <c r="AO2058" s="2620"/>
      <c r="AP2058" s="2620"/>
      <c r="AQ2058" s="2620"/>
      <c r="AR2058" s="2620"/>
      <c r="AS2058" s="2620"/>
      <c r="AT2058" s="2620"/>
      <c r="AU2058" s="2620"/>
      <c r="AV2058" s="2620"/>
      <c r="AW2058" s="2620"/>
      <c r="AX2058" s="2620"/>
      <c r="AY2058" s="2620"/>
      <c r="AZ2058" s="2620"/>
      <c r="BA2058" s="2620"/>
      <c r="BB2058" s="2620"/>
      <c r="BC2058" s="2620"/>
      <c r="BD2058" s="2620"/>
      <c r="BE2058" s="2620"/>
      <c r="BF2058" s="2620"/>
      <c r="BG2058" s="2620"/>
      <c r="BH2058" s="2620"/>
      <c r="BI2058" s="2620"/>
      <c r="BJ2058" s="2620"/>
      <c r="BK2058" s="2620"/>
      <c r="BL2058" s="2620"/>
      <c r="BM2058" s="2620"/>
      <c r="BN2058" s="2620"/>
      <c r="BO2058" s="2620"/>
      <c r="BP2058" s="2620"/>
      <c r="BQ2058" s="2620"/>
      <c r="BR2058" s="2620"/>
      <c r="BS2058" s="2620"/>
    </row>
    <row r="2059" spans="1:71" ht="12.75" customHeight="1" x14ac:dyDescent="0.2">
      <c r="A2059" s="2029">
        <v>211</v>
      </c>
      <c r="B2059" s="4995"/>
      <c r="C2059" s="2112"/>
      <c r="H2059" s="413"/>
      <c r="M2059" s="1959"/>
      <c r="N2059" s="100"/>
      <c r="O2059" s="468" t="s">
        <v>10044</v>
      </c>
      <c r="P2059" s="2811">
        <v>20</v>
      </c>
      <c r="Q2059" s="575">
        <v>-15</v>
      </c>
      <c r="R2059" s="2818">
        <f>COUNTIF(PoderesDeCriatura_Adquiridos,Tablas!O2059)</f>
        <v>0</v>
      </c>
      <c r="S2059" s="422"/>
      <c r="T2059" s="2809"/>
      <c r="U2059" s="576"/>
      <c r="Y2059" s="2112"/>
      <c r="AB2059" s="413"/>
      <c r="AC2059" s="2795"/>
      <c r="AF2059" s="2620"/>
      <c r="AG2059" s="2620"/>
      <c r="AH2059" s="2620"/>
      <c r="AI2059" s="2620"/>
      <c r="AJ2059" s="2620"/>
      <c r="AK2059" s="2620"/>
      <c r="AL2059" s="2620"/>
      <c r="AM2059" s="2620"/>
      <c r="AN2059" s="2620"/>
      <c r="AO2059" s="2620"/>
      <c r="AP2059" s="2620"/>
      <c r="AQ2059" s="2620"/>
      <c r="AR2059" s="2620"/>
      <c r="AS2059" s="2620"/>
      <c r="AT2059" s="2620"/>
      <c r="AU2059" s="2620"/>
      <c r="AV2059" s="2620"/>
      <c r="AW2059" s="2620"/>
      <c r="AX2059" s="2620"/>
      <c r="AY2059" s="2620"/>
      <c r="AZ2059" s="2620"/>
      <c r="BA2059" s="2620"/>
      <c r="BB2059" s="2620"/>
      <c r="BC2059" s="2620"/>
      <c r="BD2059" s="2620"/>
      <c r="BE2059" s="2620"/>
      <c r="BF2059" s="2620"/>
      <c r="BG2059" s="2620"/>
      <c r="BH2059" s="2620"/>
      <c r="BI2059" s="2620"/>
      <c r="BJ2059" s="2620"/>
      <c r="BK2059" s="2620"/>
      <c r="BL2059" s="2620"/>
      <c r="BM2059" s="2620"/>
      <c r="BN2059" s="2620"/>
      <c r="BO2059" s="2620"/>
      <c r="BP2059" s="2620"/>
      <c r="BQ2059" s="2620"/>
      <c r="BR2059" s="2620"/>
      <c r="BS2059" s="2620"/>
    </row>
    <row r="2060" spans="1:71" ht="12.75" customHeight="1" x14ac:dyDescent="0.2">
      <c r="A2060" s="2029">
        <v>211</v>
      </c>
      <c r="B2060" s="4995"/>
      <c r="C2060" s="2112"/>
      <c r="H2060" s="413"/>
      <c r="M2060" s="1959"/>
      <c r="N2060" s="100"/>
      <c r="O2060" s="468" t="s">
        <v>10045</v>
      </c>
      <c r="P2060" s="2811">
        <v>20</v>
      </c>
      <c r="Q2060" s="575">
        <v>-20</v>
      </c>
      <c r="R2060" s="2818">
        <f>COUNTIF(PoderesDeCriatura_Adquiridos,Tablas!O2060)</f>
        <v>0</v>
      </c>
      <c r="S2060" s="422"/>
      <c r="T2060" s="2809"/>
      <c r="U2060" s="576"/>
      <c r="Y2060" s="2112"/>
      <c r="AB2060" s="413"/>
      <c r="AC2060" s="2795"/>
      <c r="AF2060" s="2620"/>
      <c r="AG2060" s="2620"/>
      <c r="AH2060" s="2620"/>
      <c r="AI2060" s="2620"/>
      <c r="AJ2060" s="2620"/>
      <c r="AK2060" s="2620"/>
      <c r="AL2060" s="2620"/>
      <c r="AM2060" s="2620"/>
      <c r="AN2060" s="2620"/>
      <c r="AO2060" s="2620"/>
      <c r="AP2060" s="2620"/>
      <c r="AQ2060" s="2620"/>
      <c r="AR2060" s="2620"/>
      <c r="AS2060" s="2620"/>
      <c r="AT2060" s="2620"/>
      <c r="AU2060" s="2620"/>
      <c r="AV2060" s="2620"/>
      <c r="AW2060" s="2620"/>
      <c r="AX2060" s="2620"/>
      <c r="AY2060" s="2620"/>
      <c r="AZ2060" s="2620"/>
      <c r="BA2060" s="2620"/>
      <c r="BB2060" s="2620"/>
      <c r="BC2060" s="2620"/>
      <c r="BD2060" s="2620"/>
      <c r="BE2060" s="2620"/>
      <c r="BF2060" s="2620"/>
      <c r="BG2060" s="2620"/>
      <c r="BH2060" s="2620"/>
      <c r="BI2060" s="2620"/>
      <c r="BJ2060" s="2620"/>
      <c r="BK2060" s="2620"/>
      <c r="BL2060" s="2620"/>
      <c r="BM2060" s="2620"/>
      <c r="BN2060" s="2620"/>
      <c r="BO2060" s="2620"/>
      <c r="BP2060" s="2620"/>
      <c r="BQ2060" s="2620"/>
      <c r="BR2060" s="2620"/>
      <c r="BS2060" s="2620"/>
    </row>
    <row r="2061" spans="1:71" ht="12.75" customHeight="1" x14ac:dyDescent="0.2">
      <c r="A2061" s="2029">
        <v>211</v>
      </c>
      <c r="B2061" s="4995"/>
      <c r="C2061" s="2112"/>
      <c r="H2061" s="413"/>
      <c r="M2061" s="1959"/>
      <c r="N2061" s="100"/>
      <c r="O2061" s="468" t="s">
        <v>10046</v>
      </c>
      <c r="P2061" s="2811">
        <v>20</v>
      </c>
      <c r="Q2061" s="575">
        <v>-25</v>
      </c>
      <c r="R2061" s="2818">
        <f>COUNTIF(PoderesDeCriatura_Adquiridos,Tablas!O2061)</f>
        <v>0</v>
      </c>
      <c r="S2061" s="422"/>
      <c r="T2061" s="2809"/>
      <c r="U2061" s="576"/>
      <c r="Y2061" s="2112"/>
      <c r="AB2061" s="413"/>
      <c r="AC2061" s="2795"/>
      <c r="AF2061" s="2620"/>
      <c r="AG2061" s="2620"/>
      <c r="AH2061" s="2620"/>
      <c r="AI2061" s="2620"/>
      <c r="AJ2061" s="2620"/>
      <c r="AK2061" s="2620"/>
      <c r="AL2061" s="2620"/>
      <c r="AM2061" s="2620"/>
      <c r="AN2061" s="2620"/>
      <c r="AO2061" s="2620"/>
      <c r="AP2061" s="2620"/>
      <c r="AQ2061" s="2620"/>
      <c r="AR2061" s="2620"/>
      <c r="AS2061" s="2620"/>
      <c r="AT2061" s="2620"/>
      <c r="AU2061" s="2620"/>
      <c r="AV2061" s="2620"/>
      <c r="AW2061" s="2620"/>
      <c r="AX2061" s="2620"/>
      <c r="AY2061" s="2620"/>
      <c r="AZ2061" s="2620"/>
      <c r="BA2061" s="2620"/>
      <c r="BB2061" s="2620"/>
      <c r="BC2061" s="2620"/>
      <c r="BD2061" s="2620"/>
      <c r="BE2061" s="2620"/>
      <c r="BF2061" s="2620"/>
      <c r="BG2061" s="2620"/>
      <c r="BH2061" s="2620"/>
      <c r="BI2061" s="2620"/>
      <c r="BJ2061" s="2620"/>
      <c r="BK2061" s="2620"/>
      <c r="BL2061" s="2620"/>
      <c r="BM2061" s="2620"/>
      <c r="BN2061" s="2620"/>
      <c r="BO2061" s="2620"/>
      <c r="BP2061" s="2620"/>
      <c r="BQ2061" s="2620"/>
      <c r="BR2061" s="2620"/>
      <c r="BS2061" s="2620"/>
    </row>
    <row r="2062" spans="1:71" ht="12.75" customHeight="1" x14ac:dyDescent="0.2">
      <c r="A2062" s="2029">
        <v>211</v>
      </c>
      <c r="B2062" s="4995"/>
      <c r="C2062" s="2112"/>
      <c r="H2062" s="413"/>
      <c r="M2062" s="1959"/>
      <c r="N2062" s="100"/>
      <c r="O2062" s="468" t="s">
        <v>10047</v>
      </c>
      <c r="P2062" s="2811">
        <f>IF(General!R65="Xavi",10,0)</f>
        <v>0</v>
      </c>
      <c r="Q2062" s="575">
        <f>IF(General!R65="Xavi",10,5)</f>
        <v>5</v>
      </c>
      <c r="R2062" s="2818">
        <f>COUNTIF(PoderesDeCriatura_Adquiridos,Tablas!O2062)</f>
        <v>0</v>
      </c>
      <c r="S2062" s="422"/>
      <c r="T2062" s="2809"/>
      <c r="U2062" s="576"/>
      <c r="Y2062" s="2112"/>
      <c r="AB2062" s="413"/>
      <c r="AC2062" s="2795"/>
      <c r="AF2062" s="2620"/>
      <c r="AG2062" s="2620"/>
      <c r="AH2062" s="2620"/>
      <c r="AI2062" s="2620"/>
      <c r="AJ2062" s="2620"/>
      <c r="AK2062" s="2620"/>
      <c r="AL2062" s="2620"/>
      <c r="AM2062" s="2620"/>
      <c r="AN2062" s="2620"/>
      <c r="AO2062" s="2620"/>
      <c r="AP2062" s="2620"/>
      <c r="AQ2062" s="2620"/>
      <c r="AR2062" s="2620"/>
      <c r="AS2062" s="2620"/>
      <c r="AT2062" s="2620"/>
      <c r="AU2062" s="2620"/>
      <c r="AV2062" s="2620"/>
      <c r="AW2062" s="2620"/>
      <c r="AX2062" s="2620"/>
      <c r="AY2062" s="2620"/>
      <c r="AZ2062" s="2620"/>
      <c r="BA2062" s="2620"/>
      <c r="BB2062" s="2620"/>
      <c r="BC2062" s="2620"/>
      <c r="BD2062" s="2620"/>
      <c r="BE2062" s="2620"/>
      <c r="BF2062" s="2620"/>
      <c r="BG2062" s="2620"/>
      <c r="BH2062" s="2620"/>
      <c r="BI2062" s="2620"/>
      <c r="BJ2062" s="2620"/>
      <c r="BK2062" s="2620"/>
      <c r="BL2062" s="2620"/>
      <c r="BM2062" s="2620"/>
      <c r="BN2062" s="2620"/>
      <c r="BO2062" s="2620"/>
      <c r="BP2062" s="2620"/>
      <c r="BQ2062" s="2620"/>
      <c r="BR2062" s="2620"/>
      <c r="BS2062" s="2620"/>
    </row>
    <row r="2063" spans="1:71" ht="12.75" customHeight="1" x14ac:dyDescent="0.2">
      <c r="A2063" s="2029">
        <v>211</v>
      </c>
      <c r="B2063" s="4995"/>
      <c r="C2063" s="2112"/>
      <c r="H2063" s="413"/>
      <c r="M2063" s="1959"/>
      <c r="N2063" s="100"/>
      <c r="O2063" s="468" t="s">
        <v>10048</v>
      </c>
      <c r="P2063" s="2811">
        <f>IF(General!R65="Xavi",20,0)</f>
        <v>0</v>
      </c>
      <c r="Q2063" s="575">
        <f>IF(General!R65="Xavi",20,10)</f>
        <v>10</v>
      </c>
      <c r="R2063" s="2818">
        <f>COUNTIF(PoderesDeCriatura_Adquiridos,Tablas!O2063)</f>
        <v>0</v>
      </c>
      <c r="S2063" s="422"/>
      <c r="T2063" s="2809"/>
      <c r="U2063" s="576"/>
      <c r="Y2063" s="2112"/>
      <c r="AB2063" s="413"/>
      <c r="AC2063" s="2795"/>
      <c r="AF2063" s="2620"/>
      <c r="AG2063" s="2620"/>
      <c r="AH2063" s="2620"/>
      <c r="AI2063" s="2620"/>
      <c r="AJ2063" s="2620"/>
      <c r="AK2063" s="2620"/>
      <c r="AL2063" s="2620"/>
      <c r="AM2063" s="2620"/>
      <c r="AN2063" s="2620"/>
      <c r="AO2063" s="2620"/>
      <c r="AP2063" s="2620"/>
      <c r="AQ2063" s="2620"/>
      <c r="AR2063" s="2620"/>
      <c r="AS2063" s="2620"/>
      <c r="AT2063" s="2620"/>
      <c r="AU2063" s="2620"/>
      <c r="AV2063" s="2620"/>
      <c r="AW2063" s="2620"/>
      <c r="AX2063" s="2620"/>
      <c r="AY2063" s="2620"/>
      <c r="AZ2063" s="2620"/>
      <c r="BA2063" s="2620"/>
      <c r="BB2063" s="2620"/>
      <c r="BC2063" s="2620"/>
      <c r="BD2063" s="2620"/>
      <c r="BE2063" s="2620"/>
      <c r="BF2063" s="2620"/>
      <c r="BG2063" s="2620"/>
      <c r="BH2063" s="2620"/>
      <c r="BI2063" s="2620"/>
      <c r="BJ2063" s="2620"/>
      <c r="BK2063" s="2620"/>
      <c r="BL2063" s="2620"/>
      <c r="BM2063" s="2620"/>
      <c r="BN2063" s="2620"/>
      <c r="BO2063" s="2620"/>
      <c r="BP2063" s="2620"/>
      <c r="BQ2063" s="2620"/>
      <c r="BR2063" s="2620"/>
      <c r="BS2063" s="2620"/>
    </row>
    <row r="2064" spans="1:71" ht="12.75" customHeight="1" x14ac:dyDescent="0.2">
      <c r="A2064" s="2029">
        <v>211</v>
      </c>
      <c r="B2064" s="4995"/>
      <c r="C2064" s="2112"/>
      <c r="H2064" s="413"/>
      <c r="M2064" s="1959"/>
      <c r="N2064" s="100"/>
      <c r="O2064" s="468" t="s">
        <v>10049</v>
      </c>
      <c r="P2064" s="2811">
        <f>IF(General!R65="Xavi",20,5)</f>
        <v>5</v>
      </c>
      <c r="Q2064" s="575">
        <f>IF(General!R65="Xavi",30,15)</f>
        <v>15</v>
      </c>
      <c r="R2064" s="2818">
        <f>COUNTIF(PoderesDeCriatura_Adquiridos,Tablas!O2064)</f>
        <v>0</v>
      </c>
      <c r="S2064" s="422"/>
      <c r="T2064" s="2809"/>
      <c r="U2064" s="576"/>
      <c r="Y2064" s="2112"/>
      <c r="AB2064" s="413"/>
      <c r="AC2064" s="2795"/>
      <c r="AF2064" s="2620"/>
      <c r="AG2064" s="2620"/>
      <c r="AH2064" s="2620"/>
      <c r="AI2064" s="2620"/>
      <c r="AJ2064" s="2620"/>
      <c r="AK2064" s="2620"/>
      <c r="AL2064" s="2620"/>
      <c r="AM2064" s="2620"/>
      <c r="AN2064" s="2620"/>
      <c r="AO2064" s="2620"/>
      <c r="AP2064" s="2620"/>
      <c r="AQ2064" s="2620"/>
      <c r="AR2064" s="2620"/>
      <c r="AS2064" s="2620"/>
      <c r="AT2064" s="2620"/>
      <c r="AU2064" s="2620"/>
      <c r="AV2064" s="2620"/>
      <c r="AW2064" s="2620"/>
      <c r="AX2064" s="2620"/>
      <c r="AY2064" s="2620"/>
      <c r="AZ2064" s="2620"/>
      <c r="BA2064" s="2620"/>
      <c r="BB2064" s="2620"/>
      <c r="BC2064" s="2620"/>
      <c r="BD2064" s="2620"/>
      <c r="BE2064" s="2620"/>
      <c r="BF2064" s="2620"/>
      <c r="BG2064" s="2620"/>
      <c r="BH2064" s="2620"/>
      <c r="BI2064" s="2620"/>
      <c r="BJ2064" s="2620"/>
      <c r="BK2064" s="2620"/>
      <c r="BL2064" s="2620"/>
      <c r="BM2064" s="2620"/>
      <c r="BN2064" s="2620"/>
      <c r="BO2064" s="2620"/>
      <c r="BP2064" s="2620"/>
      <c r="BQ2064" s="2620"/>
      <c r="BR2064" s="2620"/>
      <c r="BS2064" s="2620"/>
    </row>
    <row r="2065" spans="1:71" ht="12.75" customHeight="1" x14ac:dyDescent="0.2">
      <c r="A2065" s="2029">
        <v>211</v>
      </c>
      <c r="B2065" s="4995"/>
      <c r="C2065" s="2112"/>
      <c r="H2065" s="413"/>
      <c r="M2065" s="1959"/>
      <c r="N2065" s="100"/>
      <c r="O2065" s="468" t="s">
        <v>10050</v>
      </c>
      <c r="P2065" s="2811">
        <f>IF(General!R65="Xavi",25,5)</f>
        <v>5</v>
      </c>
      <c r="Q2065" s="575">
        <f>IF(General!R65="Xavi",40,20)</f>
        <v>20</v>
      </c>
      <c r="R2065" s="2818">
        <f>COUNTIF(PoderesDeCriatura_Adquiridos,Tablas!O2065)</f>
        <v>0</v>
      </c>
      <c r="S2065" s="422"/>
      <c r="T2065" s="2809"/>
      <c r="U2065" s="576"/>
      <c r="Y2065" s="2112"/>
      <c r="AB2065" s="413"/>
      <c r="AC2065" s="2795"/>
      <c r="AF2065" s="2620"/>
      <c r="AG2065" s="2620"/>
      <c r="AH2065" s="2620"/>
      <c r="AI2065" s="2620"/>
      <c r="AJ2065" s="2620"/>
      <c r="AK2065" s="2620"/>
      <c r="AL2065" s="2620"/>
      <c r="AM2065" s="2620"/>
      <c r="AN2065" s="2620"/>
      <c r="AO2065" s="2620"/>
      <c r="AP2065" s="2620"/>
      <c r="AQ2065" s="2620"/>
      <c r="AR2065" s="2620"/>
      <c r="AS2065" s="2620"/>
      <c r="AT2065" s="2620"/>
      <c r="AU2065" s="2620"/>
      <c r="AV2065" s="2620"/>
      <c r="AW2065" s="2620"/>
      <c r="AX2065" s="2620"/>
      <c r="AY2065" s="2620"/>
      <c r="AZ2065" s="2620"/>
      <c r="BA2065" s="2620"/>
      <c r="BB2065" s="2620"/>
      <c r="BC2065" s="2620"/>
      <c r="BD2065" s="2620"/>
      <c r="BE2065" s="2620"/>
      <c r="BF2065" s="2620"/>
      <c r="BG2065" s="2620"/>
      <c r="BH2065" s="2620"/>
      <c r="BI2065" s="2620"/>
      <c r="BJ2065" s="2620"/>
      <c r="BK2065" s="2620"/>
      <c r="BL2065" s="2620"/>
      <c r="BM2065" s="2620"/>
      <c r="BN2065" s="2620"/>
      <c r="BO2065" s="2620"/>
      <c r="BP2065" s="2620"/>
      <c r="BQ2065" s="2620"/>
      <c r="BR2065" s="2620"/>
      <c r="BS2065" s="2620"/>
    </row>
    <row r="2066" spans="1:71" ht="12.75" customHeight="1" x14ac:dyDescent="0.2">
      <c r="A2066" s="2029">
        <v>211</v>
      </c>
      <c r="B2066" s="4995"/>
      <c r="C2066" s="2112"/>
      <c r="H2066" s="413"/>
      <c r="M2066" s="1959"/>
      <c r="N2066" s="100"/>
      <c r="O2066" s="468" t="s">
        <v>10051</v>
      </c>
      <c r="P2066" s="2811">
        <f>IF(General!R65="Xavi",25,10)</f>
        <v>10</v>
      </c>
      <c r="Q2066" s="575">
        <f>IF(General!R65="Xavi",50,25)</f>
        <v>25</v>
      </c>
      <c r="R2066" s="2818">
        <f>COUNTIF(PoderesDeCriatura_Adquiridos,Tablas!O2066)</f>
        <v>0</v>
      </c>
      <c r="S2066" s="422"/>
      <c r="T2066" s="2809"/>
      <c r="U2066" s="576"/>
      <c r="Y2066" s="2112"/>
      <c r="AB2066" s="413"/>
      <c r="AC2066" s="2795"/>
      <c r="AF2066" s="2620"/>
      <c r="AG2066" s="2620"/>
      <c r="AH2066" s="2620"/>
      <c r="AI2066" s="2620"/>
      <c r="AJ2066" s="2620"/>
      <c r="AK2066" s="2620"/>
      <c r="AL2066" s="2620"/>
      <c r="AM2066" s="2620"/>
      <c r="AN2066" s="2620"/>
      <c r="AO2066" s="2620"/>
      <c r="AP2066" s="2620"/>
      <c r="AQ2066" s="2620"/>
      <c r="AR2066" s="2620"/>
      <c r="AS2066" s="2620"/>
      <c r="AT2066" s="2620"/>
      <c r="AU2066" s="2620"/>
      <c r="AV2066" s="2620"/>
      <c r="AW2066" s="2620"/>
      <c r="AX2066" s="2620"/>
      <c r="AY2066" s="2620"/>
      <c r="AZ2066" s="2620"/>
      <c r="BA2066" s="2620"/>
      <c r="BB2066" s="2620"/>
      <c r="BC2066" s="2620"/>
      <c r="BD2066" s="2620"/>
      <c r="BE2066" s="2620"/>
      <c r="BF2066" s="2620"/>
      <c r="BG2066" s="2620"/>
      <c r="BH2066" s="2620"/>
      <c r="BI2066" s="2620"/>
      <c r="BJ2066" s="2620"/>
      <c r="BK2066" s="2620"/>
      <c r="BL2066" s="2620"/>
      <c r="BM2066" s="2620"/>
      <c r="BN2066" s="2620"/>
      <c r="BO2066" s="2620"/>
      <c r="BP2066" s="2620"/>
      <c r="BQ2066" s="2620"/>
      <c r="BR2066" s="2620"/>
      <c r="BS2066" s="2620"/>
    </row>
    <row r="2067" spans="1:71" ht="12.75" customHeight="1" x14ac:dyDescent="0.2">
      <c r="A2067" s="2029">
        <v>211</v>
      </c>
      <c r="B2067" s="4995"/>
      <c r="C2067" s="2112"/>
      <c r="H2067" s="413"/>
      <c r="M2067" s="1959"/>
      <c r="N2067" s="100"/>
      <c r="O2067" s="468" t="s">
        <v>10052</v>
      </c>
      <c r="P2067" s="2811">
        <f>IF(General!R65="Xavi",30,10)</f>
        <v>10</v>
      </c>
      <c r="Q2067" s="575">
        <f>IF(General!R65="Xavi",60,30)</f>
        <v>30</v>
      </c>
      <c r="R2067" s="2818">
        <f>COUNTIF(PoderesDeCriatura_Adquiridos,Tablas!O2067)</f>
        <v>0</v>
      </c>
      <c r="S2067" s="422"/>
      <c r="T2067" s="2809"/>
      <c r="U2067" s="576"/>
      <c r="Y2067" s="2112"/>
      <c r="AB2067" s="413"/>
      <c r="AC2067" s="2795"/>
      <c r="AF2067" s="2620"/>
      <c r="AG2067" s="2620"/>
      <c r="AH2067" s="2620"/>
      <c r="AI2067" s="2620"/>
      <c r="AJ2067" s="2620"/>
      <c r="AK2067" s="2620"/>
      <c r="AL2067" s="2620"/>
      <c r="AM2067" s="2620"/>
      <c r="AN2067" s="2620"/>
      <c r="AO2067" s="2620"/>
      <c r="AP2067" s="2620"/>
      <c r="AQ2067" s="2620"/>
      <c r="AR2067" s="2620"/>
      <c r="AS2067" s="2620"/>
      <c r="AT2067" s="2620"/>
      <c r="AU2067" s="2620"/>
      <c r="AV2067" s="2620"/>
      <c r="AW2067" s="2620"/>
      <c r="AX2067" s="2620"/>
      <c r="AY2067" s="2620"/>
      <c r="AZ2067" s="2620"/>
      <c r="BA2067" s="2620"/>
      <c r="BB2067" s="2620"/>
      <c r="BC2067" s="2620"/>
      <c r="BD2067" s="2620"/>
      <c r="BE2067" s="2620"/>
      <c r="BF2067" s="2620"/>
      <c r="BG2067" s="2620"/>
      <c r="BH2067" s="2620"/>
      <c r="BI2067" s="2620"/>
      <c r="BJ2067" s="2620"/>
      <c r="BK2067" s="2620"/>
      <c r="BL2067" s="2620"/>
      <c r="BM2067" s="2620"/>
      <c r="BN2067" s="2620"/>
      <c r="BO2067" s="2620"/>
      <c r="BP2067" s="2620"/>
      <c r="BQ2067" s="2620"/>
      <c r="BR2067" s="2620"/>
      <c r="BS2067" s="2620"/>
    </row>
    <row r="2068" spans="1:71" ht="12.75" customHeight="1" x14ac:dyDescent="0.2">
      <c r="A2068" s="2029">
        <v>211</v>
      </c>
      <c r="B2068" s="4995"/>
      <c r="C2068" s="2112"/>
      <c r="H2068" s="413"/>
      <c r="M2068" s="1959"/>
      <c r="N2068" s="100"/>
      <c r="O2068" s="468" t="s">
        <v>10053</v>
      </c>
      <c r="P2068" s="2811">
        <f>IF(General!R65="Xavi",30,10)</f>
        <v>10</v>
      </c>
      <c r="Q2068" s="575">
        <f>IF(General!R65="Xavi",80,40)</f>
        <v>40</v>
      </c>
      <c r="R2068" s="2818">
        <f>COUNTIF(PoderesDeCriatura_Adquiridos,Tablas!O2068)</f>
        <v>0</v>
      </c>
      <c r="S2068" s="422"/>
      <c r="T2068" s="2809"/>
      <c r="U2068" s="576"/>
      <c r="Y2068" s="2112"/>
      <c r="AB2068" s="413"/>
      <c r="AC2068" s="2795"/>
      <c r="AF2068" s="2620"/>
      <c r="AG2068" s="2620"/>
      <c r="AH2068" s="2620"/>
      <c r="AI2068" s="2620"/>
      <c r="AJ2068" s="2620"/>
      <c r="AK2068" s="2620"/>
      <c r="AL2068" s="2620"/>
      <c r="AM2068" s="2620"/>
      <c r="AN2068" s="2620"/>
      <c r="AO2068" s="2620"/>
      <c r="AP2068" s="2620"/>
      <c r="AQ2068" s="2620"/>
      <c r="AR2068" s="2620"/>
      <c r="AS2068" s="2620"/>
      <c r="AT2068" s="2620"/>
      <c r="AU2068" s="2620"/>
      <c r="AV2068" s="2620"/>
      <c r="AW2068" s="2620"/>
      <c r="AX2068" s="2620"/>
      <c r="AY2068" s="2620"/>
      <c r="AZ2068" s="2620"/>
      <c r="BA2068" s="2620"/>
      <c r="BB2068" s="2620"/>
      <c r="BC2068" s="2620"/>
      <c r="BD2068" s="2620"/>
      <c r="BE2068" s="2620"/>
      <c r="BF2068" s="2620"/>
      <c r="BG2068" s="2620"/>
      <c r="BH2068" s="2620"/>
      <c r="BI2068" s="2620"/>
      <c r="BJ2068" s="2620"/>
      <c r="BK2068" s="2620"/>
      <c r="BL2068" s="2620"/>
      <c r="BM2068" s="2620"/>
      <c r="BN2068" s="2620"/>
      <c r="BO2068" s="2620"/>
      <c r="BP2068" s="2620"/>
      <c r="BQ2068" s="2620"/>
      <c r="BR2068" s="2620"/>
      <c r="BS2068" s="2620"/>
    </row>
    <row r="2069" spans="1:71" ht="12.75" customHeight="1" x14ac:dyDescent="0.2">
      <c r="A2069" s="2029">
        <v>211</v>
      </c>
      <c r="B2069" s="4995"/>
      <c r="C2069" s="2112"/>
      <c r="H2069" s="413"/>
      <c r="M2069" s="1959"/>
      <c r="N2069" s="100"/>
      <c r="O2069" s="468" t="s">
        <v>1626</v>
      </c>
      <c r="P2069" s="2811"/>
      <c r="Q2069" s="575"/>
      <c r="R2069" s="2818"/>
      <c r="S2069" s="422"/>
      <c r="T2069" s="2809"/>
      <c r="AB2069" s="413"/>
      <c r="AC2069" s="2795"/>
      <c r="AF2069" s="2620"/>
      <c r="AG2069" s="2620"/>
      <c r="AH2069" s="2620"/>
      <c r="AI2069" s="2620"/>
      <c r="AJ2069" s="2620"/>
      <c r="AK2069" s="2620"/>
      <c r="AL2069" s="2620"/>
      <c r="AM2069" s="2620"/>
      <c r="AN2069" s="2620"/>
      <c r="AO2069" s="2620"/>
      <c r="AP2069" s="2620"/>
      <c r="AQ2069" s="2620"/>
      <c r="AR2069" s="2620"/>
      <c r="AS2069" s="2620"/>
      <c r="AT2069" s="2620"/>
      <c r="AU2069" s="2620"/>
      <c r="AV2069" s="2620"/>
      <c r="AW2069" s="2620"/>
      <c r="AX2069" s="2620"/>
      <c r="AY2069" s="2620"/>
      <c r="AZ2069" s="2620"/>
      <c r="BA2069" s="2620"/>
      <c r="BB2069" s="2620"/>
      <c r="BC2069" s="2620"/>
      <c r="BD2069" s="2620"/>
      <c r="BE2069" s="2620"/>
      <c r="BF2069" s="2620"/>
      <c r="BG2069" s="2620"/>
      <c r="BH2069" s="2620"/>
      <c r="BI2069" s="2620"/>
      <c r="BJ2069" s="2620"/>
      <c r="BK2069" s="2620"/>
      <c r="BL2069" s="2620"/>
      <c r="BM2069" s="2620"/>
      <c r="BN2069" s="2620"/>
      <c r="BO2069" s="2620"/>
      <c r="BP2069" s="2620"/>
      <c r="BQ2069" s="2620"/>
      <c r="BR2069" s="2620"/>
      <c r="BS2069" s="2620"/>
    </row>
    <row r="2070" spans="1:71" ht="12.75" customHeight="1" x14ac:dyDescent="0.2">
      <c r="A2070" s="2029">
        <v>211</v>
      </c>
      <c r="B2070" s="4995"/>
      <c r="C2070" s="2112"/>
      <c r="H2070" s="413"/>
      <c r="M2070" s="1959"/>
      <c r="N2070" s="100"/>
      <c r="O2070" s="468" t="s">
        <v>10054</v>
      </c>
      <c r="P2070" s="2811">
        <v>0</v>
      </c>
      <c r="Q2070" s="575">
        <v>10</v>
      </c>
      <c r="R2070" s="2818">
        <f>COUNTIF(PoderesDeCriatura_Adquiridos,Tablas!O2070)</f>
        <v>0</v>
      </c>
      <c r="S2070" s="422">
        <f t="array" ref="S2070">IF(R2081&gt;0,0,MAX($R$2070:$R$2080*VALUE(RIGHT($O$2070:$O$2080,2))))</f>
        <v>0</v>
      </c>
      <c r="T2070" s="2809" t="s">
        <v>1868</v>
      </c>
      <c r="AB2070" s="413"/>
      <c r="AC2070" s="2795"/>
      <c r="AF2070" s="2620"/>
      <c r="AG2070" s="2620"/>
      <c r="AH2070" s="2620"/>
      <c r="AI2070" s="2620"/>
      <c r="AJ2070" s="2620"/>
      <c r="AK2070" s="2620"/>
      <c r="AL2070" s="2620"/>
      <c r="AM2070" s="2620"/>
      <c r="AN2070" s="2620"/>
      <c r="AO2070" s="2620"/>
      <c r="AP2070" s="2620"/>
      <c r="AQ2070" s="2620"/>
      <c r="AR2070" s="2620"/>
      <c r="AS2070" s="2620"/>
      <c r="AT2070" s="2620"/>
      <c r="AU2070" s="2620"/>
      <c r="AV2070" s="2620"/>
      <c r="AW2070" s="2620"/>
      <c r="AX2070" s="2620"/>
      <c r="AY2070" s="2620"/>
      <c r="AZ2070" s="2620"/>
      <c r="BA2070" s="2620"/>
      <c r="BB2070" s="2620"/>
      <c r="BC2070" s="2620"/>
      <c r="BD2070" s="2620"/>
      <c r="BE2070" s="2620"/>
      <c r="BF2070" s="2620"/>
      <c r="BG2070" s="2620"/>
      <c r="BH2070" s="2620"/>
      <c r="BI2070" s="2620"/>
      <c r="BJ2070" s="2620"/>
      <c r="BK2070" s="2620"/>
      <c r="BL2070" s="2620"/>
      <c r="BM2070" s="2620"/>
      <c r="BN2070" s="2620"/>
      <c r="BO2070" s="2620"/>
      <c r="BP2070" s="2620"/>
      <c r="BQ2070" s="2620"/>
      <c r="BR2070" s="2620"/>
      <c r="BS2070" s="2620"/>
    </row>
    <row r="2071" spans="1:71" ht="12.75" customHeight="1" x14ac:dyDescent="0.2">
      <c r="A2071" s="2029">
        <v>211</v>
      </c>
      <c r="B2071" s="4995"/>
      <c r="C2071" s="2112"/>
      <c r="H2071" s="413"/>
      <c r="M2071" s="1959"/>
      <c r="N2071" s="100"/>
      <c r="O2071" s="468" t="s">
        <v>10055</v>
      </c>
      <c r="P2071" s="2811">
        <v>0</v>
      </c>
      <c r="Q2071" s="575">
        <v>20</v>
      </c>
      <c r="R2071" s="2818">
        <f>COUNTIF(PoderesDeCriatura_Adquiridos,Tablas!O2071)</f>
        <v>0</v>
      </c>
      <c r="S2071" s="422">
        <f t="array" ref="S2071">IF(R2082&gt;0,0,MAX($R$2070:$R$2080*VALUE(RIGHT($O$2070:$O$2080,2))))</f>
        <v>0</v>
      </c>
      <c r="T2071" s="2809" t="s">
        <v>1813</v>
      </c>
      <c r="AB2071" s="413"/>
      <c r="AC2071" s="2795"/>
      <c r="AF2071" s="2620"/>
      <c r="AG2071" s="2620"/>
      <c r="AH2071" s="2620"/>
      <c r="AI2071" s="2620"/>
      <c r="AJ2071" s="2620"/>
      <c r="AK2071" s="2620"/>
      <c r="AL2071" s="2620"/>
      <c r="AM2071" s="2620"/>
      <c r="AN2071" s="2620"/>
      <c r="AO2071" s="2620"/>
      <c r="AP2071" s="2620"/>
      <c r="AQ2071" s="2620"/>
      <c r="AR2071" s="2620"/>
      <c r="AS2071" s="2620"/>
      <c r="AT2071" s="2620"/>
      <c r="AU2071" s="2620"/>
      <c r="AV2071" s="2620"/>
      <c r="AW2071" s="2620"/>
      <c r="AX2071" s="2620"/>
      <c r="AY2071" s="2620"/>
      <c r="AZ2071" s="2620"/>
      <c r="BA2071" s="2620"/>
      <c r="BB2071" s="2620"/>
      <c r="BC2071" s="2620"/>
      <c r="BD2071" s="2620"/>
      <c r="BE2071" s="2620"/>
      <c r="BF2071" s="2620"/>
      <c r="BG2071" s="2620"/>
      <c r="BH2071" s="2620"/>
      <c r="BI2071" s="2620"/>
      <c r="BJ2071" s="2620"/>
      <c r="BK2071" s="2620"/>
      <c r="BL2071" s="2620"/>
      <c r="BM2071" s="2620"/>
      <c r="BN2071" s="2620"/>
      <c r="BO2071" s="2620"/>
      <c r="BP2071" s="2620"/>
      <c r="BQ2071" s="2620"/>
      <c r="BR2071" s="2620"/>
      <c r="BS2071" s="2620"/>
    </row>
    <row r="2072" spans="1:71" ht="12.75" customHeight="1" x14ac:dyDescent="0.2">
      <c r="A2072" s="2029">
        <v>211</v>
      </c>
      <c r="B2072" s="4995"/>
      <c r="C2072" s="2112"/>
      <c r="H2072" s="413"/>
      <c r="M2072" s="1959"/>
      <c r="N2072" s="100"/>
      <c r="O2072" s="468" t="s">
        <v>10056</v>
      </c>
      <c r="P2072" s="2811">
        <v>0</v>
      </c>
      <c r="Q2072" s="575">
        <v>30</v>
      </c>
      <c r="R2072" s="2818">
        <f>COUNTIF(PoderesDeCriatura_Adquiridos,Tablas!O2072)</f>
        <v>0</v>
      </c>
      <c r="S2072" s="422">
        <f t="array" ref="S2072">IF(R2083&gt;0,0,MAX($R$2070:$R$2080*VALUE(RIGHT($O$2070:$O$2080,2))))</f>
        <v>0</v>
      </c>
      <c r="T2072" s="2809" t="s">
        <v>1869</v>
      </c>
      <c r="AB2072" s="413"/>
      <c r="AC2072" s="2795"/>
      <c r="AF2072" s="2620"/>
      <c r="AG2072" s="2620"/>
      <c r="AH2072" s="2620"/>
      <c r="AI2072" s="2620"/>
      <c r="AJ2072" s="2620"/>
      <c r="AK2072" s="2620"/>
      <c r="AL2072" s="2620"/>
      <c r="AM2072" s="2620"/>
      <c r="AN2072" s="2620"/>
      <c r="AO2072" s="2620"/>
      <c r="AP2072" s="2620"/>
      <c r="AQ2072" s="2620"/>
      <c r="AR2072" s="2620"/>
      <c r="AS2072" s="2620"/>
      <c r="AT2072" s="2620"/>
      <c r="AU2072" s="2620"/>
      <c r="AV2072" s="2620"/>
      <c r="AW2072" s="2620"/>
      <c r="AX2072" s="2620"/>
      <c r="AY2072" s="2620"/>
      <c r="AZ2072" s="2620"/>
      <c r="BA2072" s="2620"/>
      <c r="BB2072" s="2620"/>
      <c r="BC2072" s="2620"/>
      <c r="BD2072" s="2620"/>
      <c r="BE2072" s="2620"/>
      <c r="BF2072" s="2620"/>
      <c r="BG2072" s="2620"/>
      <c r="BH2072" s="2620"/>
      <c r="BI2072" s="2620"/>
      <c r="BJ2072" s="2620"/>
      <c r="BK2072" s="2620"/>
      <c r="BL2072" s="2620"/>
      <c r="BM2072" s="2620"/>
      <c r="BN2072" s="2620"/>
      <c r="BO2072" s="2620"/>
      <c r="BP2072" s="2620"/>
      <c r="BQ2072" s="2620"/>
      <c r="BR2072" s="2620"/>
      <c r="BS2072" s="2620"/>
    </row>
    <row r="2073" spans="1:71" ht="12.75" customHeight="1" x14ac:dyDescent="0.2">
      <c r="A2073" s="2029">
        <v>211</v>
      </c>
      <c r="B2073" s="4995"/>
      <c r="C2073" s="2112"/>
      <c r="H2073" s="413"/>
      <c r="M2073" s="1959"/>
      <c r="N2073" s="100"/>
      <c r="O2073" s="468" t="s">
        <v>10057</v>
      </c>
      <c r="P2073" s="2811">
        <v>5</v>
      </c>
      <c r="Q2073" s="575">
        <v>40</v>
      </c>
      <c r="R2073" s="2818">
        <f>COUNTIF(PoderesDeCriatura_Adquiridos,Tablas!O2073)</f>
        <v>0</v>
      </c>
      <c r="S2073" s="422">
        <f t="array" ref="S2073">IF(R2084&gt;0,0,MAX($R$2070:$R$2080*VALUE(RIGHT($O$2070:$O$2080,2))))</f>
        <v>0</v>
      </c>
      <c r="T2073" s="2809" t="s">
        <v>1870</v>
      </c>
      <c r="AB2073" s="413"/>
      <c r="AC2073" s="2795"/>
      <c r="AF2073" s="2620"/>
      <c r="AG2073" s="2620"/>
      <c r="AH2073" s="2620"/>
      <c r="AI2073" s="2620"/>
      <c r="AJ2073" s="2620"/>
      <c r="AK2073" s="2620"/>
      <c r="AL2073" s="2620"/>
      <c r="AM2073" s="2620"/>
      <c r="AN2073" s="2620"/>
      <c r="AO2073" s="2620"/>
      <c r="AP2073" s="2620"/>
      <c r="AQ2073" s="2620"/>
      <c r="AR2073" s="2620"/>
      <c r="AS2073" s="2620"/>
      <c r="AT2073" s="2620"/>
      <c r="AU2073" s="2620"/>
      <c r="AV2073" s="2620"/>
      <c r="AW2073" s="2620"/>
      <c r="AX2073" s="2620"/>
      <c r="AY2073" s="2620"/>
      <c r="AZ2073" s="2620"/>
      <c r="BA2073" s="2620"/>
      <c r="BB2073" s="2620"/>
      <c r="BC2073" s="2620"/>
      <c r="BD2073" s="2620"/>
      <c r="BE2073" s="2620"/>
      <c r="BF2073" s="2620"/>
      <c r="BG2073" s="2620"/>
      <c r="BH2073" s="2620"/>
      <c r="BI2073" s="2620"/>
      <c r="BJ2073" s="2620"/>
      <c r="BK2073" s="2620"/>
      <c r="BL2073" s="2620"/>
      <c r="BM2073" s="2620"/>
      <c r="BN2073" s="2620"/>
      <c r="BO2073" s="2620"/>
      <c r="BP2073" s="2620"/>
      <c r="BQ2073" s="2620"/>
      <c r="BR2073" s="2620"/>
      <c r="BS2073" s="2620"/>
    </row>
    <row r="2074" spans="1:71" ht="12.75" customHeight="1" x14ac:dyDescent="0.2">
      <c r="A2074" s="2029">
        <v>211</v>
      </c>
      <c r="B2074" s="4995"/>
      <c r="C2074" s="2112"/>
      <c r="H2074" s="413"/>
      <c r="M2074" s="1959"/>
      <c r="N2074" s="100"/>
      <c r="O2074" s="468" t="s">
        <v>10058</v>
      </c>
      <c r="P2074" s="2811">
        <v>10</v>
      </c>
      <c r="Q2074" s="575">
        <v>50</v>
      </c>
      <c r="R2074" s="2818">
        <f>COUNTIF(PoderesDeCriatura_Adquiridos,Tablas!O2074)</f>
        <v>0</v>
      </c>
      <c r="S2074" s="422">
        <f t="array" ref="S2074">IF(R2085&gt;0,0,MAX($R$2070:$R$2080*VALUE(RIGHT($O$2070:$O$2080,2))))</f>
        <v>0</v>
      </c>
      <c r="T2074" s="2809" t="s">
        <v>1871</v>
      </c>
      <c r="AB2074" s="413"/>
      <c r="AC2074" s="2795"/>
      <c r="AF2074" s="2620"/>
      <c r="AG2074" s="2620"/>
      <c r="AH2074" s="2620"/>
      <c r="AI2074" s="2620"/>
      <c r="AJ2074" s="2620"/>
      <c r="AK2074" s="2620"/>
      <c r="AL2074" s="2620"/>
      <c r="AM2074" s="2620"/>
      <c r="AN2074" s="2620"/>
      <c r="AO2074" s="2620"/>
      <c r="AP2074" s="2620"/>
      <c r="AQ2074" s="2620"/>
      <c r="AR2074" s="2620"/>
      <c r="AS2074" s="2620"/>
      <c r="AT2074" s="2620"/>
      <c r="AU2074" s="2620"/>
      <c r="AV2074" s="2620"/>
      <c r="AW2074" s="2620"/>
      <c r="AX2074" s="2620"/>
      <c r="AY2074" s="2620"/>
      <c r="AZ2074" s="2620"/>
      <c r="BA2074" s="2620"/>
      <c r="BB2074" s="2620"/>
      <c r="BC2074" s="2620"/>
      <c r="BD2074" s="2620"/>
      <c r="BE2074" s="2620"/>
      <c r="BF2074" s="2620"/>
      <c r="BG2074" s="2620"/>
      <c r="BH2074" s="2620"/>
      <c r="BI2074" s="2620"/>
      <c r="BJ2074" s="2620"/>
      <c r="BK2074" s="2620"/>
      <c r="BL2074" s="2620"/>
      <c r="BM2074" s="2620"/>
      <c r="BN2074" s="2620"/>
      <c r="BO2074" s="2620"/>
      <c r="BP2074" s="2620"/>
      <c r="BQ2074" s="2620"/>
      <c r="BR2074" s="2620"/>
      <c r="BS2074" s="2620"/>
    </row>
    <row r="2075" spans="1:71" ht="12.75" customHeight="1" x14ac:dyDescent="0.2">
      <c r="A2075" s="2029">
        <v>211</v>
      </c>
      <c r="B2075" s="4995"/>
      <c r="C2075" s="2112"/>
      <c r="H2075" s="413"/>
      <c r="M2075" s="1959"/>
      <c r="N2075" s="100"/>
      <c r="O2075" s="468" t="s">
        <v>10059</v>
      </c>
      <c r="P2075" s="2811">
        <v>15</v>
      </c>
      <c r="Q2075" s="575">
        <v>60</v>
      </c>
      <c r="R2075" s="2818">
        <f>COUNTIF(PoderesDeCriatura_Adquiridos,Tablas!O2075)</f>
        <v>0</v>
      </c>
      <c r="S2075" s="422">
        <f t="array" ref="S2075">IF(R2086&gt;0,0,MAX($R$2070:$R$2080*VALUE(RIGHT($O$2070:$O$2080,2))))</f>
        <v>0</v>
      </c>
      <c r="T2075" s="2809" t="s">
        <v>1872</v>
      </c>
      <c r="AB2075" s="413"/>
      <c r="AC2075" s="2795"/>
      <c r="AF2075" s="2620"/>
      <c r="AG2075" s="2620"/>
      <c r="AH2075" s="2620"/>
      <c r="AI2075" s="2620"/>
      <c r="AJ2075" s="2620"/>
      <c r="AK2075" s="2620"/>
      <c r="AL2075" s="2620"/>
      <c r="AM2075" s="2620"/>
      <c r="AN2075" s="2620"/>
      <c r="AO2075" s="2620"/>
      <c r="AP2075" s="2620"/>
      <c r="AQ2075" s="2620"/>
      <c r="AR2075" s="2620"/>
      <c r="AS2075" s="2620"/>
      <c r="AT2075" s="2620"/>
      <c r="AU2075" s="2620"/>
      <c r="AV2075" s="2620"/>
      <c r="AW2075" s="2620"/>
      <c r="AX2075" s="2620"/>
      <c r="AY2075" s="2620"/>
      <c r="AZ2075" s="2620"/>
      <c r="BA2075" s="2620"/>
      <c r="BB2075" s="2620"/>
      <c r="BC2075" s="2620"/>
      <c r="BD2075" s="2620"/>
      <c r="BE2075" s="2620"/>
      <c r="BF2075" s="2620"/>
      <c r="BG2075" s="2620"/>
      <c r="BH2075" s="2620"/>
      <c r="BI2075" s="2620"/>
      <c r="BJ2075" s="2620"/>
      <c r="BK2075" s="2620"/>
      <c r="BL2075" s="2620"/>
      <c r="BM2075" s="2620"/>
      <c r="BN2075" s="2620"/>
      <c r="BO2075" s="2620"/>
      <c r="BP2075" s="2620"/>
      <c r="BQ2075" s="2620"/>
      <c r="BR2075" s="2620"/>
      <c r="BS2075" s="2620"/>
    </row>
    <row r="2076" spans="1:71" ht="12.75" customHeight="1" x14ac:dyDescent="0.2">
      <c r="A2076" s="2029">
        <v>211</v>
      </c>
      <c r="B2076" s="4995"/>
      <c r="C2076" s="2112"/>
      <c r="H2076" s="413"/>
      <c r="M2076" s="1959"/>
      <c r="N2076" s="100"/>
      <c r="O2076" s="468" t="s">
        <v>10060</v>
      </c>
      <c r="P2076" s="2811">
        <v>20</v>
      </c>
      <c r="Q2076" s="575">
        <v>80</v>
      </c>
      <c r="R2076" s="2818">
        <f>COUNTIF(PoderesDeCriatura_Adquiridos,Tablas!O2076)</f>
        <v>0</v>
      </c>
      <c r="S2076" s="422">
        <f t="array" ref="S2076">IF(R2087&gt;0,0,MAX($R$2070:$R$2080*VALUE(RIGHT($O$2070:$O$2080,2))))</f>
        <v>0</v>
      </c>
      <c r="T2076" s="2809" t="s">
        <v>1873</v>
      </c>
      <c r="AB2076" s="413"/>
      <c r="AC2076" s="2795"/>
      <c r="AF2076" s="2620"/>
      <c r="AG2076" s="2620"/>
      <c r="AH2076" s="2620"/>
      <c r="AI2076" s="2620"/>
      <c r="AJ2076" s="2620"/>
      <c r="AK2076" s="2620"/>
      <c r="AL2076" s="2620"/>
      <c r="AM2076" s="2620"/>
      <c r="AN2076" s="2620"/>
      <c r="AO2076" s="2620"/>
      <c r="AP2076" s="2620"/>
      <c r="AQ2076" s="2620"/>
      <c r="AR2076" s="2620"/>
      <c r="AS2076" s="2620"/>
      <c r="AT2076" s="2620"/>
      <c r="AU2076" s="2620"/>
      <c r="AV2076" s="2620"/>
      <c r="AW2076" s="2620"/>
      <c r="AX2076" s="2620"/>
      <c r="AY2076" s="2620"/>
      <c r="AZ2076" s="2620"/>
      <c r="BA2076" s="2620"/>
      <c r="BB2076" s="2620"/>
      <c r="BC2076" s="2620"/>
      <c r="BD2076" s="2620"/>
      <c r="BE2076" s="2620"/>
      <c r="BF2076" s="2620"/>
      <c r="BG2076" s="2620"/>
      <c r="BH2076" s="2620"/>
      <c r="BI2076" s="2620"/>
      <c r="BJ2076" s="2620"/>
      <c r="BK2076" s="2620"/>
      <c r="BL2076" s="2620"/>
      <c r="BM2076" s="2620"/>
      <c r="BN2076" s="2620"/>
      <c r="BO2076" s="2620"/>
      <c r="BP2076" s="2620"/>
      <c r="BQ2076" s="2620"/>
      <c r="BR2076" s="2620"/>
      <c r="BS2076" s="2620"/>
    </row>
    <row r="2077" spans="1:71" ht="12.75" customHeight="1" x14ac:dyDescent="0.2">
      <c r="A2077" s="2029">
        <v>211</v>
      </c>
      <c r="B2077" s="4995"/>
      <c r="C2077" s="2112"/>
      <c r="H2077" s="413"/>
      <c r="M2077" s="1959"/>
      <c r="N2077" s="100"/>
      <c r="O2077" s="468" t="s">
        <v>10061</v>
      </c>
      <c r="P2077" s="2811">
        <v>25</v>
      </c>
      <c r="Q2077" s="575">
        <v>100</v>
      </c>
      <c r="R2077" s="2818">
        <f>COUNTIF(PoderesDeCriatura_Adquiridos,Tablas!O2077)</f>
        <v>0</v>
      </c>
      <c r="S2077" s="422"/>
      <c r="T2077" s="2809"/>
      <c r="AB2077" s="413"/>
      <c r="AC2077" s="2795"/>
      <c r="AF2077" s="2620"/>
      <c r="AG2077" s="2620"/>
      <c r="AH2077" s="2620"/>
      <c r="AI2077" s="2620"/>
      <c r="AJ2077" s="2620"/>
      <c r="AK2077" s="2620"/>
      <c r="AL2077" s="2620"/>
      <c r="AM2077" s="2620"/>
      <c r="AN2077" s="2620"/>
      <c r="AO2077" s="2620"/>
      <c r="AP2077" s="2620"/>
      <c r="AQ2077" s="2620"/>
      <c r="AR2077" s="2620"/>
      <c r="AS2077" s="2620"/>
      <c r="AT2077" s="2620"/>
      <c r="AU2077" s="2620"/>
      <c r="AV2077" s="2620"/>
      <c r="AW2077" s="2620"/>
      <c r="AX2077" s="2620"/>
      <c r="AY2077" s="2620"/>
      <c r="AZ2077" s="2620"/>
      <c r="BA2077" s="2620"/>
      <c r="BB2077" s="2620"/>
      <c r="BC2077" s="2620"/>
      <c r="BD2077" s="2620"/>
      <c r="BE2077" s="2620"/>
      <c r="BF2077" s="2620"/>
      <c r="BG2077" s="2620"/>
      <c r="BH2077" s="2620"/>
      <c r="BI2077" s="2620"/>
      <c r="BJ2077" s="2620"/>
      <c r="BK2077" s="2620"/>
      <c r="BL2077" s="2620"/>
      <c r="BM2077" s="2620"/>
      <c r="BN2077" s="2620"/>
      <c r="BO2077" s="2620"/>
      <c r="BP2077" s="2620"/>
      <c r="BQ2077" s="2620"/>
      <c r="BR2077" s="2620"/>
      <c r="BS2077" s="2620"/>
    </row>
    <row r="2078" spans="1:71" ht="12.75" customHeight="1" x14ac:dyDescent="0.2">
      <c r="A2078" s="2029">
        <v>211</v>
      </c>
      <c r="B2078" s="4995"/>
      <c r="C2078" s="2112"/>
      <c r="H2078" s="413"/>
      <c r="M2078" s="1959"/>
      <c r="N2078" s="100"/>
      <c r="O2078" s="468" t="s">
        <v>10062</v>
      </c>
      <c r="P2078" s="2811">
        <v>30</v>
      </c>
      <c r="Q2078" s="575">
        <v>120</v>
      </c>
      <c r="R2078" s="2818">
        <f>COUNTIF(PoderesDeCriatura_Adquiridos,Tablas!O2078)</f>
        <v>0</v>
      </c>
      <c r="S2078" s="422"/>
      <c r="T2078" s="2809"/>
      <c r="AB2078" s="413"/>
      <c r="AC2078" s="2795"/>
      <c r="AF2078" s="2620"/>
      <c r="AG2078" s="2620"/>
      <c r="AH2078" s="2620"/>
      <c r="AI2078" s="2620"/>
      <c r="AJ2078" s="2620"/>
      <c r="AK2078" s="2620"/>
      <c r="AL2078" s="2620"/>
      <c r="AM2078" s="2620"/>
      <c r="AN2078" s="2620"/>
      <c r="AO2078" s="2620"/>
      <c r="AP2078" s="2620"/>
      <c r="AQ2078" s="2620"/>
      <c r="AR2078" s="2620"/>
      <c r="AS2078" s="2620"/>
      <c r="AT2078" s="2620"/>
      <c r="AU2078" s="2620"/>
      <c r="AV2078" s="2620"/>
      <c r="AW2078" s="2620"/>
      <c r="AX2078" s="2620"/>
      <c r="AY2078" s="2620"/>
      <c r="AZ2078" s="2620"/>
      <c r="BA2078" s="2620"/>
      <c r="BB2078" s="2620"/>
      <c r="BC2078" s="2620"/>
      <c r="BD2078" s="2620"/>
      <c r="BE2078" s="2620"/>
      <c r="BF2078" s="2620"/>
      <c r="BG2078" s="2620"/>
      <c r="BH2078" s="2620"/>
      <c r="BI2078" s="2620"/>
      <c r="BJ2078" s="2620"/>
      <c r="BK2078" s="2620"/>
      <c r="BL2078" s="2620"/>
      <c r="BM2078" s="2620"/>
      <c r="BN2078" s="2620"/>
      <c r="BO2078" s="2620"/>
      <c r="BP2078" s="2620"/>
      <c r="BQ2078" s="2620"/>
      <c r="BR2078" s="2620"/>
      <c r="BS2078" s="2620"/>
    </row>
    <row r="2079" spans="1:71" ht="12.75" customHeight="1" x14ac:dyDescent="0.2">
      <c r="A2079" s="2029">
        <v>211</v>
      </c>
      <c r="B2079" s="4995"/>
      <c r="C2079" s="2112"/>
      <c r="H2079" s="413"/>
      <c r="M2079" s="1959"/>
      <c r="N2079" s="100"/>
      <c r="O2079" s="468" t="s">
        <v>10063</v>
      </c>
      <c r="P2079" s="2811">
        <v>35</v>
      </c>
      <c r="Q2079" s="575">
        <v>140</v>
      </c>
      <c r="R2079" s="2818">
        <f>COUNTIF(PoderesDeCriatura_Adquiridos,Tablas!O2079)</f>
        <v>0</v>
      </c>
      <c r="S2079" s="422"/>
      <c r="T2079" s="2809"/>
      <c r="Y2079" s="2112"/>
      <c r="AB2079" s="413"/>
      <c r="AC2079" s="2795"/>
      <c r="AF2079" s="2620"/>
      <c r="AG2079" s="2620"/>
      <c r="AH2079" s="2620"/>
      <c r="AI2079" s="2620"/>
      <c r="AJ2079" s="2620"/>
      <c r="AK2079" s="2620"/>
      <c r="AL2079" s="2620"/>
      <c r="AM2079" s="2620"/>
      <c r="AN2079" s="2620"/>
      <c r="AO2079" s="2620"/>
      <c r="AP2079" s="2620"/>
      <c r="AQ2079" s="2620"/>
      <c r="AR2079" s="2620"/>
      <c r="AS2079" s="2620"/>
      <c r="AT2079" s="2620"/>
      <c r="AU2079" s="2620"/>
      <c r="AV2079" s="2620"/>
      <c r="AW2079" s="2620"/>
      <c r="AX2079" s="2620"/>
      <c r="AY2079" s="2620"/>
      <c r="AZ2079" s="2620"/>
      <c r="BA2079" s="2620"/>
      <c r="BB2079" s="2620"/>
      <c r="BC2079" s="2620"/>
      <c r="BD2079" s="2620"/>
      <c r="BE2079" s="2620"/>
      <c r="BF2079" s="2620"/>
      <c r="BG2079" s="2620"/>
      <c r="BH2079" s="2620"/>
      <c r="BI2079" s="2620"/>
      <c r="BJ2079" s="2620"/>
      <c r="BK2079" s="2620"/>
      <c r="BL2079" s="2620"/>
      <c r="BM2079" s="2620"/>
      <c r="BN2079" s="2620"/>
      <c r="BO2079" s="2620"/>
      <c r="BP2079" s="2620"/>
      <c r="BQ2079" s="2620"/>
      <c r="BR2079" s="2620"/>
      <c r="BS2079" s="2620"/>
    </row>
    <row r="2080" spans="1:71" ht="12.75" customHeight="1" x14ac:dyDescent="0.2">
      <c r="A2080" s="2029">
        <v>211</v>
      </c>
      <c r="B2080" s="4995"/>
      <c r="C2080" s="2112"/>
      <c r="H2080" s="413"/>
      <c r="M2080" s="1959"/>
      <c r="N2080" s="100"/>
      <c r="O2080" s="468" t="s">
        <v>10064</v>
      </c>
      <c r="P2080" s="2811">
        <v>40</v>
      </c>
      <c r="Q2080" s="575">
        <v>180</v>
      </c>
      <c r="R2080" s="2818">
        <f>COUNTIF(PoderesDeCriatura_Adquiridos,Tablas!O2080)</f>
        <v>0</v>
      </c>
      <c r="S2080" s="422"/>
      <c r="T2080" s="2809"/>
      <c r="Y2080" s="2112"/>
      <c r="AB2080" s="413"/>
      <c r="AC2080" s="2795"/>
      <c r="AF2080" s="2620"/>
      <c r="AG2080" s="2620"/>
      <c r="AH2080" s="2620"/>
      <c r="AI2080" s="2620"/>
      <c r="AJ2080" s="2620"/>
      <c r="AK2080" s="2620"/>
      <c r="AL2080" s="2620"/>
      <c r="AM2080" s="2620"/>
      <c r="AN2080" s="2620"/>
      <c r="AO2080" s="2620"/>
      <c r="AP2080" s="2620"/>
      <c r="AQ2080" s="2620"/>
      <c r="AR2080" s="2620"/>
      <c r="AS2080" s="2620"/>
      <c r="AT2080" s="2620"/>
      <c r="AU2080" s="2620"/>
      <c r="AV2080" s="2620"/>
      <c r="AW2080" s="2620"/>
      <c r="AX2080" s="2620"/>
      <c r="AY2080" s="2620"/>
      <c r="AZ2080" s="2620"/>
      <c r="BA2080" s="2620"/>
      <c r="BB2080" s="2620"/>
      <c r="BC2080" s="2620"/>
      <c r="BD2080" s="2620"/>
      <c r="BE2080" s="2620"/>
      <c r="BF2080" s="2620"/>
      <c r="BG2080" s="2620"/>
      <c r="BH2080" s="2620"/>
      <c r="BI2080" s="2620"/>
      <c r="BJ2080" s="2620"/>
      <c r="BK2080" s="2620"/>
      <c r="BL2080" s="2620"/>
      <c r="BM2080" s="2620"/>
      <c r="BN2080" s="2620"/>
      <c r="BO2080" s="2620"/>
      <c r="BP2080" s="2620"/>
      <c r="BQ2080" s="2620"/>
      <c r="BR2080" s="2620"/>
      <c r="BS2080" s="2620"/>
    </row>
    <row r="2081" spans="1:71" ht="12.75" customHeight="1" x14ac:dyDescent="0.2">
      <c r="A2081" s="2029">
        <v>211</v>
      </c>
      <c r="B2081" s="4995"/>
      <c r="C2081" s="2112"/>
      <c r="H2081" s="413"/>
      <c r="M2081" s="1959"/>
      <c r="N2081" s="100"/>
      <c r="O2081" s="468" t="s">
        <v>10065</v>
      </c>
      <c r="P2081" s="2811">
        <v>0</v>
      </c>
      <c r="Q2081" s="575">
        <v>-10</v>
      </c>
      <c r="R2081" s="2818">
        <f>COUNTIF(PoderesDeCriatura_Adquiridos,Tablas!O2081)</f>
        <v>0</v>
      </c>
      <c r="S2081" s="422"/>
      <c r="T2081" s="2809"/>
      <c r="U2081" s="576"/>
      <c r="Y2081" s="2112"/>
      <c r="AB2081" s="413"/>
      <c r="AC2081" s="2795"/>
      <c r="AF2081" s="2620"/>
      <c r="AG2081" s="2620"/>
      <c r="AH2081" s="2620"/>
      <c r="AI2081" s="2620"/>
      <c r="AJ2081" s="2620"/>
      <c r="AK2081" s="2620"/>
      <c r="AL2081" s="2620"/>
      <c r="AM2081" s="2620"/>
      <c r="AN2081" s="2620"/>
      <c r="AO2081" s="2620"/>
      <c r="AP2081" s="2620"/>
      <c r="AQ2081" s="2620"/>
      <c r="AR2081" s="2620"/>
      <c r="AS2081" s="2620"/>
      <c r="AT2081" s="2620"/>
      <c r="AU2081" s="2620"/>
      <c r="AV2081" s="2620"/>
      <c r="AW2081" s="2620"/>
      <c r="AX2081" s="2620"/>
      <c r="AY2081" s="2620"/>
      <c r="AZ2081" s="2620"/>
      <c r="BA2081" s="2620"/>
      <c r="BB2081" s="2620"/>
      <c r="BC2081" s="2620"/>
      <c r="BD2081" s="2620"/>
      <c r="BE2081" s="2620"/>
      <c r="BF2081" s="2620"/>
      <c r="BG2081" s="2620"/>
      <c r="BH2081" s="2620"/>
      <c r="BI2081" s="2620"/>
      <c r="BJ2081" s="2620"/>
      <c r="BK2081" s="2620"/>
      <c r="BL2081" s="2620"/>
      <c r="BM2081" s="2620"/>
      <c r="BN2081" s="2620"/>
      <c r="BO2081" s="2620"/>
      <c r="BP2081" s="2620"/>
      <c r="BQ2081" s="2620"/>
      <c r="BR2081" s="2620"/>
      <c r="BS2081" s="2620"/>
    </row>
    <row r="2082" spans="1:71" ht="12.75" customHeight="1" x14ac:dyDescent="0.2">
      <c r="A2082" s="2029">
        <v>211</v>
      </c>
      <c r="B2082" s="4995"/>
      <c r="C2082" s="2112"/>
      <c r="H2082" s="413"/>
      <c r="M2082" s="1959"/>
      <c r="N2082" s="100"/>
      <c r="O2082" s="468" t="s">
        <v>10066</v>
      </c>
      <c r="P2082" s="2811">
        <v>0</v>
      </c>
      <c r="Q2082" s="575">
        <v>-10</v>
      </c>
      <c r="R2082" s="2818">
        <f>COUNTIF(PoderesDeCriatura_Adquiridos,Tablas!O2082)</f>
        <v>0</v>
      </c>
      <c r="S2082" s="422"/>
      <c r="T2082" s="2809"/>
      <c r="U2082" s="576"/>
      <c r="Y2082" s="2112"/>
      <c r="AB2082" s="413"/>
      <c r="AC2082" s="2795"/>
      <c r="AF2082" s="2620"/>
      <c r="AG2082" s="2620"/>
      <c r="AH2082" s="2620"/>
      <c r="AI2082" s="2620"/>
      <c r="AJ2082" s="2620"/>
      <c r="AK2082" s="2620"/>
      <c r="AL2082" s="2620"/>
      <c r="AM2082" s="2620"/>
      <c r="AN2082" s="2620"/>
      <c r="AO2082" s="2620"/>
      <c r="AP2082" s="2620"/>
      <c r="AQ2082" s="2620"/>
      <c r="AR2082" s="2620"/>
      <c r="AS2082" s="2620"/>
      <c r="AT2082" s="2620"/>
      <c r="AU2082" s="2620"/>
      <c r="AV2082" s="2620"/>
      <c r="AW2082" s="2620"/>
      <c r="AX2082" s="2620"/>
      <c r="AY2082" s="2620"/>
      <c r="AZ2082" s="2620"/>
      <c r="BA2082" s="2620"/>
      <c r="BB2082" s="2620"/>
      <c r="BC2082" s="2620"/>
      <c r="BD2082" s="2620"/>
      <c r="BE2082" s="2620"/>
      <c r="BF2082" s="2620"/>
      <c r="BG2082" s="2620"/>
      <c r="BH2082" s="2620"/>
      <c r="BI2082" s="2620"/>
      <c r="BJ2082" s="2620"/>
      <c r="BK2082" s="2620"/>
      <c r="BL2082" s="2620"/>
      <c r="BM2082" s="2620"/>
      <c r="BN2082" s="2620"/>
      <c r="BO2082" s="2620"/>
      <c r="BP2082" s="2620"/>
      <c r="BQ2082" s="2620"/>
      <c r="BR2082" s="2620"/>
      <c r="BS2082" s="2620"/>
    </row>
    <row r="2083" spans="1:71" ht="12.75" customHeight="1" x14ac:dyDescent="0.2">
      <c r="A2083" s="2029">
        <v>211</v>
      </c>
      <c r="B2083" s="4995"/>
      <c r="C2083" s="2112"/>
      <c r="H2083" s="413"/>
      <c r="M2083" s="1959"/>
      <c r="N2083" s="100"/>
      <c r="O2083" s="468" t="s">
        <v>10067</v>
      </c>
      <c r="P2083" s="2811">
        <v>0</v>
      </c>
      <c r="Q2083" s="575">
        <v>-10</v>
      </c>
      <c r="R2083" s="2818">
        <f>COUNTIF(PoderesDeCriatura_Adquiridos,Tablas!O2083)</f>
        <v>0</v>
      </c>
      <c r="S2083" s="422"/>
      <c r="T2083" s="2809"/>
      <c r="U2083" s="576"/>
      <c r="Y2083" s="2112"/>
      <c r="AB2083" s="413"/>
      <c r="AC2083" s="2795"/>
      <c r="AF2083" s="2620"/>
      <c r="AG2083" s="2620"/>
      <c r="AH2083" s="2620"/>
      <c r="AI2083" s="2620"/>
      <c r="AJ2083" s="2620"/>
      <c r="AK2083" s="2620"/>
      <c r="AL2083" s="2620"/>
      <c r="AM2083" s="2620"/>
      <c r="AN2083" s="2620"/>
      <c r="AO2083" s="2620"/>
      <c r="AP2083" s="2620"/>
      <c r="AQ2083" s="2620"/>
      <c r="AR2083" s="2620"/>
      <c r="AS2083" s="2620"/>
      <c r="AT2083" s="2620"/>
      <c r="AU2083" s="2620"/>
      <c r="AV2083" s="2620"/>
      <c r="AW2083" s="2620"/>
      <c r="AX2083" s="2620"/>
      <c r="AY2083" s="2620"/>
      <c r="AZ2083" s="2620"/>
      <c r="BA2083" s="2620"/>
      <c r="BB2083" s="2620"/>
      <c r="BC2083" s="2620"/>
      <c r="BD2083" s="2620"/>
      <c r="BE2083" s="2620"/>
      <c r="BF2083" s="2620"/>
      <c r="BG2083" s="2620"/>
      <c r="BH2083" s="2620"/>
      <c r="BI2083" s="2620"/>
      <c r="BJ2083" s="2620"/>
      <c r="BK2083" s="2620"/>
      <c r="BL2083" s="2620"/>
      <c r="BM2083" s="2620"/>
      <c r="BN2083" s="2620"/>
      <c r="BO2083" s="2620"/>
      <c r="BP2083" s="2620"/>
      <c r="BQ2083" s="2620"/>
      <c r="BR2083" s="2620"/>
      <c r="BS2083" s="2620"/>
    </row>
    <row r="2084" spans="1:71" ht="12.75" customHeight="1" x14ac:dyDescent="0.2">
      <c r="A2084" s="2029">
        <v>211</v>
      </c>
      <c r="B2084" s="4995"/>
      <c r="C2084" s="2112"/>
      <c r="H2084" s="413"/>
      <c r="M2084" s="1959"/>
      <c r="N2084" s="100"/>
      <c r="O2084" s="468" t="s">
        <v>10068</v>
      </c>
      <c r="P2084" s="2811">
        <v>0</v>
      </c>
      <c r="Q2084" s="575">
        <v>-10</v>
      </c>
      <c r="R2084" s="2818">
        <f>COUNTIF(PoderesDeCriatura_Adquiridos,Tablas!O2084)</f>
        <v>0</v>
      </c>
      <c r="S2084" s="422"/>
      <c r="T2084" s="2809"/>
      <c r="U2084" s="576"/>
      <c r="Y2084" s="2112"/>
      <c r="AB2084" s="413"/>
      <c r="AC2084" s="2795"/>
      <c r="AF2084" s="2620"/>
      <c r="AG2084" s="2620"/>
      <c r="AH2084" s="2620"/>
      <c r="AI2084" s="2620"/>
      <c r="AJ2084" s="2620"/>
      <c r="AK2084" s="2620"/>
      <c r="AL2084" s="2620"/>
      <c r="AM2084" s="2620"/>
      <c r="AN2084" s="2620"/>
      <c r="AO2084" s="2620"/>
      <c r="AP2084" s="2620"/>
      <c r="AQ2084" s="2620"/>
      <c r="AR2084" s="2620"/>
      <c r="AS2084" s="2620"/>
      <c r="AT2084" s="2620"/>
      <c r="AU2084" s="2620"/>
      <c r="AV2084" s="2620"/>
      <c r="AW2084" s="2620"/>
      <c r="AX2084" s="2620"/>
      <c r="AY2084" s="2620"/>
      <c r="AZ2084" s="2620"/>
      <c r="BA2084" s="2620"/>
      <c r="BB2084" s="2620"/>
      <c r="BC2084" s="2620"/>
      <c r="BD2084" s="2620"/>
      <c r="BE2084" s="2620"/>
      <c r="BF2084" s="2620"/>
      <c r="BG2084" s="2620"/>
      <c r="BH2084" s="2620"/>
      <c r="BI2084" s="2620"/>
      <c r="BJ2084" s="2620"/>
      <c r="BK2084" s="2620"/>
      <c r="BL2084" s="2620"/>
      <c r="BM2084" s="2620"/>
      <c r="BN2084" s="2620"/>
      <c r="BO2084" s="2620"/>
      <c r="BP2084" s="2620"/>
      <c r="BQ2084" s="2620"/>
      <c r="BR2084" s="2620"/>
      <c r="BS2084" s="2620"/>
    </row>
    <row r="2085" spans="1:71" ht="12.75" customHeight="1" x14ac:dyDescent="0.2">
      <c r="A2085" s="2029">
        <v>211</v>
      </c>
      <c r="B2085" s="4995"/>
      <c r="C2085" s="2112"/>
      <c r="H2085" s="413"/>
      <c r="M2085" s="1959"/>
      <c r="N2085" s="100"/>
      <c r="O2085" s="468" t="s">
        <v>10069</v>
      </c>
      <c r="P2085" s="2811">
        <v>0</v>
      </c>
      <c r="Q2085" s="575">
        <v>-10</v>
      </c>
      <c r="R2085" s="2818">
        <f>COUNTIF(PoderesDeCriatura_Adquiridos,Tablas!O2085)</f>
        <v>0</v>
      </c>
      <c r="S2085" s="422"/>
      <c r="T2085" s="2809"/>
      <c r="U2085" s="576"/>
      <c r="Y2085" s="2112"/>
      <c r="AB2085" s="413"/>
      <c r="AC2085" s="2795"/>
      <c r="AF2085" s="2620"/>
      <c r="AG2085" s="2620"/>
      <c r="AH2085" s="2620"/>
      <c r="AI2085" s="2620"/>
      <c r="AJ2085" s="2620"/>
      <c r="AK2085" s="2620"/>
      <c r="AL2085" s="2620"/>
      <c r="AM2085" s="2620"/>
      <c r="AN2085" s="2620"/>
      <c r="AO2085" s="2620"/>
      <c r="AP2085" s="2620"/>
      <c r="AQ2085" s="2620"/>
      <c r="AR2085" s="2620"/>
      <c r="AS2085" s="2620"/>
      <c r="AT2085" s="2620"/>
      <c r="AU2085" s="2620"/>
      <c r="AV2085" s="2620"/>
      <c r="AW2085" s="2620"/>
      <c r="AX2085" s="2620"/>
      <c r="AY2085" s="2620"/>
      <c r="AZ2085" s="2620"/>
      <c r="BA2085" s="2620"/>
      <c r="BB2085" s="2620"/>
      <c r="BC2085" s="2620"/>
      <c r="BD2085" s="2620"/>
      <c r="BE2085" s="2620"/>
      <c r="BF2085" s="2620"/>
      <c r="BG2085" s="2620"/>
      <c r="BH2085" s="2620"/>
      <c r="BI2085" s="2620"/>
      <c r="BJ2085" s="2620"/>
      <c r="BK2085" s="2620"/>
      <c r="BL2085" s="2620"/>
      <c r="BM2085" s="2620"/>
      <c r="BN2085" s="2620"/>
      <c r="BO2085" s="2620"/>
      <c r="BP2085" s="2620"/>
      <c r="BQ2085" s="2620"/>
      <c r="BR2085" s="2620"/>
      <c r="BS2085" s="2620"/>
    </row>
    <row r="2086" spans="1:71" ht="12.75" customHeight="1" x14ac:dyDescent="0.2">
      <c r="A2086" s="2029">
        <v>211</v>
      </c>
      <c r="B2086" s="4995"/>
      <c r="C2086" s="2112"/>
      <c r="H2086" s="413"/>
      <c r="M2086" s="1959"/>
      <c r="N2086" s="100"/>
      <c r="O2086" s="468" t="s">
        <v>10070</v>
      </c>
      <c r="P2086" s="2811">
        <v>0</v>
      </c>
      <c r="Q2086" s="575">
        <v>-10</v>
      </c>
      <c r="R2086" s="2818">
        <f>COUNTIF(PoderesDeCriatura_Adquiridos,Tablas!O2086)</f>
        <v>0</v>
      </c>
      <c r="S2086" s="422"/>
      <c r="T2086" s="2809"/>
      <c r="U2086" s="576"/>
      <c r="Y2086" s="2112"/>
      <c r="AB2086" s="413"/>
      <c r="AC2086" s="2795"/>
      <c r="AF2086" s="2620"/>
      <c r="AG2086" s="2620"/>
      <c r="AH2086" s="2620"/>
      <c r="AI2086" s="2620"/>
      <c r="AJ2086" s="2620"/>
      <c r="AK2086" s="2620"/>
      <c r="AL2086" s="2620"/>
      <c r="AM2086" s="2620"/>
      <c r="AN2086" s="2620"/>
      <c r="AO2086" s="2620"/>
      <c r="AP2086" s="2620"/>
      <c r="AQ2086" s="2620"/>
      <c r="AR2086" s="2620"/>
      <c r="AS2086" s="2620"/>
      <c r="AT2086" s="2620"/>
      <c r="AU2086" s="2620"/>
      <c r="AV2086" s="2620"/>
      <c r="AW2086" s="2620"/>
      <c r="AX2086" s="2620"/>
      <c r="AY2086" s="2620"/>
      <c r="AZ2086" s="2620"/>
      <c r="BA2086" s="2620"/>
      <c r="BB2086" s="2620"/>
      <c r="BC2086" s="2620"/>
      <c r="BD2086" s="2620"/>
      <c r="BE2086" s="2620"/>
      <c r="BF2086" s="2620"/>
      <c r="BG2086" s="2620"/>
      <c r="BH2086" s="2620"/>
      <c r="BI2086" s="2620"/>
      <c r="BJ2086" s="2620"/>
      <c r="BK2086" s="2620"/>
      <c r="BL2086" s="2620"/>
      <c r="BM2086" s="2620"/>
      <c r="BN2086" s="2620"/>
      <c r="BO2086" s="2620"/>
      <c r="BP2086" s="2620"/>
      <c r="BQ2086" s="2620"/>
      <c r="BR2086" s="2620"/>
      <c r="BS2086" s="2620"/>
    </row>
    <row r="2087" spans="1:71" ht="12.75" customHeight="1" x14ac:dyDescent="0.2">
      <c r="A2087" s="2029">
        <v>211</v>
      </c>
      <c r="B2087" s="4995"/>
      <c r="C2087" s="2112"/>
      <c r="H2087" s="413"/>
      <c r="M2087" s="1959"/>
      <c r="N2087" s="100"/>
      <c r="O2087" s="468" t="s">
        <v>10071</v>
      </c>
      <c r="P2087" s="2811">
        <v>0</v>
      </c>
      <c r="Q2087" s="575">
        <v>-10</v>
      </c>
      <c r="R2087" s="2818">
        <f>COUNTIF(PoderesDeCriatura_Adquiridos,Tablas!O2087)</f>
        <v>0</v>
      </c>
      <c r="S2087" s="422"/>
      <c r="T2087" s="2809"/>
      <c r="U2087" s="576"/>
      <c r="Y2087" s="2112"/>
      <c r="AB2087" s="413"/>
      <c r="AC2087" s="2795"/>
      <c r="AF2087" s="2620"/>
      <c r="AG2087" s="2620"/>
      <c r="AH2087" s="2620"/>
      <c r="AI2087" s="2620"/>
      <c r="AJ2087" s="2620"/>
      <c r="AK2087" s="2620"/>
      <c r="AL2087" s="2620"/>
      <c r="AM2087" s="2620"/>
      <c r="AN2087" s="2620"/>
      <c r="AO2087" s="2620"/>
      <c r="AP2087" s="2620"/>
      <c r="AQ2087" s="2620"/>
      <c r="AR2087" s="2620"/>
      <c r="AS2087" s="2620"/>
      <c r="AT2087" s="2620"/>
      <c r="AU2087" s="2620"/>
      <c r="AV2087" s="2620"/>
      <c r="AW2087" s="2620"/>
      <c r="AX2087" s="2620"/>
      <c r="AY2087" s="2620"/>
      <c r="AZ2087" s="2620"/>
      <c r="BA2087" s="2620"/>
      <c r="BB2087" s="2620"/>
      <c r="BC2087" s="2620"/>
      <c r="BD2087" s="2620"/>
      <c r="BE2087" s="2620"/>
      <c r="BF2087" s="2620"/>
      <c r="BG2087" s="2620"/>
      <c r="BH2087" s="2620"/>
      <c r="BI2087" s="2620"/>
      <c r="BJ2087" s="2620"/>
      <c r="BK2087" s="2620"/>
      <c r="BL2087" s="2620"/>
      <c r="BM2087" s="2620"/>
      <c r="BN2087" s="2620"/>
      <c r="BO2087" s="2620"/>
      <c r="BP2087" s="2620"/>
      <c r="BQ2087" s="2620"/>
      <c r="BR2087" s="2620"/>
      <c r="BS2087" s="2620"/>
    </row>
    <row r="2088" spans="1:71" ht="12.75" customHeight="1" x14ac:dyDescent="0.2">
      <c r="A2088" s="2029">
        <v>211</v>
      </c>
      <c r="B2088" s="4995"/>
      <c r="C2088" s="2112"/>
      <c r="H2088" s="413"/>
      <c r="M2088" s="1959"/>
      <c r="N2088" s="100"/>
      <c r="O2088" s="468" t="s">
        <v>10072</v>
      </c>
      <c r="P2088" s="2811">
        <v>5</v>
      </c>
      <c r="Q2088" s="575">
        <v>10</v>
      </c>
      <c r="R2088" s="2818">
        <f>COUNTIF(PoderesDeCriatura_Adquiridos,Tablas!O2088)</f>
        <v>0</v>
      </c>
      <c r="S2088" s="422"/>
      <c r="T2088" s="2809"/>
      <c r="U2088" s="576"/>
      <c r="Y2088" s="2112"/>
      <c r="AB2088" s="413"/>
      <c r="AC2088" s="2795"/>
      <c r="AF2088" s="2620"/>
      <c r="AG2088" s="2620"/>
      <c r="AH2088" s="2620"/>
      <c r="AI2088" s="2620"/>
      <c r="AJ2088" s="2620"/>
      <c r="AK2088" s="2620"/>
      <c r="AL2088" s="2620"/>
      <c r="AM2088" s="2620"/>
      <c r="AN2088" s="2620"/>
      <c r="AO2088" s="2620"/>
      <c r="AP2088" s="2620"/>
      <c r="AQ2088" s="2620"/>
      <c r="AR2088" s="2620"/>
      <c r="AS2088" s="2620"/>
      <c r="AT2088" s="2620"/>
      <c r="AU2088" s="2620"/>
      <c r="AV2088" s="2620"/>
      <c r="AW2088" s="2620"/>
      <c r="AX2088" s="2620"/>
      <c r="AY2088" s="2620"/>
      <c r="AZ2088" s="2620"/>
      <c r="BA2088" s="2620"/>
      <c r="BB2088" s="2620"/>
      <c r="BC2088" s="2620"/>
      <c r="BD2088" s="2620"/>
      <c r="BE2088" s="2620"/>
      <c r="BF2088" s="2620"/>
      <c r="BG2088" s="2620"/>
      <c r="BH2088" s="2620"/>
      <c r="BI2088" s="2620"/>
      <c r="BJ2088" s="2620"/>
      <c r="BK2088" s="2620"/>
      <c r="BL2088" s="2620"/>
      <c r="BM2088" s="2620"/>
      <c r="BN2088" s="2620"/>
      <c r="BO2088" s="2620"/>
      <c r="BP2088" s="2620"/>
      <c r="BQ2088" s="2620"/>
      <c r="BR2088" s="2620"/>
      <c r="BS2088" s="2620"/>
    </row>
    <row r="2089" spans="1:71" ht="12.75" customHeight="1" x14ac:dyDescent="0.2">
      <c r="A2089" s="2029">
        <v>211</v>
      </c>
      <c r="B2089" s="4995"/>
      <c r="C2089" s="2112"/>
      <c r="H2089" s="413"/>
      <c r="M2089" s="1959"/>
      <c r="N2089" s="100"/>
      <c r="O2089" s="468" t="s">
        <v>10073</v>
      </c>
      <c r="P2089" s="2811">
        <v>10</v>
      </c>
      <c r="Q2089" s="575">
        <v>20</v>
      </c>
      <c r="R2089" s="2818">
        <f>COUNTIF(PoderesDeCriatura_Adquiridos,Tablas!O2089)</f>
        <v>0</v>
      </c>
      <c r="S2089" s="422"/>
      <c r="T2089" s="2809"/>
      <c r="U2089" s="576"/>
      <c r="Y2089" s="2112"/>
      <c r="AB2089" s="413"/>
      <c r="AC2089" s="2795"/>
      <c r="AF2089" s="2620"/>
      <c r="AG2089" s="2620"/>
      <c r="AH2089" s="2620"/>
      <c r="AI2089" s="2620"/>
      <c r="AJ2089" s="2620"/>
      <c r="AK2089" s="2620"/>
      <c r="AL2089" s="2620"/>
      <c r="AM2089" s="2620"/>
      <c r="AN2089" s="2620"/>
      <c r="AO2089" s="2620"/>
      <c r="AP2089" s="2620"/>
      <c r="AQ2089" s="2620"/>
      <c r="AR2089" s="2620"/>
      <c r="AS2089" s="2620"/>
      <c r="AT2089" s="2620"/>
      <c r="AU2089" s="2620"/>
      <c r="AV2089" s="2620"/>
      <c r="AW2089" s="2620"/>
      <c r="AX2089" s="2620"/>
      <c r="AY2089" s="2620"/>
      <c r="AZ2089" s="2620"/>
      <c r="BA2089" s="2620"/>
      <c r="BB2089" s="2620"/>
      <c r="BC2089" s="2620"/>
      <c r="BD2089" s="2620"/>
      <c r="BE2089" s="2620"/>
      <c r="BF2089" s="2620"/>
      <c r="BG2089" s="2620"/>
      <c r="BH2089" s="2620"/>
      <c r="BI2089" s="2620"/>
      <c r="BJ2089" s="2620"/>
      <c r="BK2089" s="2620"/>
      <c r="BL2089" s="2620"/>
      <c r="BM2089" s="2620"/>
      <c r="BN2089" s="2620"/>
      <c r="BO2089" s="2620"/>
      <c r="BP2089" s="2620"/>
      <c r="BQ2089" s="2620"/>
      <c r="BR2089" s="2620"/>
      <c r="BS2089" s="2620"/>
    </row>
    <row r="2090" spans="1:71" ht="12.75" customHeight="1" x14ac:dyDescent="0.2">
      <c r="A2090" s="2029">
        <v>211</v>
      </c>
      <c r="B2090" s="4995"/>
      <c r="C2090" s="2112"/>
      <c r="H2090" s="413"/>
      <c r="M2090" s="1959"/>
      <c r="N2090" s="100"/>
      <c r="O2090" s="468" t="s">
        <v>10074</v>
      </c>
      <c r="P2090" s="2811">
        <v>15</v>
      </c>
      <c r="Q2090" s="575">
        <v>30</v>
      </c>
      <c r="R2090" s="2818">
        <f>COUNTIF(PoderesDeCriatura_Adquiridos,Tablas!O2090)</f>
        <v>0</v>
      </c>
      <c r="S2090" s="422"/>
      <c r="T2090" s="2809"/>
      <c r="U2090" s="576"/>
      <c r="Y2090" s="2112"/>
      <c r="AB2090" s="413"/>
      <c r="AC2090" s="2795"/>
      <c r="AF2090" s="2620"/>
      <c r="AG2090" s="2620"/>
      <c r="AH2090" s="2620"/>
      <c r="AI2090" s="2620"/>
      <c r="AJ2090" s="2620"/>
      <c r="AK2090" s="2620"/>
      <c r="AL2090" s="2620"/>
      <c r="AM2090" s="2620"/>
      <c r="AN2090" s="2620"/>
      <c r="AO2090" s="2620"/>
      <c r="AP2090" s="2620"/>
      <c r="AQ2090" s="2620"/>
      <c r="AR2090" s="2620"/>
      <c r="AS2090" s="2620"/>
      <c r="AT2090" s="2620"/>
      <c r="AU2090" s="2620"/>
      <c r="AV2090" s="2620"/>
      <c r="AW2090" s="2620"/>
      <c r="AX2090" s="2620"/>
      <c r="AY2090" s="2620"/>
      <c r="AZ2090" s="2620"/>
      <c r="BA2090" s="2620"/>
      <c r="BB2090" s="2620"/>
      <c r="BC2090" s="2620"/>
      <c r="BD2090" s="2620"/>
      <c r="BE2090" s="2620"/>
      <c r="BF2090" s="2620"/>
      <c r="BG2090" s="2620"/>
      <c r="BH2090" s="2620"/>
      <c r="BI2090" s="2620"/>
      <c r="BJ2090" s="2620"/>
      <c r="BK2090" s="2620"/>
      <c r="BL2090" s="2620"/>
      <c r="BM2090" s="2620"/>
      <c r="BN2090" s="2620"/>
      <c r="BO2090" s="2620"/>
      <c r="BP2090" s="2620"/>
      <c r="BQ2090" s="2620"/>
      <c r="BR2090" s="2620"/>
      <c r="BS2090" s="2620"/>
    </row>
    <row r="2091" spans="1:71" ht="12.75" customHeight="1" x14ac:dyDescent="0.2">
      <c r="A2091" s="2029">
        <v>211</v>
      </c>
      <c r="B2091" s="4995"/>
      <c r="C2091" s="2112"/>
      <c r="H2091" s="413"/>
      <c r="M2091" s="1959"/>
      <c r="N2091" s="100"/>
      <c r="O2091" s="468" t="s">
        <v>10075</v>
      </c>
      <c r="P2091" s="2811">
        <v>20</v>
      </c>
      <c r="Q2091" s="575">
        <v>40</v>
      </c>
      <c r="R2091" s="2818">
        <f>COUNTIF(PoderesDeCriatura_Adquiridos,Tablas!O2091)</f>
        <v>0</v>
      </c>
      <c r="S2091" s="422"/>
      <c r="T2091" s="2809"/>
      <c r="U2091" s="576"/>
      <c r="Y2091" s="2112"/>
      <c r="AB2091" s="413"/>
      <c r="AC2091" s="2795"/>
      <c r="AF2091" s="2620"/>
      <c r="AG2091" s="2620"/>
      <c r="AH2091" s="2620"/>
      <c r="AI2091" s="2620"/>
      <c r="AJ2091" s="2620"/>
      <c r="AK2091" s="2620"/>
      <c r="AL2091" s="2620"/>
      <c r="AM2091" s="2620"/>
      <c r="AN2091" s="2620"/>
      <c r="AO2091" s="2620"/>
      <c r="AP2091" s="2620"/>
      <c r="AQ2091" s="2620"/>
      <c r="AR2091" s="2620"/>
      <c r="AS2091" s="2620"/>
      <c r="AT2091" s="2620"/>
      <c r="AU2091" s="2620"/>
      <c r="AV2091" s="2620"/>
      <c r="AW2091" s="2620"/>
      <c r="AX2091" s="2620"/>
      <c r="AY2091" s="2620"/>
      <c r="AZ2091" s="2620"/>
      <c r="BA2091" s="2620"/>
      <c r="BB2091" s="2620"/>
      <c r="BC2091" s="2620"/>
      <c r="BD2091" s="2620"/>
      <c r="BE2091" s="2620"/>
      <c r="BF2091" s="2620"/>
      <c r="BG2091" s="2620"/>
      <c r="BH2091" s="2620"/>
      <c r="BI2091" s="2620"/>
      <c r="BJ2091" s="2620"/>
      <c r="BK2091" s="2620"/>
      <c r="BL2091" s="2620"/>
      <c r="BM2091" s="2620"/>
      <c r="BN2091" s="2620"/>
      <c r="BO2091" s="2620"/>
      <c r="BP2091" s="2620"/>
      <c r="BQ2091" s="2620"/>
      <c r="BR2091" s="2620"/>
      <c r="BS2091" s="2620"/>
    </row>
    <row r="2092" spans="1:71" ht="12.75" customHeight="1" x14ac:dyDescent="0.2">
      <c r="A2092" s="2029">
        <v>211</v>
      </c>
      <c r="B2092" s="4995"/>
      <c r="C2092" s="2112"/>
      <c r="H2092" s="413"/>
      <c r="M2092" s="1959"/>
      <c r="N2092" s="100"/>
      <c r="O2092" s="468" t="s">
        <v>10076</v>
      </c>
      <c r="P2092" s="2811">
        <v>25</v>
      </c>
      <c r="Q2092" s="575">
        <v>50</v>
      </c>
      <c r="R2092" s="2818">
        <f>COUNTIF(PoderesDeCriatura_Adquiridos,Tablas!O2092)</f>
        <v>0</v>
      </c>
      <c r="S2092" s="422"/>
      <c r="T2092" s="2809"/>
      <c r="U2092" s="576"/>
      <c r="Y2092" s="2112"/>
      <c r="AB2092" s="413"/>
      <c r="AC2092" s="2795"/>
      <c r="AF2092" s="2620"/>
      <c r="AG2092" s="2620"/>
      <c r="AH2092" s="2620"/>
      <c r="AI2092" s="2620"/>
      <c r="AJ2092" s="2620"/>
      <c r="AK2092" s="2620"/>
      <c r="AL2092" s="2620"/>
      <c r="AM2092" s="2620"/>
      <c r="AN2092" s="2620"/>
      <c r="AO2092" s="2620"/>
      <c r="AP2092" s="2620"/>
      <c r="AQ2092" s="2620"/>
      <c r="AR2092" s="2620"/>
      <c r="AS2092" s="2620"/>
      <c r="AT2092" s="2620"/>
      <c r="AU2092" s="2620"/>
      <c r="AV2092" s="2620"/>
      <c r="AW2092" s="2620"/>
      <c r="AX2092" s="2620"/>
      <c r="AY2092" s="2620"/>
      <c r="AZ2092" s="2620"/>
      <c r="BA2092" s="2620"/>
      <c r="BB2092" s="2620"/>
      <c r="BC2092" s="2620"/>
      <c r="BD2092" s="2620"/>
      <c r="BE2092" s="2620"/>
      <c r="BF2092" s="2620"/>
      <c r="BG2092" s="2620"/>
      <c r="BH2092" s="2620"/>
      <c r="BI2092" s="2620"/>
      <c r="BJ2092" s="2620"/>
      <c r="BK2092" s="2620"/>
      <c r="BL2092" s="2620"/>
      <c r="BM2092" s="2620"/>
      <c r="BN2092" s="2620"/>
      <c r="BO2092" s="2620"/>
      <c r="BP2092" s="2620"/>
      <c r="BQ2092" s="2620"/>
      <c r="BR2092" s="2620"/>
      <c r="BS2092" s="2620"/>
    </row>
    <row r="2093" spans="1:71" ht="12.75" customHeight="1" x14ac:dyDescent="0.2">
      <c r="A2093" s="2029">
        <v>211</v>
      </c>
      <c r="B2093" s="4995"/>
      <c r="C2093" s="2112"/>
      <c r="H2093" s="413"/>
      <c r="M2093" s="1959"/>
      <c r="N2093" s="100"/>
      <c r="O2093" s="468" t="s">
        <v>10077</v>
      </c>
      <c r="P2093" s="2811">
        <v>30</v>
      </c>
      <c r="Q2093" s="575">
        <v>60</v>
      </c>
      <c r="R2093" s="2818">
        <f>COUNTIF(PoderesDeCriatura_Adquiridos,Tablas!O2093)</f>
        <v>0</v>
      </c>
      <c r="S2093" s="422"/>
      <c r="T2093" s="2809"/>
      <c r="U2093" s="576"/>
      <c r="Y2093" s="2112"/>
      <c r="AB2093" s="413"/>
      <c r="AC2093" s="2795"/>
      <c r="AF2093" s="2620"/>
      <c r="AG2093" s="2620"/>
      <c r="AH2093" s="2620"/>
      <c r="AI2093" s="2620"/>
      <c r="AJ2093" s="2620"/>
      <c r="AK2093" s="2620"/>
      <c r="AL2093" s="2620"/>
      <c r="AM2093" s="2620"/>
      <c r="AN2093" s="2620"/>
      <c r="AO2093" s="2620"/>
      <c r="AP2093" s="2620"/>
      <c r="AQ2093" s="2620"/>
      <c r="AR2093" s="2620"/>
      <c r="AS2093" s="2620"/>
      <c r="AT2093" s="2620"/>
      <c r="AU2093" s="2620"/>
      <c r="AV2093" s="2620"/>
      <c r="AW2093" s="2620"/>
      <c r="AX2093" s="2620"/>
      <c r="AY2093" s="2620"/>
      <c r="AZ2093" s="2620"/>
      <c r="BA2093" s="2620"/>
      <c r="BB2093" s="2620"/>
      <c r="BC2093" s="2620"/>
      <c r="BD2093" s="2620"/>
      <c r="BE2093" s="2620"/>
      <c r="BF2093" s="2620"/>
      <c r="BG2093" s="2620"/>
      <c r="BH2093" s="2620"/>
      <c r="BI2093" s="2620"/>
      <c r="BJ2093" s="2620"/>
      <c r="BK2093" s="2620"/>
      <c r="BL2093" s="2620"/>
      <c r="BM2093" s="2620"/>
      <c r="BN2093" s="2620"/>
      <c r="BO2093" s="2620"/>
      <c r="BP2093" s="2620"/>
      <c r="BQ2093" s="2620"/>
      <c r="BR2093" s="2620"/>
      <c r="BS2093" s="2620"/>
    </row>
    <row r="2094" spans="1:71" ht="12.75" customHeight="1" x14ac:dyDescent="0.2">
      <c r="A2094" s="2029">
        <v>211</v>
      </c>
      <c r="B2094" s="4995"/>
      <c r="C2094" s="2112"/>
      <c r="H2094" s="413"/>
      <c r="M2094" s="1959"/>
      <c r="N2094" s="100"/>
      <c r="O2094" s="468" t="s">
        <v>10078</v>
      </c>
      <c r="P2094" s="2811">
        <v>35</v>
      </c>
      <c r="Q2094" s="575">
        <v>70</v>
      </c>
      <c r="R2094" s="2818">
        <f>COUNTIF(PoderesDeCriatura_Adquiridos,Tablas!O2094)</f>
        <v>0</v>
      </c>
      <c r="S2094" s="422"/>
      <c r="T2094" s="2809"/>
      <c r="U2094" s="576"/>
      <c r="Y2094" s="2112"/>
      <c r="AB2094" s="413"/>
      <c r="AC2094" s="2795"/>
      <c r="AF2094" s="2620"/>
      <c r="AG2094" s="2620"/>
      <c r="AH2094" s="2620"/>
      <c r="AI2094" s="2620"/>
      <c r="AJ2094" s="2620"/>
      <c r="AK2094" s="2620"/>
      <c r="AL2094" s="2620"/>
      <c r="AM2094" s="2620"/>
      <c r="AN2094" s="2620"/>
      <c r="AO2094" s="2620"/>
      <c r="AP2094" s="2620"/>
      <c r="AQ2094" s="2620"/>
      <c r="AR2094" s="2620"/>
      <c r="AS2094" s="2620"/>
      <c r="AT2094" s="2620"/>
      <c r="AU2094" s="2620"/>
      <c r="AV2094" s="2620"/>
      <c r="AW2094" s="2620"/>
      <c r="AX2094" s="2620"/>
      <c r="AY2094" s="2620"/>
      <c r="AZ2094" s="2620"/>
      <c r="BA2094" s="2620"/>
      <c r="BB2094" s="2620"/>
      <c r="BC2094" s="2620"/>
      <c r="BD2094" s="2620"/>
      <c r="BE2094" s="2620"/>
      <c r="BF2094" s="2620"/>
      <c r="BG2094" s="2620"/>
      <c r="BH2094" s="2620"/>
      <c r="BI2094" s="2620"/>
      <c r="BJ2094" s="2620"/>
      <c r="BK2094" s="2620"/>
      <c r="BL2094" s="2620"/>
      <c r="BM2094" s="2620"/>
      <c r="BN2094" s="2620"/>
      <c r="BO2094" s="2620"/>
      <c r="BP2094" s="2620"/>
      <c r="BQ2094" s="2620"/>
      <c r="BR2094" s="2620"/>
      <c r="BS2094" s="2620"/>
    </row>
    <row r="2095" spans="1:71" ht="12.75" customHeight="1" x14ac:dyDescent="0.2">
      <c r="A2095" s="2029">
        <v>211</v>
      </c>
      <c r="B2095" s="4995"/>
      <c r="C2095" s="2112"/>
      <c r="H2095" s="413"/>
      <c r="M2095" s="1959"/>
      <c r="N2095" s="100"/>
      <c r="O2095" s="468" t="s">
        <v>10079</v>
      </c>
      <c r="P2095" s="2811">
        <v>40</v>
      </c>
      <c r="Q2095" s="575">
        <v>80</v>
      </c>
      <c r="R2095" s="2818">
        <f>COUNTIF(PoderesDeCriatura_Adquiridos,Tablas!O2095)</f>
        <v>0</v>
      </c>
      <c r="S2095" s="422"/>
      <c r="T2095" s="2809"/>
      <c r="U2095" s="576"/>
      <c r="Y2095" s="2112"/>
      <c r="AB2095" s="413"/>
      <c r="AC2095" s="2795"/>
      <c r="AF2095" s="2620"/>
      <c r="AG2095" s="2620"/>
      <c r="AH2095" s="2620"/>
      <c r="AI2095" s="2620"/>
      <c r="AJ2095" s="2620"/>
      <c r="AK2095" s="2620"/>
      <c r="AL2095" s="2620"/>
      <c r="AM2095" s="2620"/>
      <c r="AN2095" s="2620"/>
      <c r="AO2095" s="2620"/>
      <c r="AP2095" s="2620"/>
      <c r="AQ2095" s="2620"/>
      <c r="AR2095" s="2620"/>
      <c r="AS2095" s="2620"/>
      <c r="AT2095" s="2620"/>
      <c r="AU2095" s="2620"/>
      <c r="AV2095" s="2620"/>
      <c r="AW2095" s="2620"/>
      <c r="AX2095" s="2620"/>
      <c r="AY2095" s="2620"/>
      <c r="AZ2095" s="2620"/>
      <c r="BA2095" s="2620"/>
      <c r="BB2095" s="2620"/>
      <c r="BC2095" s="2620"/>
      <c r="BD2095" s="2620"/>
      <c r="BE2095" s="2620"/>
      <c r="BF2095" s="2620"/>
      <c r="BG2095" s="2620"/>
      <c r="BH2095" s="2620"/>
      <c r="BI2095" s="2620"/>
      <c r="BJ2095" s="2620"/>
      <c r="BK2095" s="2620"/>
      <c r="BL2095" s="2620"/>
      <c r="BM2095" s="2620"/>
      <c r="BN2095" s="2620"/>
      <c r="BO2095" s="2620"/>
      <c r="BP2095" s="2620"/>
      <c r="BQ2095" s="2620"/>
      <c r="BR2095" s="2620"/>
      <c r="BS2095" s="2620"/>
    </row>
    <row r="2096" spans="1:71" ht="12.75" customHeight="1" x14ac:dyDescent="0.2">
      <c r="A2096" s="2029">
        <v>211</v>
      </c>
      <c r="B2096" s="4995"/>
      <c r="C2096" s="2112"/>
      <c r="H2096" s="413"/>
      <c r="M2096" s="1959"/>
      <c r="N2096" s="100"/>
      <c r="O2096" s="468" t="s">
        <v>1627</v>
      </c>
      <c r="P2096" s="2811"/>
      <c r="Q2096" s="575"/>
      <c r="R2096" s="2818"/>
      <c r="S2096" s="422"/>
      <c r="T2096" s="2809"/>
      <c r="U2096" s="576"/>
      <c r="Y2096" s="2112"/>
      <c r="AB2096" s="413"/>
      <c r="AC2096" s="2795"/>
      <c r="AF2096" s="2620"/>
      <c r="AG2096" s="2620"/>
      <c r="AH2096" s="2620"/>
      <c r="AI2096" s="2620"/>
      <c r="AJ2096" s="2620"/>
      <c r="AK2096" s="2620"/>
      <c r="AL2096" s="2620"/>
      <c r="AM2096" s="2620"/>
      <c r="AN2096" s="2620"/>
      <c r="AO2096" s="2620"/>
      <c r="AP2096" s="2620"/>
      <c r="AQ2096" s="2620"/>
      <c r="AR2096" s="2620"/>
      <c r="AS2096" s="2620"/>
      <c r="AT2096" s="2620"/>
      <c r="AU2096" s="2620"/>
      <c r="AV2096" s="2620"/>
      <c r="AW2096" s="2620"/>
      <c r="AX2096" s="2620"/>
      <c r="AY2096" s="2620"/>
      <c r="AZ2096" s="2620"/>
      <c r="BA2096" s="2620"/>
      <c r="BB2096" s="2620"/>
      <c r="BC2096" s="2620"/>
      <c r="BD2096" s="2620"/>
      <c r="BE2096" s="2620"/>
      <c r="BF2096" s="2620"/>
      <c r="BG2096" s="2620"/>
      <c r="BH2096" s="2620"/>
      <c r="BI2096" s="2620"/>
      <c r="BJ2096" s="2620"/>
      <c r="BK2096" s="2620"/>
      <c r="BL2096" s="2620"/>
      <c r="BM2096" s="2620"/>
      <c r="BN2096" s="2620"/>
      <c r="BO2096" s="2620"/>
      <c r="BP2096" s="2620"/>
      <c r="BQ2096" s="2620"/>
      <c r="BR2096" s="2620"/>
      <c r="BS2096" s="2620"/>
    </row>
    <row r="2097" spans="1:71" ht="12.75" customHeight="1" x14ac:dyDescent="0.2">
      <c r="A2097" s="2029">
        <v>211</v>
      </c>
      <c r="B2097" s="4995"/>
      <c r="C2097" s="2112"/>
      <c r="H2097" s="413"/>
      <c r="M2097" s="1959"/>
      <c r="N2097" s="100"/>
      <c r="O2097" s="468" t="s">
        <v>10080</v>
      </c>
      <c r="P2097" s="2811">
        <v>30</v>
      </c>
      <c r="Q2097" s="575">
        <v>30</v>
      </c>
      <c r="R2097" s="2818">
        <f>COUNTIF(PoderesDeCriatura_Adquiridos,Tablas!O2097)</f>
        <v>0</v>
      </c>
      <c r="S2097" s="422"/>
      <c r="T2097" s="2809"/>
      <c r="U2097" s="576"/>
      <c r="Y2097" s="2112"/>
      <c r="AB2097" s="413"/>
      <c r="AC2097" s="2795"/>
      <c r="AF2097" s="2620"/>
      <c r="AG2097" s="2620"/>
      <c r="AH2097" s="2620"/>
      <c r="AI2097" s="2620"/>
      <c r="AJ2097" s="2620"/>
      <c r="AK2097" s="2620"/>
      <c r="AL2097" s="2620"/>
      <c r="AM2097" s="2620"/>
      <c r="AN2097" s="2620"/>
      <c r="AO2097" s="2620"/>
      <c r="AP2097" s="2620"/>
      <c r="AQ2097" s="2620"/>
      <c r="AR2097" s="2620"/>
      <c r="AS2097" s="2620"/>
      <c r="AT2097" s="2620"/>
      <c r="AU2097" s="2620"/>
      <c r="AV2097" s="2620"/>
      <c r="AW2097" s="2620"/>
      <c r="AX2097" s="2620"/>
      <c r="AY2097" s="2620"/>
      <c r="AZ2097" s="2620"/>
      <c r="BA2097" s="2620"/>
      <c r="BB2097" s="2620"/>
      <c r="BC2097" s="2620"/>
      <c r="BD2097" s="2620"/>
      <c r="BE2097" s="2620"/>
      <c r="BF2097" s="2620"/>
      <c r="BG2097" s="2620"/>
      <c r="BH2097" s="2620"/>
      <c r="BI2097" s="2620"/>
      <c r="BJ2097" s="2620"/>
      <c r="BK2097" s="2620"/>
      <c r="BL2097" s="2620"/>
      <c r="BM2097" s="2620"/>
      <c r="BN2097" s="2620"/>
      <c r="BO2097" s="2620"/>
      <c r="BP2097" s="2620"/>
      <c r="BQ2097" s="2620"/>
      <c r="BR2097" s="2620"/>
      <c r="BS2097" s="2620"/>
    </row>
    <row r="2098" spans="1:71" ht="12.75" customHeight="1" x14ac:dyDescent="0.2">
      <c r="A2098" s="2029">
        <v>211</v>
      </c>
      <c r="B2098" s="4995"/>
      <c r="C2098" s="2112"/>
      <c r="H2098" s="413"/>
      <c r="M2098" s="1959"/>
      <c r="N2098" s="100"/>
      <c r="O2098" s="468" t="s">
        <v>10081</v>
      </c>
      <c r="P2098" s="2811">
        <v>20</v>
      </c>
      <c r="Q2098" s="575">
        <v>20</v>
      </c>
      <c r="R2098" s="2818">
        <f>COUNTIF(PoderesDeCriatura_Adquiridos,Tablas!O2098)</f>
        <v>0</v>
      </c>
      <c r="S2098" s="422"/>
      <c r="T2098" s="2809"/>
      <c r="U2098" s="576"/>
      <c r="Y2098" s="2112"/>
      <c r="AB2098" s="413"/>
      <c r="AC2098" s="2795"/>
      <c r="AF2098" s="2620"/>
      <c r="AG2098" s="2620"/>
      <c r="AH2098" s="2620"/>
      <c r="AI2098" s="2620"/>
      <c r="AJ2098" s="2620"/>
      <c r="AK2098" s="2620"/>
      <c r="AL2098" s="2620"/>
      <c r="AM2098" s="2620"/>
      <c r="AN2098" s="2620"/>
      <c r="AO2098" s="2620"/>
      <c r="AP2098" s="2620"/>
      <c r="AQ2098" s="2620"/>
      <c r="AR2098" s="2620"/>
      <c r="AS2098" s="2620"/>
      <c r="AT2098" s="2620"/>
      <c r="AU2098" s="2620"/>
      <c r="AV2098" s="2620"/>
      <c r="AW2098" s="2620"/>
      <c r="AX2098" s="2620"/>
      <c r="AY2098" s="2620"/>
      <c r="AZ2098" s="2620"/>
      <c r="BA2098" s="2620"/>
      <c r="BB2098" s="2620"/>
      <c r="BC2098" s="2620"/>
      <c r="BD2098" s="2620"/>
      <c r="BE2098" s="2620"/>
      <c r="BF2098" s="2620"/>
      <c r="BG2098" s="2620"/>
      <c r="BH2098" s="2620"/>
      <c r="BI2098" s="2620"/>
      <c r="BJ2098" s="2620"/>
      <c r="BK2098" s="2620"/>
      <c r="BL2098" s="2620"/>
      <c r="BM2098" s="2620"/>
      <c r="BN2098" s="2620"/>
      <c r="BO2098" s="2620"/>
      <c r="BP2098" s="2620"/>
      <c r="BQ2098" s="2620"/>
      <c r="BR2098" s="2620"/>
      <c r="BS2098" s="2620"/>
    </row>
    <row r="2099" spans="1:71" ht="12.75" customHeight="1" x14ac:dyDescent="0.2">
      <c r="A2099" s="2029">
        <v>211</v>
      </c>
      <c r="B2099" s="4995"/>
      <c r="C2099" s="2112"/>
      <c r="H2099" s="413"/>
      <c r="M2099" s="1959"/>
      <c r="N2099" s="100"/>
      <c r="O2099" s="468" t="s">
        <v>10082</v>
      </c>
      <c r="P2099" s="2811">
        <v>30</v>
      </c>
      <c r="Q2099" s="575">
        <v>60</v>
      </c>
      <c r="R2099" s="2818">
        <f>COUNTIF(PoderesDeCriatura_Adquiridos,Tablas!O2099)</f>
        <v>0</v>
      </c>
      <c r="S2099" s="422"/>
      <c r="T2099" s="2809"/>
      <c r="U2099" s="576"/>
      <c r="Y2099" s="2112"/>
      <c r="AB2099" s="413"/>
      <c r="AC2099" s="2795"/>
      <c r="AF2099" s="2620"/>
      <c r="AG2099" s="2620"/>
      <c r="AH2099" s="2620"/>
      <c r="AI2099" s="2620"/>
      <c r="AJ2099" s="2620"/>
      <c r="AK2099" s="2620"/>
      <c r="AL2099" s="2620"/>
      <c r="AM2099" s="2620"/>
      <c r="AN2099" s="2620"/>
      <c r="AO2099" s="2620"/>
      <c r="AP2099" s="2620"/>
      <c r="AQ2099" s="2620"/>
      <c r="AR2099" s="2620"/>
      <c r="AS2099" s="2620"/>
      <c r="AT2099" s="2620"/>
      <c r="AU2099" s="2620"/>
      <c r="AV2099" s="2620"/>
      <c r="AW2099" s="2620"/>
      <c r="AX2099" s="2620"/>
      <c r="AY2099" s="2620"/>
      <c r="AZ2099" s="2620"/>
      <c r="BA2099" s="2620"/>
      <c r="BB2099" s="2620"/>
      <c r="BC2099" s="2620"/>
      <c r="BD2099" s="2620"/>
      <c r="BE2099" s="2620"/>
      <c r="BF2099" s="2620"/>
      <c r="BG2099" s="2620"/>
      <c r="BH2099" s="2620"/>
      <c r="BI2099" s="2620"/>
      <c r="BJ2099" s="2620"/>
      <c r="BK2099" s="2620"/>
      <c r="BL2099" s="2620"/>
      <c r="BM2099" s="2620"/>
      <c r="BN2099" s="2620"/>
      <c r="BO2099" s="2620"/>
      <c r="BP2099" s="2620"/>
      <c r="BQ2099" s="2620"/>
      <c r="BR2099" s="2620"/>
      <c r="BS2099" s="2620"/>
    </row>
    <row r="2100" spans="1:71" ht="12.75" customHeight="1" x14ac:dyDescent="0.2">
      <c r="A2100" s="2029">
        <v>211</v>
      </c>
      <c r="B2100" s="4995"/>
      <c r="C2100" s="2112"/>
      <c r="H2100" s="413"/>
      <c r="M2100" s="1959"/>
      <c r="N2100" s="100"/>
      <c r="O2100" s="468" t="s">
        <v>0</v>
      </c>
      <c r="P2100" s="2811"/>
      <c r="Q2100" s="575"/>
      <c r="R2100" s="2818"/>
      <c r="S2100" s="422"/>
      <c r="T2100" s="2809"/>
      <c r="U2100" s="576"/>
      <c r="Y2100" s="2112"/>
      <c r="AB2100" s="413"/>
      <c r="AC2100" s="2795"/>
      <c r="AF2100" s="2620"/>
      <c r="AG2100" s="2620"/>
      <c r="AH2100" s="2620"/>
      <c r="AI2100" s="2620"/>
      <c r="AJ2100" s="2620"/>
      <c r="AK2100" s="2620"/>
      <c r="AL2100" s="2620"/>
      <c r="AM2100" s="2620"/>
      <c r="AN2100" s="2620"/>
      <c r="AO2100" s="2620"/>
      <c r="AP2100" s="2620"/>
      <c r="AQ2100" s="2620"/>
      <c r="AR2100" s="2620"/>
      <c r="AS2100" s="2620"/>
      <c r="AT2100" s="2620"/>
      <c r="AU2100" s="2620"/>
      <c r="AV2100" s="2620"/>
      <c r="AW2100" s="2620"/>
      <c r="AX2100" s="2620"/>
      <c r="AY2100" s="2620"/>
      <c r="AZ2100" s="2620"/>
      <c r="BA2100" s="2620"/>
      <c r="BB2100" s="2620"/>
      <c r="BC2100" s="2620"/>
      <c r="BD2100" s="2620"/>
      <c r="BE2100" s="2620"/>
      <c r="BF2100" s="2620"/>
      <c r="BG2100" s="2620"/>
      <c r="BH2100" s="2620"/>
      <c r="BI2100" s="2620"/>
      <c r="BJ2100" s="2620"/>
      <c r="BK2100" s="2620"/>
      <c r="BL2100" s="2620"/>
      <c r="BM2100" s="2620"/>
      <c r="BN2100" s="2620"/>
      <c r="BO2100" s="2620"/>
      <c r="BP2100" s="2620"/>
      <c r="BQ2100" s="2620"/>
      <c r="BR2100" s="2620"/>
      <c r="BS2100" s="2620"/>
    </row>
    <row r="2101" spans="1:71" ht="12.75" customHeight="1" x14ac:dyDescent="0.2">
      <c r="A2101" s="2029">
        <v>211</v>
      </c>
      <c r="B2101" s="4995"/>
      <c r="C2101" s="2112"/>
      <c r="H2101" s="413"/>
      <c r="M2101" s="1959"/>
      <c r="N2101" s="100"/>
      <c r="O2101" s="468" t="s">
        <v>10083</v>
      </c>
      <c r="P2101" s="2811">
        <v>20</v>
      </c>
      <c r="Q2101" s="575">
        <v>80</v>
      </c>
      <c r="R2101" s="2818">
        <f>COUNTIF(PoderesDeCriatura_Adquiridos,Tablas!O2101)</f>
        <v>0</v>
      </c>
      <c r="S2101" s="422"/>
      <c r="T2101" s="2809"/>
      <c r="U2101" s="576"/>
      <c r="Y2101" s="2112"/>
      <c r="AB2101" s="413"/>
      <c r="AC2101" s="2795"/>
      <c r="AF2101" s="2620"/>
      <c r="AG2101" s="2620"/>
      <c r="AH2101" s="2620"/>
      <c r="AI2101" s="2620"/>
      <c r="AJ2101" s="2620"/>
      <c r="AK2101" s="2620"/>
      <c r="AL2101" s="2620"/>
      <c r="AM2101" s="2620"/>
      <c r="AN2101" s="2620"/>
      <c r="AO2101" s="2620"/>
      <c r="AP2101" s="2620"/>
      <c r="AQ2101" s="2620"/>
      <c r="AR2101" s="2620"/>
      <c r="AS2101" s="2620"/>
      <c r="AT2101" s="2620"/>
      <c r="AU2101" s="2620"/>
      <c r="AV2101" s="2620"/>
      <c r="AW2101" s="2620"/>
      <c r="AX2101" s="2620"/>
      <c r="AY2101" s="2620"/>
      <c r="AZ2101" s="2620"/>
      <c r="BA2101" s="2620"/>
      <c r="BB2101" s="2620"/>
      <c r="BC2101" s="2620"/>
      <c r="BD2101" s="2620"/>
      <c r="BE2101" s="2620"/>
      <c r="BF2101" s="2620"/>
      <c r="BG2101" s="2620"/>
      <c r="BH2101" s="2620"/>
      <c r="BI2101" s="2620"/>
      <c r="BJ2101" s="2620"/>
      <c r="BK2101" s="2620"/>
      <c r="BL2101" s="2620"/>
      <c r="BM2101" s="2620"/>
      <c r="BN2101" s="2620"/>
      <c r="BO2101" s="2620"/>
      <c r="BP2101" s="2620"/>
      <c r="BQ2101" s="2620"/>
      <c r="BR2101" s="2620"/>
      <c r="BS2101" s="2620"/>
    </row>
    <row r="2102" spans="1:71" ht="12.75" customHeight="1" x14ac:dyDescent="0.2">
      <c r="A2102" s="2029">
        <v>211</v>
      </c>
      <c r="B2102" s="4995"/>
      <c r="C2102" s="2112"/>
      <c r="H2102" s="413"/>
      <c r="M2102" s="1959"/>
      <c r="N2102" s="100"/>
      <c r="O2102" s="468" t="s">
        <v>10084</v>
      </c>
      <c r="P2102" s="2811">
        <v>20</v>
      </c>
      <c r="Q2102" s="575">
        <v>100</v>
      </c>
      <c r="R2102" s="2818">
        <f>COUNTIF(PoderesDeCriatura_Adquiridos,Tablas!O2102)</f>
        <v>0</v>
      </c>
      <c r="S2102" s="422"/>
      <c r="T2102" s="2809"/>
      <c r="U2102" s="576"/>
      <c r="Y2102" s="2112"/>
      <c r="AB2102" s="413"/>
      <c r="AC2102" s="2795"/>
      <c r="AF2102" s="2620"/>
      <c r="AG2102" s="2620"/>
      <c r="AH2102" s="2620"/>
      <c r="AI2102" s="2620"/>
      <c r="AJ2102" s="2620"/>
      <c r="AK2102" s="2620"/>
      <c r="AL2102" s="2620"/>
      <c r="AM2102" s="2620"/>
      <c r="AN2102" s="2620"/>
      <c r="AO2102" s="2620"/>
      <c r="AP2102" s="2620"/>
      <c r="AQ2102" s="2620"/>
      <c r="AR2102" s="2620"/>
      <c r="AS2102" s="2620"/>
      <c r="AT2102" s="2620"/>
      <c r="AU2102" s="2620"/>
      <c r="AV2102" s="2620"/>
      <c r="AW2102" s="2620"/>
      <c r="AX2102" s="2620"/>
      <c r="AY2102" s="2620"/>
      <c r="AZ2102" s="2620"/>
      <c r="BA2102" s="2620"/>
      <c r="BB2102" s="2620"/>
      <c r="BC2102" s="2620"/>
      <c r="BD2102" s="2620"/>
      <c r="BE2102" s="2620"/>
      <c r="BF2102" s="2620"/>
      <c r="BG2102" s="2620"/>
      <c r="BH2102" s="2620"/>
      <c r="BI2102" s="2620"/>
      <c r="BJ2102" s="2620"/>
      <c r="BK2102" s="2620"/>
      <c r="BL2102" s="2620"/>
      <c r="BM2102" s="2620"/>
      <c r="BN2102" s="2620"/>
      <c r="BO2102" s="2620"/>
      <c r="BP2102" s="2620"/>
      <c r="BQ2102" s="2620"/>
      <c r="BR2102" s="2620"/>
      <c r="BS2102" s="2620"/>
    </row>
    <row r="2103" spans="1:71" ht="12.75" customHeight="1" x14ac:dyDescent="0.2">
      <c r="A2103" s="2029">
        <v>211</v>
      </c>
      <c r="B2103" s="4995"/>
      <c r="C2103" s="2112"/>
      <c r="H2103" s="413"/>
      <c r="M2103" s="1959"/>
      <c r="N2103" s="100"/>
      <c r="O2103" s="468" t="s">
        <v>10085</v>
      </c>
      <c r="P2103" s="2811">
        <v>20</v>
      </c>
      <c r="Q2103" s="575">
        <f>IF(TipoDeCriatura="No muerto, Espectro",25,100)</f>
        <v>100</v>
      </c>
      <c r="R2103" s="2818">
        <f>COUNTIF(PoderesDeCriatura_Adquiridos,Tablas!O2103)</f>
        <v>0</v>
      </c>
      <c r="S2103" s="422"/>
      <c r="T2103" s="2809"/>
      <c r="U2103" s="576"/>
      <c r="Y2103" s="2112"/>
      <c r="AB2103" s="413"/>
      <c r="AC2103" s="2795"/>
      <c r="AF2103" s="2620"/>
      <c r="AG2103" s="2620"/>
      <c r="AH2103" s="2620"/>
      <c r="AI2103" s="2620"/>
      <c r="AJ2103" s="2620"/>
      <c r="AK2103" s="2620"/>
      <c r="AL2103" s="2620"/>
      <c r="AM2103" s="2620"/>
      <c r="AN2103" s="2620"/>
      <c r="AO2103" s="2620"/>
      <c r="AP2103" s="2620"/>
      <c r="AQ2103" s="2620"/>
      <c r="AR2103" s="2620"/>
      <c r="AS2103" s="2620"/>
      <c r="AT2103" s="2620"/>
      <c r="AU2103" s="2620"/>
      <c r="AV2103" s="2620"/>
      <c r="AW2103" s="2620"/>
      <c r="AX2103" s="2620"/>
      <c r="AY2103" s="2620"/>
      <c r="AZ2103" s="2620"/>
      <c r="BA2103" s="2620"/>
      <c r="BB2103" s="2620"/>
      <c r="BC2103" s="2620"/>
      <c r="BD2103" s="2620"/>
      <c r="BE2103" s="2620"/>
      <c r="BF2103" s="2620"/>
      <c r="BG2103" s="2620"/>
      <c r="BH2103" s="2620"/>
      <c r="BI2103" s="2620"/>
      <c r="BJ2103" s="2620"/>
      <c r="BK2103" s="2620"/>
      <c r="BL2103" s="2620"/>
      <c r="BM2103" s="2620"/>
      <c r="BN2103" s="2620"/>
      <c r="BO2103" s="2620"/>
      <c r="BP2103" s="2620"/>
      <c r="BQ2103" s="2620"/>
      <c r="BR2103" s="2620"/>
      <c r="BS2103" s="2620"/>
    </row>
    <row r="2104" spans="1:71" ht="12.75" customHeight="1" x14ac:dyDescent="0.2">
      <c r="A2104" s="2029">
        <v>211</v>
      </c>
      <c r="B2104" s="4995"/>
      <c r="C2104" s="2112"/>
      <c r="H2104" s="413"/>
      <c r="M2104" s="1959"/>
      <c r="N2104" s="100"/>
      <c r="O2104" s="468" t="s">
        <v>10086</v>
      </c>
      <c r="P2104" s="2811">
        <v>20</v>
      </c>
      <c r="Q2104" s="575">
        <v>10</v>
      </c>
      <c r="R2104" s="2818">
        <f>COUNTIF(PoderesDeCriatura_Adquiridos,Tablas!O2104)</f>
        <v>0</v>
      </c>
      <c r="S2104" s="422"/>
      <c r="T2104" s="2809"/>
      <c r="U2104" s="576"/>
      <c r="Y2104" s="2112"/>
      <c r="AB2104" s="413"/>
      <c r="AC2104" s="2795"/>
      <c r="AF2104" s="2620"/>
      <c r="AG2104" s="2620"/>
      <c r="AH2104" s="2620"/>
      <c r="AI2104" s="2620"/>
      <c r="AJ2104" s="2620"/>
      <c r="AK2104" s="2620"/>
      <c r="AL2104" s="2620"/>
      <c r="AM2104" s="2620"/>
      <c r="AN2104" s="2620"/>
      <c r="AO2104" s="2620"/>
      <c r="AP2104" s="2620"/>
      <c r="AQ2104" s="2620"/>
      <c r="AR2104" s="2620"/>
      <c r="AS2104" s="2620"/>
      <c r="AT2104" s="2620"/>
      <c r="AU2104" s="2620"/>
      <c r="AV2104" s="2620"/>
      <c r="AW2104" s="2620"/>
      <c r="AX2104" s="2620"/>
      <c r="AY2104" s="2620"/>
      <c r="AZ2104" s="2620"/>
      <c r="BA2104" s="2620"/>
      <c r="BB2104" s="2620"/>
      <c r="BC2104" s="2620"/>
      <c r="BD2104" s="2620"/>
      <c r="BE2104" s="2620"/>
      <c r="BF2104" s="2620"/>
      <c r="BG2104" s="2620"/>
      <c r="BH2104" s="2620"/>
      <c r="BI2104" s="2620"/>
      <c r="BJ2104" s="2620"/>
      <c r="BK2104" s="2620"/>
      <c r="BL2104" s="2620"/>
      <c r="BM2104" s="2620"/>
      <c r="BN2104" s="2620"/>
      <c r="BO2104" s="2620"/>
      <c r="BP2104" s="2620"/>
      <c r="BQ2104" s="2620"/>
      <c r="BR2104" s="2620"/>
      <c r="BS2104" s="2620"/>
    </row>
    <row r="2105" spans="1:71" ht="12.75" customHeight="1" x14ac:dyDescent="0.2">
      <c r="A2105" s="2029">
        <v>211</v>
      </c>
      <c r="B2105" s="4995"/>
      <c r="C2105" s="2112"/>
      <c r="H2105" s="413"/>
      <c r="M2105" s="1959"/>
      <c r="N2105" s="100"/>
      <c r="O2105" s="468" t="s">
        <v>10087</v>
      </c>
      <c r="P2105" s="2811">
        <v>20</v>
      </c>
      <c r="Q2105" s="575">
        <v>-20</v>
      </c>
      <c r="R2105" s="2818">
        <f>COUNTIF(PoderesDeCriatura_Adquiridos,Tablas!O2105)</f>
        <v>0</v>
      </c>
      <c r="S2105" s="422"/>
      <c r="T2105" s="2809"/>
      <c r="U2105" s="576"/>
      <c r="Y2105" s="2112"/>
      <c r="AB2105" s="413"/>
      <c r="AC2105" s="2795"/>
      <c r="AF2105" s="2620"/>
      <c r="AG2105" s="2620"/>
      <c r="AH2105" s="2620"/>
      <c r="AI2105" s="2620"/>
      <c r="AJ2105" s="2620"/>
      <c r="AK2105" s="2620"/>
      <c r="AL2105" s="2620"/>
      <c r="AM2105" s="2620"/>
      <c r="AN2105" s="2620"/>
      <c r="AO2105" s="2620"/>
      <c r="AP2105" s="2620"/>
      <c r="AQ2105" s="2620"/>
      <c r="AR2105" s="2620"/>
      <c r="AS2105" s="2620"/>
      <c r="AT2105" s="2620"/>
      <c r="AU2105" s="2620"/>
      <c r="AV2105" s="2620"/>
      <c r="AW2105" s="2620"/>
      <c r="AX2105" s="2620"/>
      <c r="AY2105" s="2620"/>
      <c r="AZ2105" s="2620"/>
      <c r="BA2105" s="2620"/>
      <c r="BB2105" s="2620"/>
      <c r="BC2105" s="2620"/>
      <c r="BD2105" s="2620"/>
      <c r="BE2105" s="2620"/>
      <c r="BF2105" s="2620"/>
      <c r="BG2105" s="2620"/>
      <c r="BH2105" s="2620"/>
      <c r="BI2105" s="2620"/>
      <c r="BJ2105" s="2620"/>
      <c r="BK2105" s="2620"/>
      <c r="BL2105" s="2620"/>
      <c r="BM2105" s="2620"/>
      <c r="BN2105" s="2620"/>
      <c r="BO2105" s="2620"/>
      <c r="BP2105" s="2620"/>
      <c r="BQ2105" s="2620"/>
      <c r="BR2105" s="2620"/>
      <c r="BS2105" s="2620"/>
    </row>
    <row r="2106" spans="1:71" ht="12.75" customHeight="1" x14ac:dyDescent="0.2">
      <c r="A2106" s="2029">
        <v>211</v>
      </c>
      <c r="B2106" s="4995"/>
      <c r="C2106" s="2112"/>
      <c r="H2106" s="413"/>
      <c r="M2106" s="1959"/>
      <c r="N2106" s="100"/>
      <c r="O2106" s="468" t="s">
        <v>10088</v>
      </c>
      <c r="P2106" s="2827">
        <v>0</v>
      </c>
      <c r="Q2106" s="2695">
        <v>0</v>
      </c>
      <c r="R2106" s="2818">
        <f>COUNTIF(PoderesDeCriatura_Adquiridos,Tablas!O2106)</f>
        <v>0</v>
      </c>
      <c r="S2106" s="422"/>
      <c r="T2106" s="2809"/>
      <c r="U2106" s="576"/>
      <c r="Y2106" s="2112"/>
      <c r="AB2106" s="413"/>
      <c r="AC2106" s="2795"/>
    </row>
    <row r="2107" spans="1:71" ht="12.75" customHeight="1" x14ac:dyDescent="0.2">
      <c r="A2107" s="2029">
        <v>211</v>
      </c>
      <c r="B2107" s="4995"/>
      <c r="C2107" s="2112"/>
      <c r="H2107" s="413"/>
      <c r="M2107" s="1959"/>
      <c r="N2107" s="100"/>
      <c r="O2107" s="468" t="s">
        <v>10089</v>
      </c>
      <c r="P2107" s="2827">
        <v>10</v>
      </c>
      <c r="Q2107" s="2695">
        <f>5+IF(OR(TipoDeCriatura="Entre mundos, Elemental",TipoDeCriatura="Ánima, Elemental"),5,0)</f>
        <v>5</v>
      </c>
      <c r="R2107" s="2818">
        <f>COUNTIF(PoderesDeCriatura_Adquiridos,Tablas!O2107)</f>
        <v>0</v>
      </c>
      <c r="S2107" s="422"/>
      <c r="T2107" s="2809"/>
      <c r="U2107" s="576"/>
      <c r="Y2107" s="2112"/>
      <c r="AB2107" s="413"/>
      <c r="AC2107" s="2795"/>
    </row>
    <row r="2108" spans="1:71" ht="12.75" customHeight="1" x14ac:dyDescent="0.2">
      <c r="A2108" s="2029">
        <v>211</v>
      </c>
      <c r="B2108" s="4995"/>
      <c r="C2108" s="2112"/>
      <c r="H2108" s="413"/>
      <c r="M2108" s="1959"/>
      <c r="N2108" s="100"/>
      <c r="O2108" s="468" t="s">
        <v>10090</v>
      </c>
      <c r="P2108" s="2827">
        <v>30</v>
      </c>
      <c r="Q2108" s="2695">
        <f>100+IF(OR(TipoDeCriatura="Entre mundos, Elemental",TipoDeCriatura="Ánima, Elemental"),10,0)</f>
        <v>100</v>
      </c>
      <c r="R2108" s="2818">
        <f>COUNTIF(PoderesDeCriatura_Adquiridos,Tablas!O2108)</f>
        <v>0</v>
      </c>
      <c r="S2108" s="422"/>
      <c r="T2108" s="2809"/>
      <c r="U2108" s="576"/>
      <c r="Y2108" s="2112"/>
      <c r="AB2108" s="413"/>
      <c r="AC2108" s="2795"/>
    </row>
    <row r="2109" spans="1:71" ht="12.75" customHeight="1" x14ac:dyDescent="0.2">
      <c r="A2109" s="2029">
        <v>211</v>
      </c>
      <c r="B2109" s="4995"/>
      <c r="C2109" s="2112"/>
      <c r="H2109" s="413"/>
      <c r="M2109" s="1959"/>
      <c r="N2109" s="100"/>
      <c r="O2109" s="468" t="s">
        <v>10091</v>
      </c>
      <c r="P2109" s="2811">
        <v>10</v>
      </c>
      <c r="Q2109" s="575">
        <v>-30</v>
      </c>
      <c r="R2109" s="2818">
        <f>COUNTIF(PoderesDeCriatura_Adquiridos,Tablas!O2109)</f>
        <v>0</v>
      </c>
      <c r="S2109" s="422"/>
      <c r="T2109" s="2809"/>
      <c r="U2109" s="576"/>
      <c r="Y2109" s="2112"/>
      <c r="AB2109" s="413"/>
      <c r="AC2109" s="2795"/>
    </row>
    <row r="2110" spans="1:71" ht="12.75" customHeight="1" x14ac:dyDescent="0.2">
      <c r="A2110" s="2029">
        <v>211</v>
      </c>
      <c r="B2110" s="4995"/>
      <c r="C2110" s="2112"/>
      <c r="H2110" s="413"/>
      <c r="M2110" s="1959"/>
      <c r="N2110" s="100"/>
      <c r="O2110" s="468" t="s">
        <v>10092</v>
      </c>
      <c r="P2110" s="2811">
        <v>10</v>
      </c>
      <c r="Q2110" s="575">
        <v>-10</v>
      </c>
      <c r="R2110" s="2818">
        <f>COUNTIF(PoderesDeCriatura_Adquiridos,Tablas!O2110)</f>
        <v>0</v>
      </c>
      <c r="S2110" s="422"/>
      <c r="T2110" s="2809"/>
      <c r="U2110" s="576"/>
      <c r="Y2110" s="2112"/>
      <c r="AB2110" s="413"/>
      <c r="AC2110" s="2795"/>
    </row>
    <row r="2111" spans="1:71" ht="12.75" customHeight="1" x14ac:dyDescent="0.2">
      <c r="A2111" s="2029">
        <v>211</v>
      </c>
      <c r="B2111" s="4995"/>
      <c r="C2111" s="2112"/>
      <c r="H2111" s="413"/>
      <c r="M2111" s="1959"/>
      <c r="N2111" s="100"/>
      <c r="O2111" s="468" t="s">
        <v>10093</v>
      </c>
      <c r="P2111" s="2811">
        <v>10</v>
      </c>
      <c r="Q2111" s="575">
        <v>-20</v>
      </c>
      <c r="R2111" s="2818">
        <f>COUNTIF(PoderesDeCriatura_Adquiridos,Tablas!O2111)</f>
        <v>0</v>
      </c>
      <c r="S2111" s="422"/>
      <c r="T2111" s="2809"/>
      <c r="U2111" s="576"/>
      <c r="Y2111" s="2112"/>
      <c r="AB2111" s="413"/>
      <c r="AC2111" s="2795"/>
    </row>
    <row r="2112" spans="1:71" ht="12.75" customHeight="1" x14ac:dyDescent="0.2">
      <c r="A2112" s="2029">
        <v>211</v>
      </c>
      <c r="B2112" s="4995"/>
      <c r="C2112" s="2112"/>
      <c r="H2112" s="413"/>
      <c r="M2112" s="1959"/>
      <c r="N2112" s="100"/>
      <c r="O2112" s="468" t="s">
        <v>10094</v>
      </c>
      <c r="P2112" s="2811">
        <v>10</v>
      </c>
      <c r="Q2112" s="575">
        <v>-30</v>
      </c>
      <c r="R2112" s="2818">
        <f>COUNTIF(PoderesDeCriatura_Adquiridos,Tablas!O2112)</f>
        <v>0</v>
      </c>
      <c r="S2112" s="422"/>
      <c r="T2112" s="2809"/>
      <c r="U2112" s="576"/>
      <c r="Y2112" s="2112"/>
      <c r="AB2112" s="413"/>
      <c r="AC2112" s="2795"/>
    </row>
    <row r="2113" spans="1:29" ht="12.75" customHeight="1" x14ac:dyDescent="0.2">
      <c r="A2113" s="2029">
        <v>211</v>
      </c>
      <c r="B2113" s="4995"/>
      <c r="C2113" s="2112"/>
      <c r="H2113" s="413"/>
      <c r="M2113" s="1959"/>
      <c r="N2113" s="100"/>
      <c r="O2113" s="468" t="s">
        <v>10095</v>
      </c>
      <c r="P2113" s="2811">
        <v>10</v>
      </c>
      <c r="Q2113" s="575">
        <v>-40</v>
      </c>
      <c r="R2113" s="2818">
        <f>COUNTIF(PoderesDeCriatura_Adquiridos,Tablas!O2113)</f>
        <v>0</v>
      </c>
      <c r="S2113" s="422"/>
      <c r="T2113" s="2809"/>
      <c r="U2113" s="576"/>
      <c r="Y2113" s="2112"/>
      <c r="AB2113" s="413"/>
      <c r="AC2113" s="2795"/>
    </row>
    <row r="2114" spans="1:29" ht="12.75" customHeight="1" x14ac:dyDescent="0.2">
      <c r="A2114" s="2029">
        <v>211</v>
      </c>
      <c r="B2114" s="4995"/>
      <c r="C2114" s="2112"/>
      <c r="H2114" s="413"/>
      <c r="M2114" s="1959"/>
      <c r="N2114" s="100"/>
      <c r="O2114" s="468" t="s">
        <v>10096</v>
      </c>
      <c r="P2114" s="2811">
        <v>10</v>
      </c>
      <c r="Q2114" s="575">
        <v>-50</v>
      </c>
      <c r="R2114" s="2818">
        <f>COUNTIF(PoderesDeCriatura_Adquiridos,Tablas!O2114)</f>
        <v>0</v>
      </c>
      <c r="S2114" s="422"/>
      <c r="T2114" s="2809"/>
      <c r="U2114" s="576"/>
      <c r="Y2114" s="2112"/>
      <c r="AB2114" s="413"/>
      <c r="AC2114" s="2795"/>
    </row>
    <row r="2115" spans="1:29" ht="12.75" customHeight="1" x14ac:dyDescent="0.2">
      <c r="A2115" s="2029">
        <v>211</v>
      </c>
      <c r="B2115" s="4995"/>
      <c r="C2115" s="2112"/>
      <c r="H2115" s="413"/>
      <c r="M2115" s="1959"/>
      <c r="N2115" s="100"/>
      <c r="O2115" s="468" t="s">
        <v>10097</v>
      </c>
      <c r="P2115" s="2827">
        <v>0</v>
      </c>
      <c r="Q2115" s="2695">
        <v>0</v>
      </c>
      <c r="R2115" s="2818">
        <f>COUNTIF(PoderesDeCriatura_Adquiridos,Tablas!O2115)</f>
        <v>0</v>
      </c>
      <c r="S2115" s="422"/>
      <c r="T2115" s="2809"/>
      <c r="U2115" s="576"/>
      <c r="Y2115" s="2112"/>
      <c r="AB2115" s="413"/>
      <c r="AC2115" s="2795"/>
    </row>
    <row r="2116" spans="1:29" ht="12.75" customHeight="1" x14ac:dyDescent="0.2">
      <c r="A2116" s="2029">
        <v>211</v>
      </c>
      <c r="B2116" s="4995"/>
      <c r="C2116" s="2112"/>
      <c r="H2116" s="413"/>
      <c r="M2116" s="1959"/>
      <c r="N2116" s="100"/>
      <c r="O2116" s="468" t="s">
        <v>10098</v>
      </c>
      <c r="P2116" s="2827">
        <v>10</v>
      </c>
      <c r="Q2116" s="2695">
        <f>5+IF(OR(TipoDeCriatura="Entre mundos, Elemental",TipoDeCriatura="Ánima, Elemental"),5,0)</f>
        <v>5</v>
      </c>
      <c r="R2116" s="2818">
        <f>COUNTIF(PoderesDeCriatura_Adquiridos,Tablas!O2116)</f>
        <v>0</v>
      </c>
      <c r="S2116" s="422"/>
      <c r="T2116" s="2809"/>
      <c r="U2116" s="576"/>
      <c r="Y2116" s="2112"/>
      <c r="AB2116" s="413"/>
      <c r="AC2116" s="2795"/>
    </row>
    <row r="2117" spans="1:29" ht="12.75" customHeight="1" x14ac:dyDescent="0.2">
      <c r="A2117" s="2029">
        <v>211</v>
      </c>
      <c r="B2117" s="4995"/>
      <c r="C2117" s="2112"/>
      <c r="H2117" s="413"/>
      <c r="M2117" s="1959"/>
      <c r="N2117" s="100"/>
      <c r="O2117" s="468" t="s">
        <v>10099</v>
      </c>
      <c r="P2117" s="2827">
        <v>25</v>
      </c>
      <c r="Q2117" s="2695">
        <f>80+IF(OR(TipoDeCriatura="Entre mundos, Elemental",TipoDeCriatura="Ánima, Elemental"),10,0)</f>
        <v>80</v>
      </c>
      <c r="R2117" s="2818">
        <f>COUNTIF(PoderesDeCriatura_Adquiridos,Tablas!O2117)</f>
        <v>0</v>
      </c>
      <c r="S2117" s="422"/>
      <c r="T2117" s="2809"/>
      <c r="U2117" s="576"/>
      <c r="Y2117" s="2112"/>
      <c r="AB2117" s="413"/>
      <c r="AC2117" s="2795"/>
    </row>
    <row r="2118" spans="1:29" ht="12.75" customHeight="1" x14ac:dyDescent="0.2">
      <c r="A2118" s="2029">
        <v>211</v>
      </c>
      <c r="B2118" s="4995"/>
      <c r="C2118" s="2112"/>
      <c r="H2118" s="413"/>
      <c r="M2118" s="1959"/>
      <c r="N2118" s="100"/>
      <c r="O2118" s="468" t="s">
        <v>10100</v>
      </c>
      <c r="P2118" s="2811">
        <v>10</v>
      </c>
      <c r="Q2118" s="575">
        <v>-30</v>
      </c>
      <c r="R2118" s="2818">
        <f>COUNTIF(PoderesDeCriatura_Adquiridos,Tablas!O2118)</f>
        <v>0</v>
      </c>
      <c r="S2118" s="422"/>
      <c r="T2118" s="2809"/>
      <c r="U2118" s="576"/>
      <c r="Y2118" s="2112"/>
      <c r="AB2118" s="413"/>
      <c r="AC2118" s="2795"/>
    </row>
    <row r="2119" spans="1:29" ht="12.75" customHeight="1" x14ac:dyDescent="0.2">
      <c r="A2119" s="2029">
        <v>211</v>
      </c>
      <c r="B2119" s="4995"/>
      <c r="C2119" s="2112"/>
      <c r="H2119" s="413"/>
      <c r="M2119" s="1959"/>
      <c r="N2119" s="100"/>
      <c r="O2119" s="468" t="s">
        <v>10101</v>
      </c>
      <c r="P2119" s="2811">
        <v>10</v>
      </c>
      <c r="Q2119" s="575">
        <v>-10</v>
      </c>
      <c r="R2119" s="2818">
        <f>COUNTIF(PoderesDeCriatura_Adquiridos,Tablas!O2119)</f>
        <v>0</v>
      </c>
      <c r="S2119" s="422"/>
      <c r="T2119" s="2809"/>
      <c r="U2119" s="576"/>
      <c r="Y2119" s="2112"/>
      <c r="AB2119" s="413"/>
      <c r="AC2119" s="2795"/>
    </row>
    <row r="2120" spans="1:29" ht="12.75" customHeight="1" x14ac:dyDescent="0.2">
      <c r="A2120" s="2029">
        <v>211</v>
      </c>
      <c r="B2120" s="4995"/>
      <c r="C2120" s="2112"/>
      <c r="H2120" s="413"/>
      <c r="M2120" s="1959"/>
      <c r="N2120" s="100"/>
      <c r="O2120" s="468" t="s">
        <v>10102</v>
      </c>
      <c r="P2120" s="2811">
        <v>10</v>
      </c>
      <c r="Q2120" s="575">
        <v>-20</v>
      </c>
      <c r="R2120" s="2818">
        <f>COUNTIF(PoderesDeCriatura_Adquiridos,Tablas!O2120)</f>
        <v>0</v>
      </c>
      <c r="S2120" s="422"/>
      <c r="T2120" s="2809"/>
      <c r="U2120" s="576"/>
      <c r="Y2120" s="2112"/>
      <c r="AB2120" s="413"/>
      <c r="AC2120" s="2795"/>
    </row>
    <row r="2121" spans="1:29" ht="12.75" customHeight="1" x14ac:dyDescent="0.2">
      <c r="A2121" s="2029">
        <v>211</v>
      </c>
      <c r="B2121" s="4995"/>
      <c r="C2121" s="2112"/>
      <c r="H2121" s="413"/>
      <c r="M2121" s="1959"/>
      <c r="N2121" s="100"/>
      <c r="O2121" s="468" t="s">
        <v>10103</v>
      </c>
      <c r="P2121" s="2811">
        <v>10</v>
      </c>
      <c r="Q2121" s="575">
        <v>-30</v>
      </c>
      <c r="R2121" s="2818">
        <f>COUNTIF(PoderesDeCriatura_Adquiridos,Tablas!O2121)</f>
        <v>0</v>
      </c>
      <c r="S2121" s="422"/>
      <c r="T2121" s="2809"/>
      <c r="U2121" s="576"/>
      <c r="Y2121" s="2112"/>
      <c r="AB2121" s="413"/>
      <c r="AC2121" s="2795"/>
    </row>
    <row r="2122" spans="1:29" ht="12.75" customHeight="1" x14ac:dyDescent="0.2">
      <c r="A2122" s="2029">
        <v>211</v>
      </c>
      <c r="B2122" s="4995"/>
      <c r="C2122" s="2112"/>
      <c r="H2122" s="413"/>
      <c r="M2122" s="1959"/>
      <c r="N2122" s="100"/>
      <c r="O2122" s="468" t="s">
        <v>10104</v>
      </c>
      <c r="P2122" s="2811">
        <v>10</v>
      </c>
      <c r="Q2122" s="575">
        <v>-40</v>
      </c>
      <c r="R2122" s="2818">
        <f>COUNTIF(PoderesDeCriatura_Adquiridos,Tablas!O2122)</f>
        <v>0</v>
      </c>
      <c r="S2122" s="422"/>
      <c r="T2122" s="2809"/>
      <c r="U2122" s="576"/>
      <c r="Y2122" s="2112"/>
      <c r="AB2122" s="413"/>
      <c r="AC2122" s="2795"/>
    </row>
    <row r="2123" spans="1:29" ht="12.75" customHeight="1" x14ac:dyDescent="0.2">
      <c r="A2123" s="2029">
        <v>211</v>
      </c>
      <c r="B2123" s="4995"/>
      <c r="C2123" s="2112"/>
      <c r="H2123" s="413"/>
      <c r="M2123" s="1959"/>
      <c r="N2123" s="100"/>
      <c r="O2123" s="468" t="s">
        <v>10105</v>
      </c>
      <c r="P2123" s="2811">
        <v>10</v>
      </c>
      <c r="Q2123" s="575">
        <v>-50</v>
      </c>
      <c r="R2123" s="2818">
        <f>COUNTIF(PoderesDeCriatura_Adquiridos,Tablas!O2123)</f>
        <v>0</v>
      </c>
      <c r="S2123" s="422"/>
      <c r="T2123" s="2809"/>
      <c r="U2123" s="576"/>
      <c r="Y2123" s="2112"/>
      <c r="AB2123" s="413"/>
      <c r="AC2123" s="2795"/>
    </row>
    <row r="2124" spans="1:29" ht="12.75" customHeight="1" x14ac:dyDescent="0.2">
      <c r="A2124" s="2029">
        <v>211</v>
      </c>
      <c r="B2124" s="4995"/>
      <c r="C2124" s="2112"/>
      <c r="H2124" s="413"/>
      <c r="M2124" s="1959"/>
      <c r="N2124" s="100"/>
      <c r="O2124" s="468" t="s">
        <v>10106</v>
      </c>
      <c r="P2124" s="2811">
        <v>15</v>
      </c>
      <c r="Q2124" s="575">
        <v>40</v>
      </c>
      <c r="R2124" s="2818">
        <f>COUNTIF(PoderesDeCriatura_Adquiridos,Tablas!O2124)</f>
        <v>0</v>
      </c>
      <c r="S2124" s="422"/>
      <c r="T2124" s="2809"/>
      <c r="U2124" s="576"/>
      <c r="Y2124" s="2112"/>
      <c r="AB2124" s="413"/>
      <c r="AC2124" s="2795"/>
    </row>
    <row r="2125" spans="1:29" ht="12.75" customHeight="1" x14ac:dyDescent="0.2">
      <c r="A2125" s="2029">
        <v>211</v>
      </c>
      <c r="B2125" s="4995"/>
      <c r="C2125" s="2112"/>
      <c r="H2125" s="413"/>
      <c r="M2125" s="1959"/>
      <c r="N2125" s="100"/>
      <c r="O2125" s="468" t="s">
        <v>10107</v>
      </c>
      <c r="P2125" s="2811">
        <v>20</v>
      </c>
      <c r="Q2125" s="575">
        <v>60</v>
      </c>
      <c r="R2125" s="2818">
        <f>COUNTIF(PoderesDeCriatura_Adquiridos,Tablas!O2125)</f>
        <v>0</v>
      </c>
      <c r="S2125" s="422"/>
      <c r="T2125" s="2809"/>
      <c r="U2125" s="576"/>
      <c r="Y2125" s="2112"/>
      <c r="AB2125" s="413"/>
      <c r="AC2125" s="2795"/>
    </row>
    <row r="2126" spans="1:29" ht="12.75" customHeight="1" x14ac:dyDescent="0.2">
      <c r="A2126" s="2029">
        <v>211</v>
      </c>
      <c r="B2126" s="4995"/>
      <c r="C2126" s="2112"/>
      <c r="H2126" s="413"/>
      <c r="M2126" s="1959"/>
      <c r="N2126" s="100"/>
      <c r="O2126" s="468" t="s">
        <v>10108</v>
      </c>
      <c r="P2126" s="2811">
        <v>25</v>
      </c>
      <c r="Q2126" s="575">
        <v>100</v>
      </c>
      <c r="R2126" s="2818">
        <f>COUNTIF(PoderesDeCriatura_Adquiridos,Tablas!O2126)</f>
        <v>0</v>
      </c>
      <c r="S2126" s="422"/>
      <c r="T2126" s="2809"/>
      <c r="U2126" s="576"/>
      <c r="Y2126" s="2112"/>
      <c r="AB2126" s="413"/>
      <c r="AC2126" s="2795"/>
    </row>
    <row r="2127" spans="1:29" ht="12.75" customHeight="1" x14ac:dyDescent="0.2">
      <c r="A2127" s="2029">
        <v>211</v>
      </c>
      <c r="B2127" s="4995"/>
      <c r="C2127" s="2112"/>
      <c r="H2127" s="413"/>
      <c r="M2127" s="1959"/>
      <c r="N2127" s="100"/>
      <c r="O2127" s="468" t="s">
        <v>10109</v>
      </c>
      <c r="P2127" s="2811">
        <v>20</v>
      </c>
      <c r="Q2127" s="575">
        <v>-20</v>
      </c>
      <c r="R2127" s="2818">
        <f>COUNTIF(PoderesDeCriatura_Adquiridos,Tablas!O2127)</f>
        <v>0</v>
      </c>
      <c r="S2127" s="422"/>
      <c r="T2127" s="2809"/>
      <c r="U2127" s="576"/>
      <c r="Y2127" s="2112"/>
      <c r="AB2127" s="413"/>
      <c r="AC2127" s="2795"/>
    </row>
    <row r="2128" spans="1:29" ht="12.75" customHeight="1" x14ac:dyDescent="0.2">
      <c r="A2128" s="2029">
        <v>211</v>
      </c>
      <c r="B2128" s="4995"/>
      <c r="C2128" s="2112"/>
      <c r="H2128" s="413"/>
      <c r="M2128" s="1959"/>
      <c r="N2128" s="100"/>
      <c r="O2128" s="468" t="s">
        <v>10110</v>
      </c>
      <c r="P2128" s="2811">
        <v>10</v>
      </c>
      <c r="Q2128" s="575">
        <v>10</v>
      </c>
      <c r="R2128" s="2818">
        <f>COUNTIF(PoderesDeCriatura_Adquiridos,Tablas!O2128)</f>
        <v>0</v>
      </c>
      <c r="S2128" s="422"/>
      <c r="T2128" s="2809"/>
      <c r="U2128" s="576"/>
      <c r="Y2128" s="2112"/>
      <c r="AB2128" s="413"/>
      <c r="AC2128" s="2795"/>
    </row>
    <row r="2129" spans="1:29" ht="12.75" customHeight="1" x14ac:dyDescent="0.2">
      <c r="A2129" s="2029">
        <v>211</v>
      </c>
      <c r="B2129" s="4995"/>
      <c r="C2129" s="2112"/>
      <c r="H2129" s="413"/>
      <c r="M2129" s="1959"/>
      <c r="N2129" s="100"/>
      <c r="O2129" s="468" t="s">
        <v>10111</v>
      </c>
      <c r="P2129" s="2811">
        <v>20</v>
      </c>
      <c r="Q2129" s="575">
        <v>20</v>
      </c>
      <c r="R2129" s="2818">
        <f>COUNTIF(PoderesDeCriatura_Adquiridos,Tablas!O2129)</f>
        <v>0</v>
      </c>
      <c r="S2129" s="422"/>
      <c r="T2129" s="2809"/>
      <c r="U2129" s="576"/>
      <c r="Y2129" s="2112"/>
      <c r="AB2129" s="413"/>
      <c r="AC2129" s="2795"/>
    </row>
    <row r="2130" spans="1:29" ht="12.75" customHeight="1" x14ac:dyDescent="0.2">
      <c r="A2130" s="2029">
        <v>211</v>
      </c>
      <c r="B2130" s="4995"/>
      <c r="C2130" s="2112"/>
      <c r="H2130" s="413"/>
      <c r="M2130" s="1959"/>
      <c r="N2130" s="100"/>
      <c r="O2130" s="468" t="s">
        <v>10112</v>
      </c>
      <c r="P2130" s="2811">
        <v>20</v>
      </c>
      <c r="Q2130" s="575">
        <v>40</v>
      </c>
      <c r="R2130" s="2818">
        <f>COUNTIF(PoderesDeCriatura_Adquiridos,Tablas!O2130)</f>
        <v>0</v>
      </c>
      <c r="S2130" s="422"/>
      <c r="T2130" s="2809"/>
      <c r="U2130" s="576"/>
      <c r="Y2130" s="2112"/>
      <c r="AB2130" s="413"/>
      <c r="AC2130" s="2795"/>
    </row>
    <row r="2131" spans="1:29" ht="12.75" customHeight="1" x14ac:dyDescent="0.2">
      <c r="A2131" s="2029">
        <v>211</v>
      </c>
      <c r="B2131" s="4995"/>
      <c r="C2131" s="2112"/>
      <c r="H2131" s="413"/>
      <c r="M2131" s="1959"/>
      <c r="N2131" s="100"/>
      <c r="O2131" s="468" t="s">
        <v>10113</v>
      </c>
      <c r="P2131" s="2811">
        <v>25</v>
      </c>
      <c r="Q2131" s="575">
        <v>80</v>
      </c>
      <c r="R2131" s="2818">
        <f>COUNTIF(PoderesDeCriatura_Adquiridos,Tablas!O2131)</f>
        <v>0</v>
      </c>
      <c r="S2131" s="422"/>
      <c r="T2131" s="2809"/>
      <c r="U2131" s="576"/>
      <c r="Y2131" s="2112"/>
      <c r="AB2131" s="413"/>
      <c r="AC2131" s="2795"/>
    </row>
    <row r="2132" spans="1:29" ht="12.75" customHeight="1" x14ac:dyDescent="0.2">
      <c r="A2132" s="2029">
        <v>211</v>
      </c>
      <c r="B2132" s="4995"/>
      <c r="C2132" s="2112"/>
      <c r="H2132" s="413"/>
      <c r="M2132" s="1959"/>
      <c r="N2132" s="100"/>
      <c r="O2132" s="468" t="s">
        <v>10114</v>
      </c>
      <c r="P2132" s="2811">
        <v>10</v>
      </c>
      <c r="Q2132" s="575">
        <v>50</v>
      </c>
      <c r="R2132" s="2818">
        <f>COUNTIF(PoderesDeCriatura_Adquiridos,Tablas!O2132)</f>
        <v>0</v>
      </c>
      <c r="S2132" s="422"/>
      <c r="T2132" s="2809"/>
      <c r="U2132" s="576"/>
      <c r="Y2132" s="2112"/>
      <c r="AB2132" s="413"/>
      <c r="AC2132" s="2795"/>
    </row>
    <row r="2133" spans="1:29" ht="12.75" customHeight="1" x14ac:dyDescent="0.2">
      <c r="A2133" s="2029">
        <v>211</v>
      </c>
      <c r="B2133" s="4995"/>
      <c r="C2133" s="2112"/>
      <c r="H2133" s="413"/>
      <c r="M2133" s="1959"/>
      <c r="N2133" s="100"/>
      <c r="O2133" s="468" t="s">
        <v>10115</v>
      </c>
      <c r="P2133" s="2811">
        <v>20</v>
      </c>
      <c r="Q2133" s="575">
        <v>80</v>
      </c>
      <c r="R2133" s="2818">
        <f>COUNTIF(PoderesDeCriatura_Adquiridos,Tablas!O2133)</f>
        <v>0</v>
      </c>
      <c r="S2133" s="422"/>
      <c r="T2133" s="2809"/>
      <c r="U2133" s="576"/>
      <c r="Y2133" s="2112"/>
      <c r="AB2133" s="413"/>
      <c r="AC2133" s="2795"/>
    </row>
    <row r="2134" spans="1:29" ht="12.75" customHeight="1" x14ac:dyDescent="0.2">
      <c r="A2134" s="2029">
        <v>211</v>
      </c>
      <c r="B2134" s="4995"/>
      <c r="C2134" s="2112"/>
      <c r="H2134" s="413"/>
      <c r="M2134" s="1959"/>
      <c r="N2134" s="100"/>
      <c r="O2134" s="468" t="s">
        <v>10116</v>
      </c>
      <c r="P2134" s="2811">
        <v>25</v>
      </c>
      <c r="Q2134" s="575">
        <v>100</v>
      </c>
      <c r="R2134" s="2818">
        <f>COUNTIF(PoderesDeCriatura_Adquiridos,Tablas!O2134)</f>
        <v>0</v>
      </c>
      <c r="S2134" s="422"/>
      <c r="T2134" s="2809"/>
      <c r="U2134" s="576"/>
      <c r="Y2134" s="2112"/>
      <c r="AB2134" s="413"/>
      <c r="AC2134" s="2795"/>
    </row>
    <row r="2135" spans="1:29" ht="12.75" customHeight="1" x14ac:dyDescent="0.2">
      <c r="A2135" s="2029">
        <v>211</v>
      </c>
      <c r="B2135" s="4995"/>
      <c r="C2135" s="2112"/>
      <c r="H2135" s="413"/>
      <c r="M2135" s="1959"/>
      <c r="N2135" s="100"/>
      <c r="O2135" s="468" t="s">
        <v>10117</v>
      </c>
      <c r="P2135" s="2811">
        <v>30</v>
      </c>
      <c r="Q2135" s="575">
        <v>150</v>
      </c>
      <c r="R2135" s="2818">
        <f>COUNTIF(PoderesDeCriatura_Adquiridos,Tablas!O2135)</f>
        <v>0</v>
      </c>
      <c r="S2135" s="422"/>
      <c r="T2135" s="2809"/>
      <c r="U2135" s="576"/>
      <c r="Y2135" s="2112"/>
      <c r="AB2135" s="413"/>
      <c r="AC2135" s="2795"/>
    </row>
    <row r="2136" spans="1:29" ht="12.75" customHeight="1" x14ac:dyDescent="0.2">
      <c r="A2136" s="2029">
        <v>211</v>
      </c>
      <c r="B2136" s="4995"/>
      <c r="C2136" s="2112"/>
      <c r="H2136" s="413"/>
      <c r="M2136" s="1959"/>
      <c r="N2136" s="100"/>
      <c r="O2136" s="468" t="s">
        <v>10118</v>
      </c>
      <c r="P2136" s="2811">
        <v>10</v>
      </c>
      <c r="Q2136" s="575">
        <v>50</v>
      </c>
      <c r="R2136" s="2818">
        <f>COUNTIF(PoderesDeCriatura_Adquiridos,Tablas!O2136)</f>
        <v>0</v>
      </c>
      <c r="S2136" s="422"/>
      <c r="T2136" s="2809"/>
      <c r="U2136" s="576"/>
      <c r="Y2136" s="2112"/>
      <c r="AB2136" s="413"/>
      <c r="AC2136" s="2795"/>
    </row>
    <row r="2137" spans="1:29" ht="12.75" customHeight="1" x14ac:dyDescent="0.2">
      <c r="A2137" s="2029">
        <v>211</v>
      </c>
      <c r="B2137" s="4995"/>
      <c r="C2137" s="2112"/>
      <c r="H2137" s="413"/>
      <c r="M2137" s="1959"/>
      <c r="N2137" s="100"/>
      <c r="O2137" s="468" t="s">
        <v>10119</v>
      </c>
      <c r="P2137" s="2811">
        <v>20</v>
      </c>
      <c r="Q2137" s="575">
        <v>-30</v>
      </c>
      <c r="R2137" s="2818">
        <f>COUNTIF(PoderesDeCriatura_Adquiridos,Tablas!O2137)</f>
        <v>0</v>
      </c>
      <c r="S2137" s="422"/>
      <c r="T2137" s="2809"/>
      <c r="U2137" s="576"/>
      <c r="Y2137" s="2112"/>
      <c r="AB2137" s="413"/>
      <c r="AC2137" s="2795"/>
    </row>
    <row r="2138" spans="1:29" ht="12.75" customHeight="1" x14ac:dyDescent="0.2">
      <c r="A2138" s="2029">
        <v>211</v>
      </c>
      <c r="B2138" s="4995"/>
      <c r="C2138" s="2112"/>
      <c r="H2138" s="413"/>
      <c r="M2138" s="1959"/>
      <c r="N2138" s="100"/>
      <c r="O2138" s="468" t="s">
        <v>10120</v>
      </c>
      <c r="P2138" s="2827">
        <v>20</v>
      </c>
      <c r="Q2138" s="2695">
        <v>40</v>
      </c>
      <c r="R2138" s="2818">
        <f>COUNTIF(PoderesDeCriatura_Adquiridos,Tablas!O2138)</f>
        <v>0</v>
      </c>
      <c r="S2138" s="422"/>
      <c r="T2138" s="2809"/>
      <c r="U2138" s="576"/>
      <c r="Y2138" s="2112"/>
      <c r="AB2138" s="413"/>
      <c r="AC2138" s="2795"/>
    </row>
    <row r="2139" spans="1:29" ht="12.75" customHeight="1" x14ac:dyDescent="0.2">
      <c r="A2139" s="2029">
        <v>211</v>
      </c>
      <c r="B2139" s="4995"/>
      <c r="C2139" s="2112"/>
      <c r="H2139" s="413"/>
      <c r="M2139" s="1959"/>
      <c r="N2139" s="100"/>
      <c r="O2139" s="468" t="s">
        <v>10121</v>
      </c>
      <c r="P2139" s="2829">
        <v>20</v>
      </c>
      <c r="Q2139" s="2695">
        <v>60</v>
      </c>
      <c r="R2139" s="2818">
        <f>COUNTIF(PoderesDeCriatura_Adquiridos,Tablas!O2139)</f>
        <v>0</v>
      </c>
      <c r="S2139" s="422"/>
      <c r="T2139" s="2809"/>
      <c r="U2139" s="576"/>
      <c r="Y2139" s="2112"/>
      <c r="AB2139" s="413"/>
      <c r="AC2139" s="2795"/>
    </row>
    <row r="2140" spans="1:29" ht="12.75" customHeight="1" x14ac:dyDescent="0.2">
      <c r="A2140" s="2029">
        <v>211</v>
      </c>
      <c r="B2140" s="4995"/>
      <c r="C2140" s="2112"/>
      <c r="H2140" s="413"/>
      <c r="M2140" s="1959"/>
      <c r="N2140" s="100"/>
      <c r="O2140" s="468" t="s">
        <v>10122</v>
      </c>
      <c r="P2140" s="2827">
        <v>25</v>
      </c>
      <c r="Q2140" s="2695">
        <v>80</v>
      </c>
      <c r="R2140" s="2818">
        <f>COUNTIF(PoderesDeCriatura_Adquiridos,Tablas!O2140)</f>
        <v>0</v>
      </c>
      <c r="S2140" s="422"/>
      <c r="T2140" s="2809"/>
      <c r="U2140" s="576"/>
      <c r="Y2140" s="2112"/>
      <c r="AB2140" s="413"/>
      <c r="AC2140" s="2795"/>
    </row>
    <row r="2141" spans="1:29" ht="12.75" customHeight="1" x14ac:dyDescent="0.2">
      <c r="A2141" s="2029">
        <v>211</v>
      </c>
      <c r="B2141" s="4995"/>
      <c r="C2141" s="2112"/>
      <c r="H2141" s="413"/>
      <c r="M2141" s="1959"/>
      <c r="N2141" s="100"/>
      <c r="O2141" s="468" t="s">
        <v>10123</v>
      </c>
      <c r="P2141" s="2827">
        <v>25</v>
      </c>
      <c r="Q2141" s="2695">
        <v>100</v>
      </c>
      <c r="R2141" s="2818">
        <f>COUNTIF(PoderesDeCriatura_Adquiridos,Tablas!O2141)</f>
        <v>0</v>
      </c>
      <c r="S2141" s="422"/>
      <c r="T2141" s="2809"/>
      <c r="U2141" s="576"/>
      <c r="Y2141" s="2112"/>
      <c r="AB2141" s="413"/>
      <c r="AC2141" s="2795"/>
    </row>
    <row r="2142" spans="1:29" ht="12.75" customHeight="1" x14ac:dyDescent="0.2">
      <c r="A2142" s="2029">
        <v>211</v>
      </c>
      <c r="B2142" s="4995"/>
      <c r="C2142" s="2112"/>
      <c r="H2142" s="413"/>
      <c r="M2142" s="1959"/>
      <c r="N2142" s="100"/>
      <c r="O2142" s="468" t="s">
        <v>10124</v>
      </c>
      <c r="P2142" s="2827">
        <v>30</v>
      </c>
      <c r="Q2142" s="2695">
        <v>120</v>
      </c>
      <c r="R2142" s="2818">
        <f>COUNTIF(PoderesDeCriatura_Adquiridos,Tablas!O2142)</f>
        <v>0</v>
      </c>
      <c r="S2142" s="422"/>
      <c r="T2142" s="2809"/>
      <c r="U2142" s="576"/>
      <c r="Y2142" s="2112"/>
      <c r="AB2142" s="413"/>
      <c r="AC2142" s="2795"/>
    </row>
    <row r="2143" spans="1:29" ht="12.75" customHeight="1" x14ac:dyDescent="0.2">
      <c r="A2143" s="2029">
        <v>211</v>
      </c>
      <c r="B2143" s="4995"/>
      <c r="C2143" s="2112"/>
      <c r="H2143" s="413"/>
      <c r="M2143" s="1959"/>
      <c r="N2143" s="100"/>
      <c r="O2143" s="468" t="s">
        <v>10125</v>
      </c>
      <c r="P2143" s="2827">
        <v>35</v>
      </c>
      <c r="Q2143" s="2695">
        <v>140</v>
      </c>
      <c r="R2143" s="2818">
        <f>COUNTIF(PoderesDeCriatura_Adquiridos,Tablas!O2143)</f>
        <v>0</v>
      </c>
      <c r="S2143" s="422"/>
      <c r="T2143" s="2809"/>
      <c r="U2143" s="576"/>
      <c r="Y2143" s="2112"/>
      <c r="AB2143" s="413"/>
      <c r="AC2143" s="2795"/>
    </row>
    <row r="2144" spans="1:29" ht="12.75" customHeight="1" x14ac:dyDescent="0.2">
      <c r="A2144" s="2029">
        <v>211</v>
      </c>
      <c r="B2144" s="4995"/>
      <c r="C2144" s="2112"/>
      <c r="H2144" s="413"/>
      <c r="M2144" s="1959"/>
      <c r="N2144" s="100"/>
      <c r="O2144" s="468" t="s">
        <v>10126</v>
      </c>
      <c r="P2144" s="2827">
        <v>20</v>
      </c>
      <c r="Q2144" s="2695">
        <f>20+IF(OR(TipoDeCriatura="Entre mundos, Elemental",TipoDeCriatura="Ánima, Elemental"),10,0)</f>
        <v>20</v>
      </c>
      <c r="R2144" s="2818">
        <f>COUNTIF(PoderesDeCriatura_Adquiridos,Tablas!O2144)</f>
        <v>0</v>
      </c>
      <c r="S2144" s="422"/>
      <c r="T2144" s="2809"/>
      <c r="U2144" s="576"/>
      <c r="Y2144" s="2112"/>
      <c r="AB2144" s="413"/>
      <c r="AC2144" s="2795"/>
    </row>
    <row r="2145" spans="1:29" ht="12.75" customHeight="1" x14ac:dyDescent="0.2">
      <c r="A2145" s="2029">
        <v>211</v>
      </c>
      <c r="B2145" s="4995"/>
      <c r="C2145" s="2112"/>
      <c r="H2145" s="413"/>
      <c r="M2145" s="1959"/>
      <c r="N2145" s="100"/>
      <c r="O2145" s="468" t="s">
        <v>10127</v>
      </c>
      <c r="P2145" s="2827">
        <v>20</v>
      </c>
      <c r="Q2145" s="2695">
        <f>30+IF(OR(TipoDeCriatura="Entre mundos, Elemental",TipoDeCriatura="Ánima, Elemental"),10,0)</f>
        <v>30</v>
      </c>
      <c r="R2145" s="2818">
        <f>COUNTIF(PoderesDeCriatura_Adquiridos,Tablas!O2145)</f>
        <v>0</v>
      </c>
      <c r="S2145" s="422"/>
      <c r="T2145" s="2809"/>
      <c r="U2145" s="576"/>
      <c r="Y2145" s="2112"/>
      <c r="AB2145" s="413"/>
      <c r="AC2145" s="2795"/>
    </row>
    <row r="2146" spans="1:29" ht="12.75" customHeight="1" x14ac:dyDescent="0.2">
      <c r="A2146" s="2029">
        <v>211</v>
      </c>
      <c r="B2146" s="4995"/>
      <c r="C2146" s="2112"/>
      <c r="H2146" s="413"/>
      <c r="M2146" s="1959"/>
      <c r="N2146" s="100"/>
      <c r="O2146" s="468" t="s">
        <v>10128</v>
      </c>
      <c r="P2146" s="2827">
        <v>25</v>
      </c>
      <c r="Q2146" s="2695">
        <f>40+IF(OR(TipoDeCriatura="Entre mundos, Elemental",TipoDeCriatura="Ánima, Elemental"),10,0)</f>
        <v>40</v>
      </c>
      <c r="R2146" s="2818">
        <f>COUNTIF(PoderesDeCriatura_Adquiridos,Tablas!O2146)</f>
        <v>0</v>
      </c>
      <c r="S2146" s="422"/>
      <c r="T2146" s="2809"/>
      <c r="U2146" s="576"/>
      <c r="Y2146" s="2112"/>
      <c r="AB2146" s="413"/>
      <c r="AC2146" s="2795"/>
    </row>
    <row r="2147" spans="1:29" ht="12.75" customHeight="1" x14ac:dyDescent="0.2">
      <c r="A2147" s="2029">
        <v>211</v>
      </c>
      <c r="B2147" s="4995"/>
      <c r="C2147" s="2112"/>
      <c r="H2147" s="413"/>
      <c r="M2147" s="1959"/>
      <c r="N2147" s="100"/>
      <c r="O2147" s="468" t="s">
        <v>10129</v>
      </c>
      <c r="P2147" s="2827">
        <v>25</v>
      </c>
      <c r="Q2147" s="2695">
        <f>50+IF(OR(TipoDeCriatura="Entre mundos, Elemental",TipoDeCriatura="Ánima, Elemental"),10,0)</f>
        <v>50</v>
      </c>
      <c r="R2147" s="2818">
        <f>COUNTIF(PoderesDeCriatura_Adquiridos,Tablas!O2147)</f>
        <v>0</v>
      </c>
      <c r="S2147" s="422"/>
      <c r="T2147" s="2809"/>
      <c r="U2147" s="576"/>
      <c r="Y2147" s="2112"/>
      <c r="AB2147" s="413"/>
      <c r="AC2147" s="2795"/>
    </row>
    <row r="2148" spans="1:29" ht="12.75" customHeight="1" x14ac:dyDescent="0.2">
      <c r="A2148" s="2029">
        <v>211</v>
      </c>
      <c r="B2148" s="4995"/>
      <c r="C2148" s="2112"/>
      <c r="H2148" s="413"/>
      <c r="M2148" s="1959"/>
      <c r="N2148" s="100"/>
      <c r="O2148" s="468" t="s">
        <v>10130</v>
      </c>
      <c r="P2148" s="2827">
        <v>30</v>
      </c>
      <c r="Q2148" s="2695">
        <f>60+IF(OR(TipoDeCriatura="Entre mundos, Elemental",TipoDeCriatura="Ánima, Elemental"),10,0)</f>
        <v>60</v>
      </c>
      <c r="R2148" s="2818">
        <f>COUNTIF(PoderesDeCriatura_Adquiridos,Tablas!O2148)</f>
        <v>0</v>
      </c>
      <c r="S2148" s="422"/>
      <c r="T2148" s="2809"/>
      <c r="U2148" s="576"/>
      <c r="Y2148" s="2112"/>
      <c r="AB2148" s="413"/>
      <c r="AC2148" s="2795"/>
    </row>
    <row r="2149" spans="1:29" ht="12.75" customHeight="1" x14ac:dyDescent="0.2">
      <c r="A2149" s="2029">
        <v>211</v>
      </c>
      <c r="B2149" s="4995"/>
      <c r="C2149" s="2112"/>
      <c r="H2149" s="413"/>
      <c r="M2149" s="1959"/>
      <c r="N2149" s="100"/>
      <c r="O2149" s="468" t="s">
        <v>10131</v>
      </c>
      <c r="P2149" s="2828">
        <v>35</v>
      </c>
      <c r="Q2149" s="2695">
        <f>80+IF(OR(TipoDeCriatura="Entre mundos, Elemental",TipoDeCriatura="Ánima, Elemental"),10,0)</f>
        <v>80</v>
      </c>
      <c r="R2149" s="2818">
        <f>COUNTIF(PoderesDeCriatura_Adquiridos,Tablas!O2149)</f>
        <v>0</v>
      </c>
      <c r="S2149" s="422"/>
      <c r="T2149" s="2809"/>
      <c r="U2149" s="576"/>
      <c r="Y2149" s="2112"/>
      <c r="AB2149" s="413"/>
      <c r="AC2149" s="2795"/>
    </row>
    <row r="2150" spans="1:29" ht="12.75" customHeight="1" x14ac:dyDescent="0.2">
      <c r="A2150" s="2029">
        <v>211</v>
      </c>
      <c r="B2150" s="4995"/>
      <c r="C2150" s="2112"/>
      <c r="H2150" s="413"/>
      <c r="M2150" s="1959"/>
      <c r="N2150" s="100"/>
      <c r="O2150" s="468" t="s">
        <v>10132</v>
      </c>
      <c r="P2150" s="2827">
        <v>20</v>
      </c>
      <c r="Q2150" s="2695">
        <f>60+IF(OR(TipoDeCriatura="Entre mundos, Elemental",TipoDeCriatura="Ánima, Elemental"),10,0)</f>
        <v>60</v>
      </c>
      <c r="R2150" s="2818">
        <f>COUNTIF(PoderesDeCriatura_Adquiridos,Tablas!O2150)</f>
        <v>0</v>
      </c>
      <c r="S2150" s="422"/>
      <c r="T2150" s="2809"/>
      <c r="U2150" s="576"/>
      <c r="Y2150" s="2112"/>
      <c r="AB2150" s="413"/>
      <c r="AC2150" s="2795"/>
    </row>
    <row r="2151" spans="1:29" ht="12.75" customHeight="1" x14ac:dyDescent="0.2">
      <c r="A2151" s="2029">
        <v>211</v>
      </c>
      <c r="B2151" s="4995"/>
      <c r="C2151" s="2112"/>
      <c r="H2151" s="413"/>
      <c r="M2151" s="1959"/>
      <c r="N2151" s="100"/>
      <c r="O2151" s="468" t="s">
        <v>10133</v>
      </c>
      <c r="P2151" s="2827">
        <v>30</v>
      </c>
      <c r="Q2151" s="2695">
        <f>80+IF(OR(TipoDeCriatura="Entre mundos, Elemental",TipoDeCriatura="Ánima, Elemental"),10,0)</f>
        <v>80</v>
      </c>
      <c r="R2151" s="2818">
        <f>COUNTIF(PoderesDeCriatura_Adquiridos,Tablas!O2151)</f>
        <v>0</v>
      </c>
      <c r="S2151" s="422"/>
      <c r="T2151" s="2809"/>
      <c r="U2151" s="576"/>
      <c r="Y2151" s="2112"/>
      <c r="AB2151" s="413"/>
      <c r="AC2151" s="2795"/>
    </row>
    <row r="2152" spans="1:29" ht="12.75" customHeight="1" x14ac:dyDescent="0.2">
      <c r="A2152" s="2029">
        <v>211</v>
      </c>
      <c r="B2152" s="4995"/>
      <c r="C2152" s="2112"/>
      <c r="H2152" s="413"/>
      <c r="M2152" s="1959"/>
      <c r="N2152" s="100"/>
      <c r="O2152" s="468" t="s">
        <v>10134</v>
      </c>
      <c r="P2152" s="2827">
        <v>20</v>
      </c>
      <c r="Q2152" s="2695">
        <f>60+IF(OR(TipoDeCriatura="Entre mundos, Elemental",TipoDeCriatura="Ánima, Elemental"),10,0)</f>
        <v>60</v>
      </c>
      <c r="R2152" s="2818">
        <f>COUNTIF(PoderesDeCriatura_Adquiridos,Tablas!O2152)</f>
        <v>0</v>
      </c>
      <c r="S2152" s="422"/>
      <c r="T2152" s="2809"/>
      <c r="U2152" s="576"/>
      <c r="Y2152" s="2112"/>
      <c r="AB2152" s="413"/>
      <c r="AC2152" s="2795"/>
    </row>
    <row r="2153" spans="1:29" ht="12.75" customHeight="1" x14ac:dyDescent="0.2">
      <c r="A2153" s="2029">
        <v>211</v>
      </c>
      <c r="B2153" s="4995"/>
      <c r="C2153" s="2112"/>
      <c r="H2153" s="413"/>
      <c r="M2153" s="1959"/>
      <c r="N2153" s="100"/>
      <c r="O2153" s="468" t="s">
        <v>10135</v>
      </c>
      <c r="P2153" s="2827">
        <v>25</v>
      </c>
      <c r="Q2153" s="2695">
        <f>80+IF(OR(TipoDeCriatura="Entre mundos, Elemental",TipoDeCriatura="Ánima, Elemental"),10,0)</f>
        <v>80</v>
      </c>
      <c r="R2153" s="2818">
        <f>COUNTIF(PoderesDeCriatura_Adquiridos,Tablas!O2153)</f>
        <v>0</v>
      </c>
      <c r="S2153" s="422"/>
      <c r="T2153" s="2809"/>
      <c r="U2153" s="576"/>
      <c r="Y2153" s="2112"/>
      <c r="AB2153" s="413"/>
      <c r="AC2153" s="2795"/>
    </row>
    <row r="2154" spans="1:29" ht="12.75" customHeight="1" x14ac:dyDescent="0.2">
      <c r="A2154" s="2029">
        <v>211</v>
      </c>
      <c r="B2154" s="4995"/>
      <c r="C2154" s="2112"/>
      <c r="H2154" s="413"/>
      <c r="M2154" s="1959"/>
      <c r="N2154" s="100"/>
      <c r="O2154" s="468" t="s">
        <v>10136</v>
      </c>
      <c r="P2154" s="2827">
        <v>20</v>
      </c>
      <c r="Q2154" s="2695">
        <f>100+IF(OR(TipoDeCriatura="Entre mundos, Elemental",TipoDeCriatura="Ánima, Elemental"),10,0)</f>
        <v>100</v>
      </c>
      <c r="R2154" s="2818">
        <f>COUNTIF(PoderesDeCriatura_Adquiridos,Tablas!O2154)</f>
        <v>0</v>
      </c>
      <c r="S2154" s="422"/>
      <c r="T2154" s="2809"/>
      <c r="U2154" s="576"/>
      <c r="Y2154" s="2112"/>
      <c r="AB2154" s="413"/>
      <c r="AC2154" s="2795"/>
    </row>
    <row r="2155" spans="1:29" ht="12.75" customHeight="1" x14ac:dyDescent="0.2">
      <c r="A2155" s="2029">
        <v>211</v>
      </c>
      <c r="B2155" s="4995"/>
      <c r="C2155" s="2112"/>
      <c r="H2155" s="413"/>
      <c r="M2155" s="1959"/>
      <c r="N2155" s="100"/>
      <c r="O2155" s="468" t="s">
        <v>10137</v>
      </c>
      <c r="P2155" s="2827">
        <v>20</v>
      </c>
      <c r="Q2155" s="2695">
        <f>80+IF(OR(TipoDeCriatura="Entre mundos, Elemental",TipoDeCriatura="Ánima, Elemental"),10,0)</f>
        <v>80</v>
      </c>
      <c r="R2155" s="2818">
        <f>COUNTIF(PoderesDeCriatura_Adquiridos,Tablas!O2155)</f>
        <v>0</v>
      </c>
      <c r="S2155" s="422"/>
      <c r="T2155" s="2809"/>
      <c r="U2155" s="576"/>
      <c r="Y2155" s="2112"/>
      <c r="AB2155" s="413"/>
      <c r="AC2155" s="2795"/>
    </row>
    <row r="2156" spans="1:29" ht="12.75" customHeight="1" x14ac:dyDescent="0.2">
      <c r="A2156" s="2029">
        <v>211</v>
      </c>
      <c r="B2156" s="4995"/>
      <c r="C2156" s="2112"/>
      <c r="H2156" s="413"/>
      <c r="M2156" s="1959"/>
      <c r="N2156" s="100"/>
      <c r="O2156" s="468" t="s">
        <v>10138</v>
      </c>
      <c r="P2156" s="2827">
        <v>30</v>
      </c>
      <c r="Q2156" s="2695">
        <f>120+IF(OR(TipoDeCriatura="Entre mundos, Elemental",TipoDeCriatura="Ánima, Elemental"),10,0)</f>
        <v>120</v>
      </c>
      <c r="R2156" s="2818">
        <f>COUNTIF(PoderesDeCriatura_Adquiridos,Tablas!O2156)</f>
        <v>0</v>
      </c>
      <c r="S2156" s="422"/>
      <c r="T2156" s="2809"/>
      <c r="U2156" s="576"/>
      <c r="Y2156" s="2112"/>
      <c r="AB2156" s="413"/>
      <c r="AC2156" s="2795"/>
    </row>
    <row r="2157" spans="1:29" ht="12.75" customHeight="1" x14ac:dyDescent="0.2">
      <c r="A2157" s="2029">
        <v>211</v>
      </c>
      <c r="B2157" s="4995"/>
      <c r="C2157" s="2112"/>
      <c r="H2157" s="413"/>
      <c r="M2157" s="1959"/>
      <c r="N2157" s="100"/>
      <c r="O2157" s="468" t="s">
        <v>10139</v>
      </c>
      <c r="P2157" s="2827">
        <v>20</v>
      </c>
      <c r="Q2157" s="2695">
        <f>60+IF(OR(TipoDeCriatura="Entre mundos, Elemental",TipoDeCriatura="Ánima, Elemental"),10,0)</f>
        <v>60</v>
      </c>
      <c r="R2157" s="2818">
        <f>COUNTIF(PoderesDeCriatura_Adquiridos,Tablas!O2157)</f>
        <v>0</v>
      </c>
      <c r="S2157" s="422"/>
      <c r="T2157" s="2809"/>
      <c r="U2157" s="576"/>
      <c r="Y2157" s="2112"/>
      <c r="AB2157" s="413"/>
      <c r="AC2157" s="2795"/>
    </row>
    <row r="2158" spans="1:29" ht="12.75" customHeight="1" x14ac:dyDescent="0.2">
      <c r="A2158" s="2029">
        <v>211</v>
      </c>
      <c r="B2158" s="4995"/>
      <c r="C2158" s="2112"/>
      <c r="H2158" s="413"/>
      <c r="M2158" s="1959"/>
      <c r="N2158" s="100"/>
      <c r="O2158" s="468" t="s">
        <v>10140</v>
      </c>
      <c r="P2158" s="2827">
        <v>20</v>
      </c>
      <c r="Q2158" s="2695">
        <f>80+IF(OR(TipoDeCriatura="Entre mundos, Elemental",TipoDeCriatura="Ánima, Elemental"),10,0)</f>
        <v>80</v>
      </c>
      <c r="R2158" s="2818">
        <f>COUNTIF(PoderesDeCriatura_Adquiridos,Tablas!O2158)</f>
        <v>0</v>
      </c>
      <c r="S2158" s="422"/>
      <c r="T2158" s="2809"/>
      <c r="U2158" s="576"/>
      <c r="Y2158" s="2112"/>
      <c r="AB2158" s="413"/>
      <c r="AC2158" s="2795"/>
    </row>
    <row r="2159" spans="1:29" ht="12.75" customHeight="1" x14ac:dyDescent="0.2">
      <c r="A2159" s="2029">
        <v>211</v>
      </c>
      <c r="B2159" s="4995"/>
      <c r="C2159" s="2112"/>
      <c r="H2159" s="413"/>
      <c r="M2159" s="1959"/>
      <c r="N2159" s="100"/>
      <c r="O2159" s="468" t="s">
        <v>10141</v>
      </c>
      <c r="P2159" s="2827">
        <v>20</v>
      </c>
      <c r="Q2159" s="2695">
        <f>40+IF(OR(TipoDeCriatura="Entre mundos, Elemental",TipoDeCriatura="Ánima, Elemental"),10,0)</f>
        <v>40</v>
      </c>
      <c r="R2159" s="2818">
        <f>COUNTIF(PoderesDeCriatura_Adquiridos,Tablas!O2159)</f>
        <v>0</v>
      </c>
      <c r="S2159" s="422"/>
      <c r="T2159" s="2809"/>
      <c r="U2159" s="576"/>
      <c r="Y2159" s="2112"/>
      <c r="AB2159" s="413"/>
      <c r="AC2159" s="2795"/>
    </row>
    <row r="2160" spans="1:29" ht="12.75" customHeight="1" x14ac:dyDescent="0.2">
      <c r="A2160" s="2029">
        <v>211</v>
      </c>
      <c r="B2160" s="4995"/>
      <c r="C2160" s="2112"/>
      <c r="H2160" s="413"/>
      <c r="M2160" s="1959"/>
      <c r="N2160" s="100"/>
      <c r="O2160" s="468" t="s">
        <v>10142</v>
      </c>
      <c r="P2160" s="2827">
        <v>20</v>
      </c>
      <c r="Q2160" s="2695">
        <f>40+IF(OR(TipoDeCriatura="Entre mundos, Elemental",TipoDeCriatura="Ánima, Elemental"),10,0)</f>
        <v>40</v>
      </c>
      <c r="R2160" s="2818">
        <f>COUNTIF(PoderesDeCriatura_Adquiridos,Tablas!O2160)</f>
        <v>0</v>
      </c>
      <c r="S2160" s="422"/>
      <c r="T2160" s="2809"/>
      <c r="U2160" s="576"/>
      <c r="Y2160" s="2112"/>
      <c r="AB2160" s="413"/>
      <c r="AC2160" s="2795"/>
    </row>
    <row r="2161" spans="1:29" ht="12.75" customHeight="1" x14ac:dyDescent="0.2">
      <c r="A2161" s="2029">
        <v>211</v>
      </c>
      <c r="B2161" s="4995"/>
      <c r="C2161" s="2112"/>
      <c r="H2161" s="413"/>
      <c r="M2161" s="1959"/>
      <c r="N2161" s="100"/>
      <c r="O2161" s="468" t="s">
        <v>10143</v>
      </c>
      <c r="P2161" s="2827">
        <v>20</v>
      </c>
      <c r="Q2161" s="2695">
        <f>40+IF(OR(TipoDeCriatura="Entre mundos, Elemental",TipoDeCriatura="Ánima, Elemental"),10,0)</f>
        <v>40</v>
      </c>
      <c r="R2161" s="2818">
        <f>COUNTIF(PoderesDeCriatura_Adquiridos,Tablas!O2161)</f>
        <v>0</v>
      </c>
      <c r="S2161" s="422"/>
      <c r="T2161" s="2809"/>
      <c r="U2161" s="576"/>
      <c r="Y2161" s="2112"/>
      <c r="AB2161" s="413"/>
      <c r="AC2161" s="2795"/>
    </row>
    <row r="2162" spans="1:29" ht="12.75" customHeight="1" x14ac:dyDescent="0.2">
      <c r="A2162" s="2029">
        <v>211</v>
      </c>
      <c r="B2162" s="4995"/>
      <c r="C2162" s="2112"/>
      <c r="H2162" s="413"/>
      <c r="M2162" s="1959"/>
      <c r="N2162" s="100"/>
      <c r="O2162" s="468" t="s">
        <v>10144</v>
      </c>
      <c r="P2162" s="2827">
        <v>20</v>
      </c>
      <c r="Q2162" s="2695">
        <f>60+IF(OR(TipoDeCriatura="Entre mundos, Elemental",TipoDeCriatura="Ánima, Elemental"),10,0)</f>
        <v>60</v>
      </c>
      <c r="R2162" s="2818">
        <f>COUNTIF(PoderesDeCriatura_Adquiridos,Tablas!O2162)</f>
        <v>0</v>
      </c>
      <c r="S2162" s="422"/>
      <c r="T2162" s="2809"/>
      <c r="U2162" s="576"/>
      <c r="Y2162" s="2112"/>
      <c r="AB2162" s="413"/>
      <c r="AC2162" s="2795"/>
    </row>
    <row r="2163" spans="1:29" ht="12.75" customHeight="1" x14ac:dyDescent="0.2">
      <c r="A2163" s="2029">
        <v>211</v>
      </c>
      <c r="B2163" s="4995"/>
      <c r="C2163" s="2112"/>
      <c r="H2163" s="413"/>
      <c r="M2163" s="1959"/>
      <c r="N2163" s="100"/>
      <c r="O2163" s="468" t="s">
        <v>10145</v>
      </c>
      <c r="P2163" s="2827">
        <v>30</v>
      </c>
      <c r="Q2163" s="2695">
        <f>100+IF(OR(TipoDeCriatura="Entre mundos, Elemental",TipoDeCriatura="Ánima, Elemental"),10,0)</f>
        <v>100</v>
      </c>
      <c r="R2163" s="2818">
        <f>COUNTIF(PoderesDeCriatura_Adquiridos,Tablas!O2163)</f>
        <v>0</v>
      </c>
      <c r="S2163" s="422"/>
      <c r="T2163" s="2809"/>
      <c r="U2163" s="576"/>
      <c r="Y2163" s="2112"/>
      <c r="AB2163" s="413"/>
      <c r="AC2163" s="2795"/>
    </row>
    <row r="2164" spans="1:29" ht="12.75" customHeight="1" x14ac:dyDescent="0.2">
      <c r="A2164" s="2029">
        <v>211</v>
      </c>
      <c r="B2164" s="4995"/>
      <c r="C2164" s="2112"/>
      <c r="H2164" s="413"/>
      <c r="M2164" s="1959"/>
      <c r="N2164" s="100"/>
      <c r="O2164" s="468" t="s">
        <v>10146</v>
      </c>
      <c r="P2164" s="2827">
        <v>20</v>
      </c>
      <c r="Q2164" s="2695">
        <f>120+IF(OR(TipoDeCriatura="Entre mundos, Elemental",TipoDeCriatura="Ánima, Elemental"),10,0)</f>
        <v>120</v>
      </c>
      <c r="R2164" s="2818">
        <f>COUNTIF(PoderesDeCriatura_Adquiridos,Tablas!O2164)</f>
        <v>0</v>
      </c>
      <c r="S2164" s="422"/>
      <c r="T2164" s="2809"/>
      <c r="U2164" s="576"/>
      <c r="Y2164" s="2112"/>
      <c r="AB2164" s="413"/>
      <c r="AC2164" s="2795"/>
    </row>
    <row r="2165" spans="1:29" ht="12.75" customHeight="1" x14ac:dyDescent="0.2">
      <c r="A2165" s="2029">
        <v>211</v>
      </c>
      <c r="B2165" s="4995"/>
      <c r="C2165" s="2112"/>
      <c r="H2165" s="413"/>
      <c r="M2165" s="1959"/>
      <c r="N2165" s="100"/>
      <c r="O2165" s="468" t="s">
        <v>10147</v>
      </c>
      <c r="P2165" s="2827">
        <v>30</v>
      </c>
      <c r="Q2165" s="2695">
        <f>140+IF(OR(TipoDeCriatura="Entre mundos, Elemental",TipoDeCriatura="Ánima, Elemental"),10,0)</f>
        <v>140</v>
      </c>
      <c r="R2165" s="2818">
        <f>COUNTIF(PoderesDeCriatura_Adquiridos,Tablas!O2165)</f>
        <v>0</v>
      </c>
      <c r="S2165" s="422"/>
      <c r="T2165" s="2809"/>
      <c r="U2165" s="576"/>
      <c r="Y2165" s="2112"/>
      <c r="AB2165" s="413"/>
      <c r="AC2165" s="2795"/>
    </row>
    <row r="2166" spans="1:29" ht="12.75" customHeight="1" x14ac:dyDescent="0.2">
      <c r="A2166" s="2029">
        <v>211</v>
      </c>
      <c r="B2166" s="4995"/>
      <c r="C2166" s="2112"/>
      <c r="H2166" s="413"/>
      <c r="M2166" s="1959"/>
      <c r="N2166" s="100"/>
      <c r="O2166" s="468" t="s">
        <v>10148</v>
      </c>
      <c r="P2166" s="2827">
        <v>35</v>
      </c>
      <c r="Q2166" s="2695">
        <f>160+IF(OR(TipoDeCriatura="Entre mundos, Elemental",TipoDeCriatura="Ánima, Elemental"),10,0)</f>
        <v>160</v>
      </c>
      <c r="R2166" s="2818">
        <f>COUNTIF(PoderesDeCriatura_Adquiridos,Tablas!O2166)</f>
        <v>0</v>
      </c>
      <c r="S2166" s="422"/>
      <c r="T2166" s="2809"/>
      <c r="U2166" s="576"/>
      <c r="Y2166" s="2112"/>
      <c r="AB2166" s="413"/>
      <c r="AC2166" s="2795"/>
    </row>
    <row r="2167" spans="1:29" ht="12.75" customHeight="1" x14ac:dyDescent="0.2">
      <c r="A2167" s="2029">
        <v>211</v>
      </c>
      <c r="B2167" s="4995"/>
      <c r="C2167" s="2112"/>
      <c r="H2167" s="413"/>
      <c r="M2167" s="1959"/>
      <c r="N2167" s="100"/>
      <c r="O2167" s="468" t="s">
        <v>10149</v>
      </c>
      <c r="P2167" s="2827">
        <v>20</v>
      </c>
      <c r="Q2167" s="2695">
        <f>40+IF(OR(TipoDeCriatura="Entre mundos, Elemental",TipoDeCriatura="Ánima, Elemental"),10,0)</f>
        <v>40</v>
      </c>
      <c r="R2167" s="2818">
        <f>COUNTIF(PoderesDeCriatura_Adquiridos,Tablas!O2167)</f>
        <v>0</v>
      </c>
      <c r="S2167" s="422"/>
      <c r="T2167" s="2809"/>
      <c r="U2167" s="576"/>
      <c r="Y2167" s="2112"/>
      <c r="AB2167" s="413"/>
      <c r="AC2167" s="2795"/>
    </row>
    <row r="2168" spans="1:29" ht="12.75" customHeight="1" x14ac:dyDescent="0.2">
      <c r="A2168" s="2029">
        <v>211</v>
      </c>
      <c r="B2168" s="4995"/>
      <c r="C2168" s="2112"/>
      <c r="H2168" s="413"/>
      <c r="M2168" s="1959"/>
      <c r="N2168" s="100"/>
      <c r="O2168" s="468" t="s">
        <v>10150</v>
      </c>
      <c r="P2168" s="2827">
        <v>25</v>
      </c>
      <c r="Q2168" s="2695">
        <f>80+IF(OR(TipoDeCriatura="Entre mundos, Elemental",TipoDeCriatura="Ánima, Elemental"),10,0)</f>
        <v>80</v>
      </c>
      <c r="R2168" s="2818">
        <f>COUNTIF(PoderesDeCriatura_Adquiridos,Tablas!O2168)</f>
        <v>0</v>
      </c>
      <c r="S2168" s="422"/>
      <c r="T2168" s="2809"/>
      <c r="U2168" s="576"/>
      <c r="Y2168" s="2112"/>
      <c r="AB2168" s="413"/>
      <c r="AC2168" s="2795"/>
    </row>
    <row r="2169" spans="1:29" ht="12.75" customHeight="1" x14ac:dyDescent="0.2">
      <c r="A2169" s="2029">
        <v>211</v>
      </c>
      <c r="B2169" s="4995"/>
      <c r="C2169" s="2112"/>
      <c r="H2169" s="413"/>
      <c r="M2169" s="1959"/>
      <c r="N2169" s="100"/>
      <c r="O2169" s="468" t="s">
        <v>10151</v>
      </c>
      <c r="P2169" s="2827">
        <v>30</v>
      </c>
      <c r="Q2169" s="2695">
        <f>140+IF(OR(TipoDeCriatura="Entre mundos, Elemental",TipoDeCriatura="Ánima, Elemental"),10,0)</f>
        <v>140</v>
      </c>
      <c r="R2169" s="2818">
        <f>COUNTIF(PoderesDeCriatura_Adquiridos,Tablas!O2169)</f>
        <v>0</v>
      </c>
      <c r="S2169" s="422"/>
      <c r="T2169" s="2809"/>
      <c r="U2169" s="576"/>
      <c r="Y2169" s="2112"/>
      <c r="AB2169" s="413"/>
      <c r="AC2169" s="2795"/>
    </row>
    <row r="2170" spans="1:29" ht="12.75" customHeight="1" x14ac:dyDescent="0.2">
      <c r="A2170" s="2029">
        <v>211</v>
      </c>
      <c r="B2170" s="4995"/>
      <c r="C2170" s="2112"/>
      <c r="H2170" s="413"/>
      <c r="M2170" s="1959"/>
      <c r="N2170" s="100"/>
      <c r="O2170" s="468" t="s">
        <v>10152</v>
      </c>
      <c r="P2170" s="2827">
        <v>20</v>
      </c>
      <c r="Q2170" s="2695">
        <f>100+IF(OR(TipoDeCriatura="Entre mundos, Elemental",TipoDeCriatura="Ánima, Elemental"),10,0)</f>
        <v>100</v>
      </c>
      <c r="R2170" s="2818">
        <f>COUNTIF(PoderesDeCriatura_Adquiridos,Tablas!O2170)</f>
        <v>0</v>
      </c>
      <c r="S2170" s="422"/>
      <c r="T2170" s="2809"/>
      <c r="U2170" s="576"/>
      <c r="Y2170" s="2112"/>
      <c r="AB2170" s="413"/>
      <c r="AC2170" s="2795"/>
    </row>
    <row r="2171" spans="1:29" ht="12.75" customHeight="1" x14ac:dyDescent="0.2">
      <c r="A2171" s="2029">
        <v>211</v>
      </c>
      <c r="B2171" s="4995"/>
      <c r="C2171" s="2112"/>
      <c r="H2171" s="413"/>
      <c r="M2171" s="1959"/>
      <c r="N2171" s="100"/>
      <c r="O2171" s="468" t="s">
        <v>10153</v>
      </c>
      <c r="P2171" s="2827">
        <v>20</v>
      </c>
      <c r="Q2171" s="2695">
        <f>10+IF(OR(TipoDeCriatura="Entre mundos, Elemental",TipoDeCriatura="Ánima, Elemental"),10,0)</f>
        <v>10</v>
      </c>
      <c r="R2171" s="2818">
        <f>COUNTIF(PoderesDeCriatura_Adquiridos,Tablas!O2171)</f>
        <v>0</v>
      </c>
      <c r="S2171" s="422"/>
      <c r="T2171" s="2809"/>
      <c r="U2171" s="576"/>
      <c r="Y2171" s="2112"/>
      <c r="AB2171" s="413"/>
      <c r="AC2171" s="2795"/>
    </row>
    <row r="2172" spans="1:29" ht="12.75" customHeight="1" x14ac:dyDescent="0.2">
      <c r="A2172" s="2029">
        <v>211</v>
      </c>
      <c r="B2172" s="4995"/>
      <c r="C2172" s="2112"/>
      <c r="H2172" s="413"/>
      <c r="M2172" s="1959"/>
      <c r="N2172" s="100"/>
      <c r="O2172" s="468" t="s">
        <v>10154</v>
      </c>
      <c r="P2172" s="2827">
        <v>20</v>
      </c>
      <c r="Q2172" s="2695">
        <v>-30</v>
      </c>
      <c r="R2172" s="2818">
        <f>COUNTIF(PoderesDeCriatura_Adquiridos,Tablas!O2172)</f>
        <v>0</v>
      </c>
      <c r="S2172" s="422"/>
      <c r="T2172" s="2809"/>
      <c r="U2172" s="576"/>
      <c r="Y2172" s="2112"/>
      <c r="AB2172" s="413"/>
      <c r="AC2172" s="2795"/>
    </row>
    <row r="2173" spans="1:29" ht="12.75" customHeight="1" x14ac:dyDescent="0.2">
      <c r="A2173" s="2029">
        <v>211</v>
      </c>
      <c r="B2173" s="4995"/>
      <c r="C2173" s="2112"/>
      <c r="H2173" s="413"/>
      <c r="M2173" s="1959"/>
      <c r="N2173" s="100"/>
      <c r="O2173" s="468" t="s">
        <v>5</v>
      </c>
      <c r="P2173" s="2827"/>
      <c r="Q2173" s="2695"/>
      <c r="R2173" s="2818">
        <f>COUNTIF(PoderesDeCriatura_Adquiridos,Tablas!O2173)</f>
        <v>0</v>
      </c>
      <c r="S2173" s="422"/>
      <c r="T2173" s="2809"/>
      <c r="U2173" s="576"/>
      <c r="Y2173" s="2112"/>
      <c r="AB2173" s="413"/>
      <c r="AC2173" s="2795"/>
    </row>
    <row r="2174" spans="1:29" ht="12.75" customHeight="1" x14ac:dyDescent="0.2">
      <c r="A2174" s="2029">
        <v>211</v>
      </c>
      <c r="B2174" s="4995"/>
      <c r="C2174" s="2112"/>
      <c r="H2174" s="413"/>
      <c r="M2174" s="1959"/>
      <c r="N2174" s="100"/>
      <c r="O2174" s="468" t="s">
        <v>10155</v>
      </c>
      <c r="P2174" s="2811">
        <v>0</v>
      </c>
      <c r="Q2174" s="575">
        <v>10</v>
      </c>
      <c r="R2174" s="2818">
        <f>COUNTIF(PoderesDeCriatura_Adquiridos,Tablas!O2174)</f>
        <v>0</v>
      </c>
      <c r="S2174" s="422"/>
      <c r="T2174" s="2809"/>
      <c r="U2174" s="576"/>
      <c r="Y2174" s="2112"/>
      <c r="AB2174" s="413"/>
      <c r="AC2174" s="2795"/>
    </row>
    <row r="2175" spans="1:29" ht="12.75" customHeight="1" x14ac:dyDescent="0.2">
      <c r="A2175" s="2029">
        <v>211</v>
      </c>
      <c r="B2175" s="4995"/>
      <c r="C2175" s="2112"/>
      <c r="H2175" s="413"/>
      <c r="M2175" s="1959"/>
      <c r="N2175" s="100"/>
      <c r="O2175" s="468" t="s">
        <v>10156</v>
      </c>
      <c r="P2175" s="2811">
        <v>10</v>
      </c>
      <c r="Q2175" s="575">
        <v>20</v>
      </c>
      <c r="R2175" s="2818">
        <f>COUNTIF(PoderesDeCriatura_Adquiridos,Tablas!O2175)</f>
        <v>0</v>
      </c>
      <c r="S2175" s="422"/>
      <c r="T2175" s="2809"/>
      <c r="U2175" s="576"/>
      <c r="Y2175" s="2112"/>
      <c r="AB2175" s="413"/>
      <c r="AC2175" s="2795"/>
    </row>
    <row r="2176" spans="1:29" ht="12.75" customHeight="1" x14ac:dyDescent="0.2">
      <c r="A2176" s="2029">
        <v>211</v>
      </c>
      <c r="B2176" s="4995"/>
      <c r="C2176" s="2112"/>
      <c r="H2176" s="413"/>
      <c r="M2176" s="1959"/>
      <c r="N2176" s="100"/>
      <c r="O2176" s="468" t="s">
        <v>10157</v>
      </c>
      <c r="P2176" s="2811">
        <v>10</v>
      </c>
      <c r="Q2176" s="575">
        <v>30</v>
      </c>
      <c r="R2176" s="2818">
        <f>COUNTIF(PoderesDeCriatura_Adquiridos,Tablas!O2176)</f>
        <v>0</v>
      </c>
      <c r="S2176" s="422"/>
      <c r="T2176" s="2809"/>
      <c r="U2176" s="576"/>
      <c r="Y2176" s="2112"/>
      <c r="AB2176" s="413"/>
      <c r="AC2176" s="2795"/>
    </row>
    <row r="2177" spans="1:29" ht="12.75" customHeight="1" x14ac:dyDescent="0.2">
      <c r="A2177" s="2029">
        <v>211</v>
      </c>
      <c r="B2177" s="4995"/>
      <c r="C2177" s="2112"/>
      <c r="H2177" s="413"/>
      <c r="M2177" s="1959"/>
      <c r="N2177" s="100"/>
      <c r="O2177" s="468" t="s">
        <v>10158</v>
      </c>
      <c r="P2177" s="2811">
        <v>10</v>
      </c>
      <c r="Q2177" s="575">
        <v>10</v>
      </c>
      <c r="R2177" s="2818">
        <f>COUNTIF(PoderesDeCriatura_Adquiridos,Tablas!O2177)</f>
        <v>0</v>
      </c>
      <c r="S2177" s="422"/>
      <c r="T2177" s="2809"/>
      <c r="U2177" s="576"/>
      <c r="Y2177" s="2112"/>
      <c r="AB2177" s="413"/>
      <c r="AC2177" s="2795"/>
    </row>
    <row r="2178" spans="1:29" ht="12.75" customHeight="1" x14ac:dyDescent="0.2">
      <c r="A2178" s="2029">
        <v>211</v>
      </c>
      <c r="B2178" s="4995"/>
      <c r="C2178" s="2112"/>
      <c r="H2178" s="413"/>
      <c r="M2178" s="1959"/>
      <c r="N2178" s="100"/>
      <c r="O2178" s="468" t="s">
        <v>10159</v>
      </c>
      <c r="P2178" s="2811">
        <v>10</v>
      </c>
      <c r="Q2178" s="575">
        <v>10</v>
      </c>
      <c r="R2178" s="2818">
        <f>COUNTIF(PoderesDeCriatura_Adquiridos,Tablas!O2178)</f>
        <v>0</v>
      </c>
      <c r="S2178" s="422"/>
      <c r="T2178" s="2809"/>
      <c r="U2178" s="576"/>
      <c r="Y2178" s="2112"/>
      <c r="AB2178" s="413"/>
      <c r="AC2178" s="2795"/>
    </row>
    <row r="2179" spans="1:29" ht="12.75" customHeight="1" x14ac:dyDescent="0.2">
      <c r="A2179" s="2029">
        <v>211</v>
      </c>
      <c r="B2179" s="4995"/>
      <c r="C2179" s="2112"/>
      <c r="H2179" s="413"/>
      <c r="M2179" s="1959"/>
      <c r="N2179" s="100"/>
      <c r="O2179" s="468" t="s">
        <v>10160</v>
      </c>
      <c r="P2179" s="2811">
        <v>10</v>
      </c>
      <c r="Q2179" s="575">
        <v>10</v>
      </c>
      <c r="R2179" s="2818">
        <f>COUNTIF(PoderesDeCriatura_Adquiridos,Tablas!O2179)</f>
        <v>0</v>
      </c>
      <c r="S2179" s="422"/>
      <c r="T2179" s="2809"/>
      <c r="U2179" s="576"/>
      <c r="Y2179" s="2112"/>
      <c r="AB2179" s="413"/>
      <c r="AC2179" s="2795"/>
    </row>
    <row r="2180" spans="1:29" ht="12.75" customHeight="1" x14ac:dyDescent="0.2">
      <c r="A2180" s="2029">
        <v>211</v>
      </c>
      <c r="B2180" s="4995"/>
      <c r="C2180" s="2112"/>
      <c r="H2180" s="413"/>
      <c r="M2180" s="1959"/>
      <c r="N2180" s="100"/>
      <c r="O2180" s="468" t="s">
        <v>10161</v>
      </c>
      <c r="P2180" s="2811">
        <v>20</v>
      </c>
      <c r="Q2180" s="575">
        <v>30</v>
      </c>
      <c r="R2180" s="2818">
        <f>COUNTIF(PoderesDeCriatura_Adquiridos,Tablas!O2180)</f>
        <v>0</v>
      </c>
      <c r="S2180" s="422"/>
      <c r="T2180" s="2809"/>
      <c r="U2180" s="576"/>
      <c r="Y2180" s="2112"/>
      <c r="AB2180" s="413"/>
      <c r="AC2180" s="2795"/>
    </row>
    <row r="2181" spans="1:29" ht="12.75" customHeight="1" x14ac:dyDescent="0.2">
      <c r="A2181" s="2029">
        <v>211</v>
      </c>
      <c r="B2181" s="4995"/>
      <c r="C2181" s="2625" t="str">
        <f t="shared" ref="C2181" si="114">C2176&amp;" "&amp;D2176</f>
        <v xml:space="preserve"> </v>
      </c>
      <c r="H2181" s="413"/>
      <c r="M2181" s="1959"/>
      <c r="N2181" s="100"/>
      <c r="O2181" s="468" t="s">
        <v>10162</v>
      </c>
      <c r="P2181" s="2811">
        <v>0</v>
      </c>
      <c r="Q2181" s="575">
        <v>10</v>
      </c>
      <c r="R2181" s="2818">
        <f>COUNTIF(PoderesDeCriatura_Adquiridos,Tablas!O2181)</f>
        <v>0</v>
      </c>
      <c r="S2181" s="422"/>
      <c r="T2181" s="2809"/>
      <c r="U2181" s="576"/>
      <c r="Y2181" s="2112"/>
      <c r="AB2181" s="413"/>
      <c r="AC2181" s="2795"/>
    </row>
    <row r="2182" spans="1:29" ht="12.75" customHeight="1" x14ac:dyDescent="0.2">
      <c r="A2182" s="2029">
        <v>211</v>
      </c>
      <c r="B2182" s="4995"/>
      <c r="C2182" s="2112"/>
      <c r="H2182" s="413"/>
      <c r="M2182" s="1959"/>
      <c r="N2182" s="100"/>
      <c r="O2182" s="468" t="s">
        <v>10163</v>
      </c>
      <c r="P2182" s="2811">
        <v>10</v>
      </c>
      <c r="Q2182" s="575">
        <v>20</v>
      </c>
      <c r="R2182" s="2818">
        <f>COUNTIF(PoderesDeCriatura_Adquiridos,Tablas!O2182)</f>
        <v>0</v>
      </c>
      <c r="S2182" s="422"/>
      <c r="T2182" s="2809"/>
      <c r="U2182" s="576"/>
      <c r="Y2182" s="2112"/>
      <c r="AB2182" s="413"/>
      <c r="AC2182" s="2795"/>
    </row>
    <row r="2183" spans="1:29" ht="12.75" customHeight="1" x14ac:dyDescent="0.2">
      <c r="A2183" s="2029">
        <v>211</v>
      </c>
      <c r="B2183" s="4995"/>
      <c r="C2183" s="2112"/>
      <c r="H2183" s="413"/>
      <c r="M2183" s="1959"/>
      <c r="N2183" s="100"/>
      <c r="O2183" s="468" t="s">
        <v>10164</v>
      </c>
      <c r="P2183" s="2811">
        <v>10</v>
      </c>
      <c r="Q2183" s="575">
        <v>30</v>
      </c>
      <c r="R2183" s="2818">
        <f>COUNTIF(PoderesDeCriatura_Adquiridos,Tablas!O2183)</f>
        <v>0</v>
      </c>
      <c r="S2183" s="422"/>
      <c r="T2183" s="2809"/>
      <c r="U2183" s="576"/>
      <c r="Y2183" s="2112"/>
      <c r="AB2183" s="413"/>
      <c r="AC2183" s="2795"/>
    </row>
    <row r="2184" spans="1:29" ht="12.75" customHeight="1" x14ac:dyDescent="0.2">
      <c r="A2184" s="2029">
        <v>211</v>
      </c>
      <c r="B2184" s="4995"/>
      <c r="C2184" s="2112"/>
      <c r="H2184" s="413"/>
      <c r="M2184" s="1959"/>
      <c r="N2184" s="100"/>
      <c r="O2184" s="468" t="s">
        <v>10165</v>
      </c>
      <c r="P2184" s="2811">
        <v>10</v>
      </c>
      <c r="Q2184" s="575">
        <v>10</v>
      </c>
      <c r="R2184" s="2818">
        <f>COUNTIF(PoderesDeCriatura_Adquiridos,Tablas!O2184)</f>
        <v>0</v>
      </c>
      <c r="S2184" s="422"/>
      <c r="T2184" s="2809"/>
      <c r="U2184" s="576"/>
      <c r="Y2184" s="2112"/>
      <c r="AB2184" s="413"/>
      <c r="AC2184" s="2795"/>
    </row>
    <row r="2185" spans="1:29" ht="12.75" customHeight="1" x14ac:dyDescent="0.2">
      <c r="A2185" s="2029">
        <v>211</v>
      </c>
      <c r="B2185" s="4995"/>
      <c r="C2185" s="2112"/>
      <c r="H2185" s="413"/>
      <c r="M2185" s="1959"/>
      <c r="N2185" s="100"/>
      <c r="O2185" s="468" t="s">
        <v>10166</v>
      </c>
      <c r="P2185" s="2811">
        <v>10</v>
      </c>
      <c r="Q2185" s="575">
        <v>10</v>
      </c>
      <c r="R2185" s="2818">
        <f>COUNTIF(PoderesDeCriatura_Adquiridos,Tablas!O2185)</f>
        <v>0</v>
      </c>
      <c r="S2185" s="422"/>
      <c r="T2185" s="2809"/>
      <c r="U2185" s="576"/>
      <c r="Y2185" s="2112"/>
      <c r="AB2185" s="413"/>
      <c r="AC2185" s="2795"/>
    </row>
    <row r="2186" spans="1:29" ht="12.75" customHeight="1" x14ac:dyDescent="0.2">
      <c r="A2186" s="2029">
        <v>211</v>
      </c>
      <c r="B2186" s="4995"/>
      <c r="C2186" s="2112"/>
      <c r="H2186" s="413"/>
      <c r="M2186" s="1959"/>
      <c r="N2186" s="100"/>
      <c r="O2186" s="468" t="s">
        <v>10167</v>
      </c>
      <c r="P2186" s="2811">
        <v>10</v>
      </c>
      <c r="Q2186" s="575">
        <v>10</v>
      </c>
      <c r="R2186" s="2818">
        <f>COUNTIF(PoderesDeCriatura_Adquiridos,Tablas!O2186)</f>
        <v>0</v>
      </c>
      <c r="S2186" s="422"/>
      <c r="T2186" s="2809"/>
      <c r="U2186" s="576"/>
      <c r="Y2186" s="2112"/>
      <c r="AB2186" s="413"/>
      <c r="AC2186" s="2795"/>
    </row>
    <row r="2187" spans="1:29" ht="12.75" customHeight="1" x14ac:dyDescent="0.2">
      <c r="A2187" s="2029">
        <v>211</v>
      </c>
      <c r="B2187" s="4995"/>
      <c r="C2187" s="2625"/>
      <c r="H2187" s="413"/>
      <c r="M2187" s="1959"/>
      <c r="N2187" s="100"/>
      <c r="O2187" s="468" t="s">
        <v>10168</v>
      </c>
      <c r="P2187" s="2811">
        <v>20</v>
      </c>
      <c r="Q2187" s="575">
        <v>30</v>
      </c>
      <c r="R2187" s="2818">
        <f>COUNTIF(PoderesDeCriatura_Adquiridos,Tablas!O2187)</f>
        <v>0</v>
      </c>
      <c r="S2187" s="422"/>
      <c r="T2187" s="2809"/>
      <c r="U2187" s="576"/>
      <c r="AB2187" s="413"/>
      <c r="AC2187" s="2795"/>
    </row>
    <row r="2188" spans="1:29" ht="12.75" customHeight="1" x14ac:dyDescent="0.2">
      <c r="A2188" s="2029">
        <v>211</v>
      </c>
      <c r="B2188" s="4995"/>
      <c r="C2188" s="2112"/>
      <c r="H2188" s="413"/>
      <c r="M2188" s="1959"/>
      <c r="N2188" s="100"/>
      <c r="O2188" s="468" t="s">
        <v>10169</v>
      </c>
      <c r="P2188" s="2811">
        <v>0</v>
      </c>
      <c r="Q2188" s="575">
        <f>10+IF(OR(TipoDeCriatura="Entre mundos, Elemental",TipoDeCriatura="Ánima, Elemental"),10,0)</f>
        <v>10</v>
      </c>
      <c r="R2188" s="2818">
        <f>COUNTIF(PoderesDeCriatura_Adquiridos,Tablas!O2188)</f>
        <v>0</v>
      </c>
      <c r="S2188" s="422"/>
      <c r="T2188" s="2809"/>
      <c r="U2188" s="576"/>
      <c r="AB2188" s="413"/>
      <c r="AC2188" s="2795"/>
    </row>
    <row r="2189" spans="1:29" ht="12.75" customHeight="1" x14ac:dyDescent="0.2">
      <c r="A2189" s="2029">
        <v>211</v>
      </c>
      <c r="B2189" s="4995"/>
      <c r="C2189" s="2112"/>
      <c r="H2189" s="413"/>
      <c r="M2189" s="1959"/>
      <c r="N2189" s="100"/>
      <c r="O2189" s="468" t="s">
        <v>10170</v>
      </c>
      <c r="P2189" s="2811">
        <v>10</v>
      </c>
      <c r="Q2189" s="575">
        <f>20+IF(OR(TipoDeCriatura="Entre mundos, Elemental",TipoDeCriatura="Ánima, Elemental"),10,0)</f>
        <v>20</v>
      </c>
      <c r="R2189" s="2818">
        <f>COUNTIF(PoderesDeCriatura_Adquiridos,Tablas!O2189)</f>
        <v>0</v>
      </c>
      <c r="S2189" s="422"/>
      <c r="T2189" s="2809"/>
      <c r="U2189" s="576"/>
      <c r="AB2189" s="413"/>
      <c r="AC2189" s="2795"/>
    </row>
    <row r="2190" spans="1:29" ht="12.75" customHeight="1" x14ac:dyDescent="0.2">
      <c r="A2190" s="2029">
        <v>211</v>
      </c>
      <c r="B2190" s="4995"/>
      <c r="C2190" s="2112"/>
      <c r="H2190" s="413"/>
      <c r="M2190" s="1959"/>
      <c r="N2190" s="100"/>
      <c r="O2190" s="468" t="s">
        <v>10171</v>
      </c>
      <c r="P2190" s="2811">
        <v>10</v>
      </c>
      <c r="Q2190" s="575">
        <f>30+IF(OR(TipoDeCriatura="Entre mundos, Elemental",TipoDeCriatura="Ánima, Elemental"),10,0)</f>
        <v>30</v>
      </c>
      <c r="R2190" s="2818">
        <f>COUNTIF(PoderesDeCriatura_Adquiridos,Tablas!O2190)</f>
        <v>0</v>
      </c>
      <c r="S2190" s="422"/>
      <c r="T2190" s="2809"/>
      <c r="U2190" s="576"/>
      <c r="AB2190" s="413"/>
      <c r="AC2190" s="2795"/>
    </row>
    <row r="2191" spans="1:29" ht="12.75" customHeight="1" x14ac:dyDescent="0.2">
      <c r="A2191" s="2029">
        <v>211</v>
      </c>
      <c r="B2191" s="4995"/>
      <c r="C2191" s="2112"/>
      <c r="H2191" s="413"/>
      <c r="M2191" s="1959"/>
      <c r="N2191" s="100"/>
      <c r="O2191" s="468" t="s">
        <v>10172</v>
      </c>
      <c r="P2191" s="2811">
        <v>10</v>
      </c>
      <c r="Q2191" s="575">
        <f>10+IF(OR(TipoDeCriatura="Entre mundos, Elemental",TipoDeCriatura="Ánima, Elemental"),10,0)</f>
        <v>10</v>
      </c>
      <c r="R2191" s="2818">
        <f>COUNTIF(PoderesDeCriatura_Adquiridos,Tablas!O2191)</f>
        <v>0</v>
      </c>
      <c r="S2191" s="422"/>
      <c r="T2191" s="2809"/>
      <c r="U2191" s="576"/>
      <c r="AB2191" s="413"/>
      <c r="AC2191" s="2795"/>
    </row>
    <row r="2192" spans="1:29" ht="12.75" customHeight="1" x14ac:dyDescent="0.2">
      <c r="A2192" s="2029">
        <v>211</v>
      </c>
      <c r="B2192" s="4995"/>
      <c r="C2192" s="2112"/>
      <c r="H2192" s="413"/>
      <c r="M2192" s="1959"/>
      <c r="N2192" s="100"/>
      <c r="O2192" s="468" t="s">
        <v>10173</v>
      </c>
      <c r="P2192" s="2811">
        <v>10</v>
      </c>
      <c r="Q2192" s="575">
        <f>10+IF(OR(TipoDeCriatura="Entre mundos, Elemental",TipoDeCriatura="Ánima, Elemental"),10,0)</f>
        <v>10</v>
      </c>
      <c r="R2192" s="2818">
        <f>COUNTIF(PoderesDeCriatura_Adquiridos,Tablas!O2192)</f>
        <v>0</v>
      </c>
      <c r="S2192" s="422"/>
      <c r="T2192" s="2809"/>
      <c r="U2192" s="576"/>
      <c r="AB2192" s="413"/>
      <c r="AC2192" s="2795"/>
    </row>
    <row r="2193" spans="1:29" ht="12.75" customHeight="1" x14ac:dyDescent="0.2">
      <c r="A2193" s="2029">
        <v>211</v>
      </c>
      <c r="B2193" s="4995"/>
      <c r="C2193" s="2112"/>
      <c r="H2193" s="413"/>
      <c r="M2193" s="1959"/>
      <c r="N2193" s="100"/>
      <c r="O2193" s="468" t="s">
        <v>10174</v>
      </c>
      <c r="P2193" s="2811">
        <v>10</v>
      </c>
      <c r="Q2193" s="575">
        <f>20+IF(OR(TipoDeCriatura="Entre mundos, Elemental",TipoDeCriatura="Ánima, Elemental"),10,0)</f>
        <v>20</v>
      </c>
      <c r="R2193" s="2818">
        <f>COUNTIF(PoderesDeCriatura_Adquiridos,Tablas!O2193)</f>
        <v>0</v>
      </c>
      <c r="S2193" s="422"/>
      <c r="T2193" s="2809"/>
      <c r="U2193" s="576"/>
      <c r="AB2193" s="413"/>
      <c r="AC2193" s="2795"/>
    </row>
    <row r="2194" spans="1:29" ht="12.75" customHeight="1" x14ac:dyDescent="0.2">
      <c r="A2194" s="2029">
        <v>211</v>
      </c>
      <c r="B2194" s="4995"/>
      <c r="C2194" s="2112"/>
      <c r="H2194" s="413"/>
      <c r="M2194" s="1959"/>
      <c r="N2194" s="100"/>
      <c r="O2194" s="468" t="s">
        <v>10175</v>
      </c>
      <c r="P2194" s="2811">
        <v>20</v>
      </c>
      <c r="Q2194" s="575">
        <f>30+IF(OR(TipoDeCriatura="Entre mundos, Elemental",TipoDeCriatura="Ánima, Elemental"),10,0)</f>
        <v>30</v>
      </c>
      <c r="R2194" s="2818">
        <f>COUNTIF(PoderesDeCriatura_Adquiridos,Tablas!O2194)</f>
        <v>0</v>
      </c>
      <c r="S2194" s="422"/>
      <c r="T2194" s="2809"/>
      <c r="U2194" s="576"/>
      <c r="AB2194" s="413"/>
      <c r="AC2194" s="2795"/>
    </row>
    <row r="2195" spans="1:29" ht="12.75" customHeight="1" x14ac:dyDescent="0.2">
      <c r="A2195" s="2029">
        <v>211</v>
      </c>
      <c r="B2195" s="4995"/>
      <c r="C2195" s="2112"/>
      <c r="H2195" s="413"/>
      <c r="M2195" s="1959"/>
      <c r="N2195" s="100"/>
      <c r="O2195" s="468" t="s">
        <v>11</v>
      </c>
      <c r="P2195" s="2827"/>
      <c r="Q2195" s="2695"/>
      <c r="R2195" s="2818"/>
      <c r="S2195" s="422"/>
      <c r="T2195" s="2809"/>
      <c r="U2195" s="576"/>
      <c r="AB2195" s="413"/>
      <c r="AC2195" s="2795"/>
    </row>
    <row r="2196" spans="1:29" ht="12.75" customHeight="1" x14ac:dyDescent="0.2">
      <c r="A2196" s="2029">
        <v>211</v>
      </c>
      <c r="B2196" s="4995"/>
      <c r="H2196" s="413"/>
      <c r="M2196" s="1959"/>
      <c r="N2196" s="100"/>
      <c r="O2196" s="2" t="s">
        <v>12</v>
      </c>
      <c r="P2196" s="2811">
        <v>5</v>
      </c>
      <c r="Q2196" s="575">
        <v>20</v>
      </c>
      <c r="R2196" s="2818">
        <f>COUNTIF(PoderesDeCriatura_Adquiridos,Tablas!O2196)</f>
        <v>0</v>
      </c>
      <c r="S2196" s="422"/>
      <c r="T2196" s="2809"/>
      <c r="U2196" s="576"/>
      <c r="AB2196" s="413"/>
      <c r="AC2196" s="2795"/>
    </row>
    <row r="2197" spans="1:29" ht="12.75" customHeight="1" x14ac:dyDescent="0.2">
      <c r="A2197" s="2029">
        <v>211</v>
      </c>
      <c r="B2197" s="4995"/>
      <c r="H2197" s="413"/>
      <c r="M2197" s="1959"/>
      <c r="N2197" s="100"/>
      <c r="O2197" s="468" t="s">
        <v>10176</v>
      </c>
      <c r="P2197" s="2811">
        <v>10</v>
      </c>
      <c r="Q2197" s="575">
        <v>10</v>
      </c>
      <c r="R2197" s="2818">
        <f>COUNTIF(PoderesDeCriatura_Adquiridos,Tablas!O2197)</f>
        <v>0</v>
      </c>
      <c r="S2197" s="422"/>
      <c r="T2197" s="2809"/>
      <c r="U2197" s="576"/>
      <c r="AB2197" s="413"/>
      <c r="AC2197" s="2795"/>
    </row>
    <row r="2198" spans="1:29" ht="12.75" customHeight="1" x14ac:dyDescent="0.2">
      <c r="A2198" s="2029">
        <v>211</v>
      </c>
      <c r="B2198" s="4995"/>
      <c r="H2198" s="413"/>
      <c r="M2198" s="1959"/>
      <c r="N2198" s="100"/>
      <c r="O2198" s="468" t="s">
        <v>10177</v>
      </c>
      <c r="P2198" s="2811">
        <v>20</v>
      </c>
      <c r="Q2198" s="575">
        <v>20</v>
      </c>
      <c r="R2198" s="2818">
        <f>COUNTIF(PoderesDeCriatura_Adquiridos,Tablas!O2198)</f>
        <v>0</v>
      </c>
      <c r="S2198" s="422"/>
      <c r="T2198" s="2809"/>
      <c r="U2198" s="576"/>
      <c r="AB2198" s="413"/>
      <c r="AC2198" s="2795"/>
    </row>
    <row r="2199" spans="1:29" ht="12.75" customHeight="1" x14ac:dyDescent="0.2">
      <c r="A2199" s="2029">
        <v>211</v>
      </c>
      <c r="B2199" s="4995"/>
      <c r="H2199" s="413"/>
      <c r="M2199" s="1959"/>
      <c r="N2199" s="100"/>
      <c r="O2199" s="468" t="s">
        <v>10178</v>
      </c>
      <c r="P2199" s="2811">
        <v>25</v>
      </c>
      <c r="Q2199" s="575">
        <v>30</v>
      </c>
      <c r="R2199" s="2818">
        <f>COUNTIF(PoderesDeCriatura_Adquiridos,Tablas!O2199)</f>
        <v>0</v>
      </c>
      <c r="S2199" s="422"/>
      <c r="T2199" s="2809"/>
      <c r="U2199" s="576"/>
      <c r="AB2199" s="413"/>
      <c r="AC2199" s="2795"/>
    </row>
    <row r="2200" spans="1:29" ht="12.75" customHeight="1" x14ac:dyDescent="0.2">
      <c r="A2200" s="2029">
        <v>211</v>
      </c>
      <c r="B2200" s="4995"/>
      <c r="C2200" s="2625"/>
      <c r="H2200" s="413"/>
      <c r="M2200" s="1959"/>
      <c r="N2200" s="100"/>
      <c r="O2200" s="468" t="s">
        <v>10179</v>
      </c>
      <c r="P2200" s="2811">
        <v>30</v>
      </c>
      <c r="Q2200" s="575">
        <v>40</v>
      </c>
      <c r="R2200" s="2818">
        <f>COUNTIF(PoderesDeCriatura_Adquiridos,Tablas!O2200)</f>
        <v>0</v>
      </c>
      <c r="S2200" s="422"/>
      <c r="T2200" s="2809"/>
      <c r="U2200" s="576"/>
      <c r="AB2200" s="413"/>
      <c r="AC2200" s="2795"/>
    </row>
    <row r="2201" spans="1:29" ht="12.75" customHeight="1" x14ac:dyDescent="0.2">
      <c r="A2201" s="2029">
        <v>211</v>
      </c>
      <c r="B2201" s="4995"/>
      <c r="C2201" s="2112"/>
      <c r="H2201" s="413"/>
      <c r="M2201" s="1959"/>
      <c r="N2201" s="100"/>
      <c r="O2201" s="468" t="s">
        <v>10180</v>
      </c>
      <c r="P2201" s="2811">
        <v>5</v>
      </c>
      <c r="Q2201" s="575">
        <v>20</v>
      </c>
      <c r="R2201" s="2818">
        <f>COUNTIF(PoderesDeCriatura_Adquiridos,Tablas!O2201)</f>
        <v>0</v>
      </c>
      <c r="S2201" s="422"/>
      <c r="T2201" s="2809"/>
      <c r="U2201" s="576"/>
      <c r="AB2201" s="413"/>
      <c r="AC2201" s="2795"/>
    </row>
    <row r="2202" spans="1:29" ht="12.75" customHeight="1" x14ac:dyDescent="0.2">
      <c r="A2202" s="2029">
        <v>211</v>
      </c>
      <c r="B2202" s="4995"/>
      <c r="C2202" s="2112"/>
      <c r="H2202" s="413"/>
      <c r="M2202" s="1959"/>
      <c r="N2202" s="100"/>
      <c r="O2202" s="468" t="s">
        <v>10181</v>
      </c>
      <c r="P2202" s="2811">
        <v>10</v>
      </c>
      <c r="Q2202" s="575">
        <v>30</v>
      </c>
      <c r="R2202" s="2818">
        <f>COUNTIF(PoderesDeCriatura_Adquiridos,Tablas!O2202)</f>
        <v>0</v>
      </c>
      <c r="S2202" s="422"/>
      <c r="T2202" s="2809"/>
      <c r="U2202" s="576"/>
      <c r="AB2202" s="413"/>
      <c r="AC2202" s="2795"/>
    </row>
    <row r="2203" spans="1:29" ht="12.75" customHeight="1" x14ac:dyDescent="0.2">
      <c r="A2203" s="2029">
        <v>211</v>
      </c>
      <c r="B2203" s="4995"/>
      <c r="C2203" s="2112"/>
      <c r="H2203" s="413"/>
      <c r="M2203" s="1959"/>
      <c r="N2203" s="100"/>
      <c r="O2203" s="468" t="s">
        <v>10182</v>
      </c>
      <c r="P2203" s="2811">
        <v>15</v>
      </c>
      <c r="Q2203" s="575">
        <v>40</v>
      </c>
      <c r="R2203" s="2818">
        <f>COUNTIF(PoderesDeCriatura_Adquiridos,Tablas!O2203)</f>
        <v>0</v>
      </c>
      <c r="S2203" s="422"/>
      <c r="T2203" s="2809"/>
      <c r="U2203" s="576"/>
      <c r="AB2203" s="413"/>
      <c r="AC2203" s="2795"/>
    </row>
    <row r="2204" spans="1:29" ht="12.75" customHeight="1" x14ac:dyDescent="0.2">
      <c r="A2204" s="2029">
        <v>211</v>
      </c>
      <c r="B2204" s="4995"/>
      <c r="C2204" s="2112"/>
      <c r="H2204" s="413"/>
      <c r="M2204" s="1959"/>
      <c r="N2204" s="100"/>
      <c r="O2204" s="468" t="s">
        <v>10183</v>
      </c>
      <c r="P2204" s="2811">
        <v>25</v>
      </c>
      <c r="Q2204" s="575">
        <v>60</v>
      </c>
      <c r="R2204" s="2818">
        <f>COUNTIF(PoderesDeCriatura_Adquiridos,Tablas!O2204)</f>
        <v>0</v>
      </c>
      <c r="S2204" s="422"/>
      <c r="T2204" s="2809"/>
      <c r="U2204" s="576"/>
      <c r="AB2204" s="413"/>
      <c r="AC2204" s="2795"/>
    </row>
    <row r="2205" spans="1:29" ht="12.75" customHeight="1" x14ac:dyDescent="0.2">
      <c r="A2205" s="2029">
        <v>211</v>
      </c>
      <c r="B2205" s="4995"/>
      <c r="C2205" s="2112"/>
      <c r="H2205" s="413"/>
      <c r="M2205" s="1959"/>
      <c r="N2205" s="100"/>
      <c r="O2205" s="468" t="s">
        <v>10184</v>
      </c>
      <c r="P2205" s="2811">
        <v>30</v>
      </c>
      <c r="Q2205" s="575">
        <v>80</v>
      </c>
      <c r="R2205" s="2818">
        <f>COUNTIF(PoderesDeCriatura_Adquiridos,Tablas!O2205)</f>
        <v>0</v>
      </c>
      <c r="S2205" s="422"/>
      <c r="T2205" s="2809"/>
      <c r="U2205" s="576"/>
      <c r="AB2205" s="413"/>
      <c r="AC2205" s="2795"/>
    </row>
    <row r="2206" spans="1:29" ht="12.75" customHeight="1" x14ac:dyDescent="0.2">
      <c r="A2206" s="2029">
        <v>211</v>
      </c>
      <c r="B2206" s="4995"/>
      <c r="C2206" s="2112"/>
      <c r="H2206" s="413"/>
      <c r="M2206" s="1959"/>
      <c r="N2206" s="100"/>
      <c r="O2206" s="468" t="s">
        <v>10185</v>
      </c>
      <c r="P2206" s="2811">
        <v>10</v>
      </c>
      <c r="Q2206" s="575">
        <v>50</v>
      </c>
      <c r="R2206" s="2818">
        <f>COUNTIF(PoderesDeCriatura_Adquiridos,Tablas!O2206)</f>
        <v>0</v>
      </c>
      <c r="S2206" s="422"/>
      <c r="T2206" s="2809"/>
      <c r="U2206" s="576"/>
      <c r="AB2206" s="413"/>
      <c r="AC2206" s="2795"/>
    </row>
    <row r="2207" spans="1:29" ht="12.75" customHeight="1" x14ac:dyDescent="0.2">
      <c r="A2207" s="2029">
        <v>211</v>
      </c>
      <c r="B2207" s="4995"/>
      <c r="C2207" s="2112"/>
      <c r="H2207" s="413"/>
      <c r="M2207" s="1959"/>
      <c r="N2207" s="100"/>
      <c r="O2207" s="468" t="s">
        <v>10186</v>
      </c>
      <c r="P2207" s="2811">
        <v>15</v>
      </c>
      <c r="Q2207" s="575">
        <v>60</v>
      </c>
      <c r="R2207" s="2818">
        <f>COUNTIF(PoderesDeCriatura_Adquiridos,Tablas!O2207)</f>
        <v>0</v>
      </c>
      <c r="S2207" s="422"/>
      <c r="T2207" s="2809"/>
      <c r="U2207" s="576"/>
      <c r="AB2207" s="413"/>
      <c r="AC2207" s="2795"/>
    </row>
    <row r="2208" spans="1:29" ht="12.75" customHeight="1" x14ac:dyDescent="0.2">
      <c r="A2208" s="2029">
        <v>211</v>
      </c>
      <c r="B2208" s="4995"/>
      <c r="C2208" s="2112"/>
      <c r="H2208" s="413"/>
      <c r="M2208" s="1959"/>
      <c r="N2208" s="100"/>
      <c r="O2208" s="468" t="s">
        <v>10187</v>
      </c>
      <c r="P2208" s="2811">
        <v>20</v>
      </c>
      <c r="Q2208" s="575">
        <v>80</v>
      </c>
      <c r="R2208" s="2818">
        <f>COUNTIF(PoderesDeCriatura_Adquiridos,Tablas!O2208)</f>
        <v>0</v>
      </c>
      <c r="S2208" s="422"/>
      <c r="T2208" s="2809"/>
      <c r="U2208" s="576"/>
      <c r="AB2208" s="413"/>
      <c r="AC2208" s="2795"/>
    </row>
    <row r="2209" spans="1:29" ht="12.75" customHeight="1" x14ac:dyDescent="0.2">
      <c r="A2209" s="2029">
        <v>211</v>
      </c>
      <c r="B2209" s="4995"/>
      <c r="C2209" s="2112"/>
      <c r="H2209" s="413"/>
      <c r="M2209" s="1959"/>
      <c r="N2209" s="100"/>
      <c r="O2209" s="468" t="s">
        <v>10188</v>
      </c>
      <c r="P2209" s="2827">
        <v>25</v>
      </c>
      <c r="Q2209" s="2695">
        <v>100</v>
      </c>
      <c r="R2209" s="2818">
        <f>COUNTIF(PoderesDeCriatura_Adquiridos,Tablas!O2209)</f>
        <v>0</v>
      </c>
      <c r="S2209" s="422"/>
      <c r="T2209" s="2809"/>
      <c r="U2209" s="576"/>
      <c r="AB2209" s="413"/>
      <c r="AC2209" s="2795"/>
    </row>
    <row r="2210" spans="1:29" ht="12.75" customHeight="1" x14ac:dyDescent="0.2">
      <c r="A2210" s="2029">
        <v>211</v>
      </c>
      <c r="B2210" s="4995"/>
      <c r="C2210" s="2112"/>
      <c r="H2210" s="413"/>
      <c r="M2210" s="1959"/>
      <c r="N2210" s="100"/>
      <c r="O2210" s="468" t="s">
        <v>10189</v>
      </c>
      <c r="P2210" s="2827">
        <v>30</v>
      </c>
      <c r="Q2210" s="2695">
        <v>120</v>
      </c>
      <c r="R2210" s="2818">
        <f>COUNTIF(PoderesDeCriatura_Adquiridos,Tablas!O2210)</f>
        <v>0</v>
      </c>
      <c r="S2210" s="422"/>
      <c r="T2210" s="2809"/>
      <c r="U2210" s="576"/>
      <c r="AB2210" s="413"/>
      <c r="AC2210" s="2795"/>
    </row>
    <row r="2211" spans="1:29" ht="12.75" customHeight="1" x14ac:dyDescent="0.2">
      <c r="A2211" s="2029">
        <v>211</v>
      </c>
      <c r="B2211" s="4995"/>
      <c r="C2211" s="2112"/>
      <c r="H2211" s="413"/>
      <c r="M2211" s="1959"/>
      <c r="N2211" s="100"/>
      <c r="O2211" s="468" t="s">
        <v>10190</v>
      </c>
      <c r="P2211" s="2811">
        <v>0</v>
      </c>
      <c r="Q2211" s="575">
        <v>20</v>
      </c>
      <c r="R2211" s="2818">
        <f>COUNTIF(PoderesDeCriatura_Adquiridos,Tablas!O2211)</f>
        <v>0</v>
      </c>
      <c r="S2211" s="422"/>
      <c r="T2211" s="2809"/>
      <c r="U2211" s="576"/>
      <c r="AB2211" s="413"/>
      <c r="AC2211" s="2795"/>
    </row>
    <row r="2212" spans="1:29" ht="12.75" customHeight="1" x14ac:dyDescent="0.2">
      <c r="A2212" s="2029">
        <v>211</v>
      </c>
      <c r="B2212" s="4995"/>
      <c r="C2212" s="2112"/>
      <c r="H2212" s="413"/>
      <c r="M2212" s="1959"/>
      <c r="N2212" s="100"/>
      <c r="O2212" s="468" t="s">
        <v>10191</v>
      </c>
      <c r="P2212" s="2811">
        <v>10</v>
      </c>
      <c r="Q2212" s="575">
        <v>40</v>
      </c>
      <c r="R2212" s="2818">
        <f>COUNTIF(PoderesDeCriatura_Adquiridos,Tablas!O2212)</f>
        <v>0</v>
      </c>
      <c r="S2212" s="422"/>
      <c r="T2212" s="2809"/>
      <c r="U2212" s="576"/>
      <c r="AB2212" s="413"/>
      <c r="AC2212" s="2795"/>
    </row>
    <row r="2213" spans="1:29" ht="12.75" customHeight="1" x14ac:dyDescent="0.2">
      <c r="A2213" s="2029">
        <v>211</v>
      </c>
      <c r="B2213" s="4995"/>
      <c r="C2213" s="2112"/>
      <c r="H2213" s="413"/>
      <c r="M2213" s="1959"/>
      <c r="N2213" s="100"/>
      <c r="O2213" s="468" t="s">
        <v>10192</v>
      </c>
      <c r="P2213" s="2811">
        <v>30</v>
      </c>
      <c r="Q2213" s="575">
        <v>60</v>
      </c>
      <c r="R2213" s="2818">
        <f>COUNTIF(PoderesDeCriatura_Adquiridos,Tablas!O2213)</f>
        <v>0</v>
      </c>
      <c r="S2213" s="422"/>
      <c r="T2213" s="2809"/>
      <c r="U2213" s="576"/>
      <c r="AB2213" s="413"/>
      <c r="AC2213" s="2795"/>
    </row>
    <row r="2214" spans="1:29" ht="12.75" customHeight="1" x14ac:dyDescent="0.2">
      <c r="A2214" s="2029">
        <v>211</v>
      </c>
      <c r="B2214" s="4995"/>
      <c r="C2214" s="2112"/>
      <c r="H2214" s="413"/>
      <c r="M2214" s="1959"/>
      <c r="N2214" s="100"/>
      <c r="O2214" s="468" t="s">
        <v>10193</v>
      </c>
      <c r="P2214" s="2811">
        <v>10</v>
      </c>
      <c r="Q2214" s="575">
        <v>30</v>
      </c>
      <c r="R2214" s="2818">
        <f>COUNTIF(PoderesDeCriatura_Adquiridos,Tablas!O2214)</f>
        <v>0</v>
      </c>
      <c r="S2214" s="422"/>
      <c r="T2214" s="2809"/>
      <c r="U2214" s="576"/>
      <c r="AB2214" s="413"/>
      <c r="AC2214" s="2795"/>
    </row>
    <row r="2215" spans="1:29" ht="12.75" customHeight="1" x14ac:dyDescent="0.2">
      <c r="A2215" s="2029">
        <v>211</v>
      </c>
      <c r="B2215" s="4995"/>
      <c r="C2215" s="2112"/>
      <c r="H2215" s="413"/>
      <c r="M2215" s="1959"/>
      <c r="N2215" s="100"/>
      <c r="O2215" s="468" t="s">
        <v>10194</v>
      </c>
      <c r="P2215" s="2811">
        <v>15</v>
      </c>
      <c r="Q2215" s="575">
        <v>40</v>
      </c>
      <c r="R2215" s="2818">
        <f>COUNTIF(PoderesDeCriatura_Adquiridos,Tablas!O2215)</f>
        <v>0</v>
      </c>
      <c r="S2215" s="422"/>
      <c r="T2215" s="2809"/>
      <c r="U2215" s="576"/>
      <c r="AB2215" s="413"/>
      <c r="AC2215" s="2795"/>
    </row>
    <row r="2216" spans="1:29" ht="12.75" customHeight="1" x14ac:dyDescent="0.2">
      <c r="A2216" s="2029">
        <v>211</v>
      </c>
      <c r="B2216" s="4995"/>
      <c r="C2216" s="2112"/>
      <c r="H2216" s="413"/>
      <c r="M2216" s="1959"/>
      <c r="N2216" s="100"/>
      <c r="O2216" s="468" t="s">
        <v>10195</v>
      </c>
      <c r="P2216" s="2811">
        <v>15</v>
      </c>
      <c r="Q2216" s="575">
        <f>20+IF(OR(TipoDeCriatura="Entre mundos, Elemental",TipoDeCriatura="Ánima, Elemental"),10,0)</f>
        <v>20</v>
      </c>
      <c r="R2216" s="2818">
        <f>COUNTIF(PoderesDeCriatura_Adquiridos,Tablas!O2216)</f>
        <v>0</v>
      </c>
      <c r="S2216" s="422"/>
      <c r="T2216" s="2809"/>
      <c r="U2216" s="576"/>
      <c r="AB2216" s="413"/>
      <c r="AC2216" s="2795"/>
    </row>
    <row r="2217" spans="1:29" ht="12.75" customHeight="1" x14ac:dyDescent="0.2">
      <c r="A2217" s="2029">
        <v>211</v>
      </c>
      <c r="B2217" s="4995"/>
      <c r="C2217" s="2112"/>
      <c r="H2217" s="413"/>
      <c r="M2217" s="1959"/>
      <c r="N2217" s="100"/>
      <c r="O2217" s="468" t="s">
        <v>10196</v>
      </c>
      <c r="P2217" s="2811">
        <v>30</v>
      </c>
      <c r="Q2217" s="575">
        <f>40+IF(OR(TipoDeCriatura="Entre mundos, Elemental",TipoDeCriatura="Ánima, Elemental"),10,0)</f>
        <v>40</v>
      </c>
      <c r="R2217" s="2818">
        <f>COUNTIF(PoderesDeCriatura_Adquiridos,Tablas!O2217)</f>
        <v>0</v>
      </c>
      <c r="S2217" s="422"/>
      <c r="T2217" s="2809"/>
      <c r="U2217" s="576"/>
      <c r="AB2217" s="413"/>
      <c r="AC2217" s="2795"/>
    </row>
    <row r="2218" spans="1:29" ht="12.75" customHeight="1" x14ac:dyDescent="0.2">
      <c r="A2218" s="2029">
        <v>211</v>
      </c>
      <c r="B2218" s="4995"/>
      <c r="C2218" s="2112"/>
      <c r="H2218" s="413"/>
      <c r="M2218" s="1959"/>
      <c r="N2218" s="100"/>
      <c r="O2218" s="468" t="s">
        <v>13</v>
      </c>
      <c r="P2218" s="2811">
        <v>5</v>
      </c>
      <c r="Q2218" s="575">
        <v>20</v>
      </c>
      <c r="R2218" s="2818">
        <f>COUNTIF(PoderesDeCriatura_Adquiridos,Tablas!O2218)</f>
        <v>0</v>
      </c>
      <c r="S2218" s="422"/>
      <c r="T2218" s="2809"/>
      <c r="U2218" s="576"/>
      <c r="AB2218" s="413"/>
      <c r="AC2218" s="2795"/>
    </row>
    <row r="2219" spans="1:29" ht="12.75" customHeight="1" x14ac:dyDescent="0.2">
      <c r="A2219" s="2029">
        <v>211</v>
      </c>
      <c r="B2219" s="4995"/>
      <c r="C2219" s="2112"/>
      <c r="H2219" s="413"/>
      <c r="M2219" s="1959"/>
      <c r="N2219" s="100"/>
      <c r="O2219" s="468" t="s">
        <v>10197</v>
      </c>
      <c r="P2219" s="2811">
        <v>10</v>
      </c>
      <c r="Q2219" s="575">
        <f>20+IF(OR(TipoDeCriatura="Entre mundos, Elemental",TipoDeCriatura="Ánima, Elemental"),10,0)</f>
        <v>20</v>
      </c>
      <c r="R2219" s="2818">
        <f>COUNTIF(PoderesDeCriatura_Adquiridos,Tablas!O2219)</f>
        <v>0</v>
      </c>
      <c r="S2219" s="422"/>
      <c r="T2219" s="2809"/>
      <c r="U2219" s="576"/>
      <c r="AB2219" s="413"/>
      <c r="AC2219" s="2795"/>
    </row>
    <row r="2220" spans="1:29" ht="12.75" customHeight="1" x14ac:dyDescent="0.2">
      <c r="A2220" s="2029">
        <v>211</v>
      </c>
      <c r="B2220" s="4995"/>
      <c r="C2220" s="2112"/>
      <c r="H2220" s="413"/>
      <c r="M2220" s="1959"/>
      <c r="N2220" s="100"/>
      <c r="O2220" s="468" t="s">
        <v>10198</v>
      </c>
      <c r="P2220" s="2811">
        <v>20</v>
      </c>
      <c r="Q2220" s="575">
        <f>40+IF(OR(TipoDeCriatura="Entre mundos, Elemental",TipoDeCriatura="Ánima, Elemental"),10,0)</f>
        <v>40</v>
      </c>
      <c r="R2220" s="2818">
        <f>COUNTIF(PoderesDeCriatura_Adquiridos,Tablas!O2220)</f>
        <v>0</v>
      </c>
      <c r="S2220" s="422"/>
      <c r="T2220" s="2809"/>
      <c r="U2220" s="576"/>
      <c r="AB2220" s="413"/>
      <c r="AC2220" s="2795"/>
    </row>
    <row r="2221" spans="1:29" ht="12.75" customHeight="1" x14ac:dyDescent="0.2">
      <c r="A2221" s="2029">
        <v>211</v>
      </c>
      <c r="B2221" s="4995"/>
      <c r="C2221" s="2112"/>
      <c r="H2221" s="413"/>
      <c r="M2221" s="1959"/>
      <c r="N2221" s="100"/>
      <c r="O2221" s="468" t="s">
        <v>10199</v>
      </c>
      <c r="P2221" s="2811">
        <v>10</v>
      </c>
      <c r="Q2221" s="575">
        <f>30+IF(OR(TipoDeCriatura="Entre mundos, Elemental",TipoDeCriatura="Ánima, Elemental"),10,0)</f>
        <v>30</v>
      </c>
      <c r="R2221" s="2818">
        <f>COUNTIF(PoderesDeCriatura_Adquiridos,Tablas!O2221)</f>
        <v>0</v>
      </c>
      <c r="S2221" s="422"/>
      <c r="T2221" s="2809"/>
      <c r="U2221" s="576"/>
      <c r="AB2221" s="413"/>
      <c r="AC2221" s="2795"/>
    </row>
    <row r="2222" spans="1:29" ht="12.75" customHeight="1" x14ac:dyDescent="0.2">
      <c r="A2222" s="2029">
        <v>211</v>
      </c>
      <c r="B2222" s="4995"/>
      <c r="C2222" s="2112"/>
      <c r="H2222" s="413"/>
      <c r="M2222" s="1959"/>
      <c r="N2222" s="100"/>
      <c r="O2222" s="468" t="s">
        <v>10200</v>
      </c>
      <c r="P2222" s="2811">
        <v>10</v>
      </c>
      <c r="Q2222" s="575">
        <f>20+IF(OR(TipoDeCriatura="Entre mundos, Elemental",TipoDeCriatura="Ánima, Elemental"),10,0)</f>
        <v>20</v>
      </c>
      <c r="R2222" s="2818">
        <f>COUNTIF(PoderesDeCriatura_Adquiridos,Tablas!O2222)</f>
        <v>0</v>
      </c>
      <c r="S2222" s="422"/>
      <c r="T2222" s="2809"/>
      <c r="U2222" s="576"/>
      <c r="AB2222" s="413"/>
      <c r="AC2222" s="2795"/>
    </row>
    <row r="2223" spans="1:29" ht="12.75" customHeight="1" x14ac:dyDescent="0.2">
      <c r="A2223" s="2029">
        <v>211</v>
      </c>
      <c r="B2223" s="4995"/>
      <c r="C2223" s="2112"/>
      <c r="H2223" s="413"/>
      <c r="M2223" s="1959"/>
      <c r="N2223" s="100"/>
      <c r="O2223" s="2" t="s">
        <v>14</v>
      </c>
      <c r="P2223" s="2811">
        <v>15</v>
      </c>
      <c r="Q2223" s="575">
        <v>50</v>
      </c>
      <c r="R2223" s="2818">
        <f>COUNTIF(PoderesDeCriatura_Adquiridos,Tablas!O2223)</f>
        <v>0</v>
      </c>
      <c r="S2223" s="422"/>
      <c r="T2223" s="2809"/>
      <c r="U2223" s="576"/>
      <c r="AB2223" s="413"/>
      <c r="AC2223" s="2795"/>
    </row>
    <row r="2224" spans="1:29" ht="12.75" customHeight="1" x14ac:dyDescent="0.2">
      <c r="A2224" s="2029">
        <v>211</v>
      </c>
      <c r="B2224" s="4995"/>
      <c r="C2224" s="2112"/>
      <c r="H2224" s="413"/>
      <c r="M2224" s="1959"/>
      <c r="N2224" s="100"/>
      <c r="O2224" s="468" t="s">
        <v>10201</v>
      </c>
      <c r="P2224" s="2811">
        <v>5</v>
      </c>
      <c r="Q2224" s="575">
        <v>10</v>
      </c>
      <c r="R2224" s="2818">
        <f>COUNTIF(PoderesDeCriatura_Adquiridos,Tablas!O2224)</f>
        <v>0</v>
      </c>
      <c r="S2224" s="422"/>
      <c r="T2224" s="2809"/>
      <c r="U2224" s="576"/>
      <c r="AB2224" s="413"/>
      <c r="AC2224" s="2795"/>
    </row>
    <row r="2225" spans="1:29" ht="12.75" customHeight="1" x14ac:dyDescent="0.2">
      <c r="A2225" s="2029">
        <v>211</v>
      </c>
      <c r="B2225" s="4995"/>
      <c r="C2225" s="2112"/>
      <c r="H2225" s="413"/>
      <c r="M2225" s="1959"/>
      <c r="N2225" s="100"/>
      <c r="O2225" s="468" t="s">
        <v>10202</v>
      </c>
      <c r="P2225" s="2811">
        <v>10</v>
      </c>
      <c r="Q2225" s="575">
        <v>20</v>
      </c>
      <c r="R2225" s="2818">
        <f>COUNTIF(PoderesDeCriatura_Adquiridos,Tablas!O2225)</f>
        <v>0</v>
      </c>
      <c r="S2225" s="422"/>
      <c r="T2225" s="2809"/>
      <c r="U2225" s="576"/>
      <c r="AB2225" s="413"/>
      <c r="AC2225" s="2795"/>
    </row>
    <row r="2226" spans="1:29" ht="12.75" customHeight="1" x14ac:dyDescent="0.2">
      <c r="A2226" s="2029">
        <v>211</v>
      </c>
      <c r="B2226" s="4995"/>
      <c r="C2226" s="2112"/>
      <c r="H2226" s="413"/>
      <c r="M2226" s="1959"/>
      <c r="N2226" s="100"/>
      <c r="O2226" s="468" t="s">
        <v>10203</v>
      </c>
      <c r="P2226" s="2811">
        <v>20</v>
      </c>
      <c r="Q2226" s="575">
        <v>30</v>
      </c>
      <c r="R2226" s="2818">
        <f>COUNTIF(PoderesDeCriatura_Adquiridos,Tablas!O2226)</f>
        <v>0</v>
      </c>
      <c r="S2226" s="422"/>
      <c r="T2226" s="2809"/>
      <c r="U2226" s="576"/>
      <c r="AB2226" s="413"/>
      <c r="AC2226" s="2795"/>
    </row>
    <row r="2227" spans="1:29" ht="12.75" customHeight="1" x14ac:dyDescent="0.2">
      <c r="A2227" s="2029">
        <v>211</v>
      </c>
      <c r="B2227" s="4995"/>
      <c r="C2227" s="2112"/>
      <c r="H2227" s="413"/>
      <c r="M2227" s="1959"/>
      <c r="N2227" s="100"/>
      <c r="O2227" s="468" t="s">
        <v>10204</v>
      </c>
      <c r="P2227" s="2811">
        <v>30</v>
      </c>
      <c r="Q2227" s="575">
        <v>40</v>
      </c>
      <c r="R2227" s="2818">
        <f>COUNTIF(PoderesDeCriatura_Adquiridos,Tablas!O2227)</f>
        <v>0</v>
      </c>
      <c r="S2227" s="422"/>
      <c r="T2227" s="2809"/>
      <c r="U2227" s="576"/>
      <c r="AB2227" s="413"/>
      <c r="AC2227" s="2795"/>
    </row>
    <row r="2228" spans="1:29" ht="12.75" customHeight="1" x14ac:dyDescent="0.2">
      <c r="A2228" s="2029">
        <v>211</v>
      </c>
      <c r="B2228" s="4995"/>
      <c r="C2228" s="2112"/>
      <c r="H2228" s="413"/>
      <c r="M2228" s="1959"/>
      <c r="N2228" s="100"/>
      <c r="O2228" s="468" t="s">
        <v>10205</v>
      </c>
      <c r="P2228" s="2811">
        <v>20</v>
      </c>
      <c r="Q2228" s="575">
        <f>40+IF(OR(TipoDeCriatura="Entre mundos, Elemental",TipoDeCriatura="Ánima, Elemental"),10,0)</f>
        <v>40</v>
      </c>
      <c r="R2228" s="2818">
        <f>COUNTIF(PoderesDeCriatura_Adquiridos,Tablas!O2228)</f>
        <v>0</v>
      </c>
      <c r="S2228" s="422"/>
      <c r="T2228" s="2809"/>
      <c r="U2228" s="576"/>
      <c r="AB2228" s="413"/>
      <c r="AC2228" s="2795"/>
    </row>
    <row r="2229" spans="1:29" ht="12.75" customHeight="1" x14ac:dyDescent="0.2">
      <c r="A2229" s="2029">
        <v>211</v>
      </c>
      <c r="B2229" s="4995"/>
      <c r="C2229" s="2112"/>
      <c r="H2229" s="413"/>
      <c r="M2229" s="1959"/>
      <c r="N2229" s="100"/>
      <c r="O2229" s="468" t="s">
        <v>10206</v>
      </c>
      <c r="P2229" s="2811">
        <v>10</v>
      </c>
      <c r="Q2229" s="575">
        <f>20+IF(OR(TipoDeCriatura="Entre mundos, Elemental",TipoDeCriatura="Ánima, Elemental"),10,0)</f>
        <v>20</v>
      </c>
      <c r="R2229" s="2818">
        <f>COUNTIF(PoderesDeCriatura_Adquiridos,Tablas!O2229)</f>
        <v>0</v>
      </c>
      <c r="S2229" s="422"/>
      <c r="T2229" s="2809"/>
      <c r="U2229" s="576"/>
      <c r="AB2229" s="413"/>
      <c r="AC2229" s="2795"/>
    </row>
    <row r="2230" spans="1:29" ht="12.75" customHeight="1" x14ac:dyDescent="0.2">
      <c r="A2230" s="2029">
        <v>211</v>
      </c>
      <c r="B2230" s="4995"/>
      <c r="C2230" s="2112"/>
      <c r="H2230" s="413"/>
      <c r="M2230" s="1959"/>
      <c r="N2230" s="100"/>
      <c r="O2230" s="468" t="s">
        <v>10207</v>
      </c>
      <c r="P2230" s="2811">
        <v>15</v>
      </c>
      <c r="Q2230" s="575">
        <f>30+IF(OR(TipoDeCriatura="Entre mundos, Elemental",TipoDeCriatura="Ánima, Elemental"),10,0)</f>
        <v>30</v>
      </c>
      <c r="R2230" s="2818">
        <f>COUNTIF(PoderesDeCriatura_Adquiridos,Tablas!O2230)</f>
        <v>0</v>
      </c>
      <c r="S2230" s="422"/>
      <c r="T2230" s="2809"/>
      <c r="U2230" s="576"/>
      <c r="AB2230" s="413"/>
      <c r="AC2230" s="2795"/>
    </row>
    <row r="2231" spans="1:29" ht="12.75" customHeight="1" x14ac:dyDescent="0.2">
      <c r="A2231" s="2029">
        <v>211</v>
      </c>
      <c r="B2231" s="4995"/>
      <c r="C2231" s="2112"/>
      <c r="H2231" s="413"/>
      <c r="M2231" s="1959"/>
      <c r="N2231" s="100"/>
      <c r="O2231" s="468" t="s">
        <v>10208</v>
      </c>
      <c r="P2231" s="2811">
        <v>5</v>
      </c>
      <c r="Q2231" s="575">
        <f>10+IF(OR(TipoDeCriatura="Entre mundos, Elemental",TipoDeCriatura="Ánima, Elemental"),10,0)</f>
        <v>10</v>
      </c>
      <c r="R2231" s="2818">
        <f>COUNTIF(PoderesDeCriatura_Adquiridos,Tablas!O2231)</f>
        <v>0</v>
      </c>
      <c r="S2231" s="422"/>
      <c r="T2231" s="2809"/>
      <c r="U2231" s="576"/>
      <c r="AB2231" s="413"/>
      <c r="AC2231" s="2795"/>
    </row>
    <row r="2232" spans="1:29" ht="12.75" customHeight="1" x14ac:dyDescent="0.2">
      <c r="A2232" s="2029">
        <v>211</v>
      </c>
      <c r="B2232" s="4995"/>
      <c r="C2232" s="2112"/>
      <c r="H2232" s="413"/>
      <c r="M2232" s="1959"/>
      <c r="N2232" s="100"/>
      <c r="O2232" s="468" t="s">
        <v>10209</v>
      </c>
      <c r="P2232" s="2811">
        <v>10</v>
      </c>
      <c r="Q2232" s="575">
        <f>10+IF(OR(TipoDeCriatura="Entre mundos, Elemental",TipoDeCriatura="Ánima, Elemental"),10,0)</f>
        <v>10</v>
      </c>
      <c r="R2232" s="2818">
        <f>COUNTIF(PoderesDeCriatura_Adquiridos,Tablas!O2232)</f>
        <v>0</v>
      </c>
      <c r="S2232" s="422"/>
      <c r="T2232" s="2809"/>
      <c r="U2232" s="576"/>
      <c r="AB2232" s="413"/>
      <c r="AC2232" s="2795"/>
    </row>
    <row r="2233" spans="1:29" ht="12.75" customHeight="1" x14ac:dyDescent="0.2">
      <c r="A2233" s="2029">
        <v>211</v>
      </c>
      <c r="B2233" s="4995"/>
      <c r="C2233" s="2112"/>
      <c r="H2233" s="413"/>
      <c r="M2233" s="1959"/>
      <c r="N2233" s="100"/>
      <c r="O2233" s="468" t="s">
        <v>10210</v>
      </c>
      <c r="P2233" s="2811">
        <v>20</v>
      </c>
      <c r="Q2233" s="575">
        <f>40+IF(OR(TipoDeCriatura="Entre mundos, Elemental",TipoDeCriatura="Ánima, Elemental"),10,0)</f>
        <v>40</v>
      </c>
      <c r="R2233" s="2818">
        <f>COUNTIF(PoderesDeCriatura_Adquiridos,Tablas!O2233)</f>
        <v>0</v>
      </c>
      <c r="S2233" s="422"/>
      <c r="T2233" s="2809"/>
      <c r="U2233" s="576"/>
      <c r="AB2233" s="413"/>
      <c r="AC2233" s="2795"/>
    </row>
    <row r="2234" spans="1:29" ht="12.75" customHeight="1" x14ac:dyDescent="0.2">
      <c r="A2234" s="2029">
        <v>211</v>
      </c>
      <c r="B2234" s="4995"/>
      <c r="C2234" s="2112"/>
      <c r="H2234" s="413"/>
      <c r="M2234" s="1959"/>
      <c r="N2234" s="100"/>
      <c r="O2234" s="468" t="s">
        <v>10211</v>
      </c>
      <c r="P2234" s="2811">
        <v>5</v>
      </c>
      <c r="Q2234" s="575">
        <v>10</v>
      </c>
      <c r="R2234" s="2818">
        <f>COUNTIF(PoderesDeCriatura_Adquiridos,Tablas!O2234)</f>
        <v>0</v>
      </c>
      <c r="S2234" s="422"/>
      <c r="T2234" s="2809"/>
      <c r="U2234" s="576"/>
      <c r="AB2234" s="413"/>
      <c r="AC2234" s="2795"/>
    </row>
    <row r="2235" spans="1:29" ht="12.75" customHeight="1" x14ac:dyDescent="0.2">
      <c r="A2235" s="2029">
        <v>211</v>
      </c>
      <c r="B2235" s="4995"/>
      <c r="C2235" s="2112"/>
      <c r="H2235" s="413"/>
      <c r="M2235" s="1959"/>
      <c r="N2235" s="100"/>
      <c r="O2235" s="468" t="s">
        <v>10212</v>
      </c>
      <c r="P2235" s="2811">
        <v>10</v>
      </c>
      <c r="Q2235" s="575">
        <v>20</v>
      </c>
      <c r="R2235" s="2818">
        <f>COUNTIF(PoderesDeCriatura_Adquiridos,Tablas!O2235)</f>
        <v>0</v>
      </c>
      <c r="S2235" s="422"/>
      <c r="T2235" s="2809"/>
      <c r="U2235" s="576"/>
      <c r="AB2235" s="413"/>
      <c r="AC2235" s="2795"/>
    </row>
    <row r="2236" spans="1:29" ht="12.75" customHeight="1" x14ac:dyDescent="0.2">
      <c r="A2236" s="2029">
        <v>211</v>
      </c>
      <c r="B2236" s="4995"/>
      <c r="C2236" s="2112"/>
      <c r="H2236" s="413"/>
      <c r="M2236" s="1959"/>
      <c r="N2236" s="100"/>
      <c r="O2236" s="468" t="s">
        <v>6021</v>
      </c>
      <c r="P2236" s="2811">
        <v>15</v>
      </c>
      <c r="Q2236" s="575">
        <v>40</v>
      </c>
      <c r="R2236" s="2818">
        <f>COUNTIF(PoderesDeCriatura_Adquiridos,Tablas!O2236)</f>
        <v>0</v>
      </c>
      <c r="S2236" s="422"/>
      <c r="T2236" s="2809"/>
      <c r="U2236" s="576"/>
      <c r="AB2236" s="413"/>
      <c r="AC2236" s="2795"/>
    </row>
    <row r="2237" spans="1:29" ht="12.75" customHeight="1" x14ac:dyDescent="0.2">
      <c r="A2237" s="2029">
        <v>211</v>
      </c>
      <c r="B2237" s="4995"/>
      <c r="C2237" s="2112"/>
      <c r="H2237" s="413"/>
      <c r="M2237" s="1959"/>
      <c r="N2237" s="100"/>
      <c r="O2237" s="468" t="s">
        <v>10213</v>
      </c>
      <c r="P2237" s="2811">
        <v>30</v>
      </c>
      <c r="Q2237" s="575">
        <v>60</v>
      </c>
      <c r="R2237" s="2818">
        <f>COUNTIF(PoderesDeCriatura_Adquiridos,Tablas!O2237)</f>
        <v>0</v>
      </c>
      <c r="S2237" s="422"/>
      <c r="T2237" s="2809"/>
      <c r="U2237" s="576"/>
      <c r="AB2237" s="413"/>
      <c r="AC2237" s="2795"/>
    </row>
    <row r="2238" spans="1:29" ht="12.75" customHeight="1" x14ac:dyDescent="0.2">
      <c r="A2238" s="2029">
        <v>211</v>
      </c>
      <c r="B2238" s="4995"/>
      <c r="C2238" s="2112"/>
      <c r="H2238" s="413"/>
      <c r="M2238" s="1959"/>
      <c r="N2238" s="100"/>
      <c r="O2238" s="468" t="s">
        <v>10214</v>
      </c>
      <c r="P2238" s="2811">
        <v>35</v>
      </c>
      <c r="Q2238" s="575">
        <v>80</v>
      </c>
      <c r="R2238" s="2818">
        <f>COUNTIF(PoderesDeCriatura_Adquiridos,Tablas!O2238)</f>
        <v>0</v>
      </c>
      <c r="S2238" s="422"/>
      <c r="T2238" s="2809"/>
      <c r="U2238" s="576"/>
      <c r="AB2238" s="413"/>
      <c r="AC2238" s="2795"/>
    </row>
    <row r="2239" spans="1:29" ht="12.75" customHeight="1" x14ac:dyDescent="0.2">
      <c r="A2239" s="2029">
        <v>211</v>
      </c>
      <c r="B2239" s="4995"/>
      <c r="C2239" s="2112"/>
      <c r="H2239" s="413"/>
      <c r="M2239" s="1959"/>
      <c r="N2239" s="100"/>
      <c r="O2239" s="2" t="s">
        <v>15</v>
      </c>
      <c r="P2239" s="2811">
        <v>30</v>
      </c>
      <c r="Q2239" s="575">
        <v>100</v>
      </c>
      <c r="R2239" s="2818">
        <f>COUNTIF(PoderesDeCriatura_Adquiridos,Tablas!O2239)</f>
        <v>0</v>
      </c>
      <c r="S2239" s="422"/>
      <c r="T2239" s="2809"/>
      <c r="U2239" s="576"/>
      <c r="AB2239" s="413"/>
      <c r="AC2239" s="2795"/>
    </row>
    <row r="2240" spans="1:29" ht="12.75" customHeight="1" x14ac:dyDescent="0.2">
      <c r="A2240" s="2029">
        <v>211</v>
      </c>
      <c r="B2240" s="4995"/>
      <c r="C2240" s="2112"/>
      <c r="H2240" s="413"/>
      <c r="M2240" s="1959"/>
      <c r="N2240" s="100"/>
      <c r="O2240" s="468" t="s">
        <v>10215</v>
      </c>
      <c r="P2240" s="2811">
        <v>10</v>
      </c>
      <c r="Q2240" s="575">
        <v>10</v>
      </c>
      <c r="R2240" s="2818">
        <f>COUNTIF(PoderesDeCriatura_Adquiridos,Tablas!O2240)</f>
        <v>0</v>
      </c>
      <c r="S2240" s="422"/>
      <c r="T2240" s="2809"/>
      <c r="U2240" s="576"/>
      <c r="AB2240" s="413"/>
      <c r="AC2240" s="2795"/>
    </row>
    <row r="2241" spans="1:29" ht="12.75" customHeight="1" x14ac:dyDescent="0.2">
      <c r="A2241" s="2029">
        <v>211</v>
      </c>
      <c r="B2241" s="4995"/>
      <c r="C2241" s="2112"/>
      <c r="H2241" s="413"/>
      <c r="M2241" s="1959"/>
      <c r="N2241" s="100"/>
      <c r="O2241" s="468" t="s">
        <v>10216</v>
      </c>
      <c r="P2241" s="2811">
        <v>20</v>
      </c>
      <c r="Q2241" s="575">
        <v>20</v>
      </c>
      <c r="R2241" s="2818">
        <f>COUNTIF(PoderesDeCriatura_Adquiridos,Tablas!O2241)</f>
        <v>0</v>
      </c>
      <c r="S2241" s="422"/>
      <c r="T2241" s="2809"/>
      <c r="U2241" s="576"/>
      <c r="AB2241" s="413"/>
      <c r="AC2241" s="2795"/>
    </row>
    <row r="2242" spans="1:29" ht="12.75" customHeight="1" x14ac:dyDescent="0.2">
      <c r="A2242" s="2029">
        <v>211</v>
      </c>
      <c r="B2242" s="4995"/>
      <c r="C2242" s="2112"/>
      <c r="H2242" s="413"/>
      <c r="M2242" s="1959"/>
      <c r="N2242" s="100"/>
      <c r="O2242" s="468" t="s">
        <v>10217</v>
      </c>
      <c r="P2242" s="2811">
        <v>15</v>
      </c>
      <c r="Q2242" s="575">
        <v>20</v>
      </c>
      <c r="R2242" s="2818">
        <f>COUNTIF(PoderesDeCriatura_Adquiridos,Tablas!O2242)</f>
        <v>0</v>
      </c>
      <c r="S2242" s="422"/>
      <c r="T2242" s="2809"/>
      <c r="U2242" s="576"/>
      <c r="AB2242" s="413"/>
      <c r="AC2242" s="2795"/>
    </row>
    <row r="2243" spans="1:29" ht="12.75" customHeight="1" x14ac:dyDescent="0.2">
      <c r="A2243" s="2029">
        <v>211</v>
      </c>
      <c r="B2243" s="4995"/>
      <c r="C2243" s="2112"/>
      <c r="H2243" s="413"/>
      <c r="M2243" s="1959"/>
      <c r="N2243" s="100"/>
      <c r="O2243" s="468" t="s">
        <v>10218</v>
      </c>
      <c r="P2243" s="2811">
        <v>25</v>
      </c>
      <c r="Q2243" s="575">
        <v>40</v>
      </c>
      <c r="R2243" s="2818">
        <f>COUNTIF(PoderesDeCriatura_Adquiridos,Tablas!O2243)</f>
        <v>0</v>
      </c>
      <c r="S2243" s="422"/>
      <c r="T2243" s="2809"/>
      <c r="U2243" s="576"/>
      <c r="AB2243" s="413"/>
      <c r="AC2243" s="2795"/>
    </row>
    <row r="2244" spans="1:29" ht="12.75" customHeight="1" x14ac:dyDescent="0.2">
      <c r="A2244" s="2029">
        <v>211</v>
      </c>
      <c r="B2244" s="4995"/>
      <c r="C2244" s="2112"/>
      <c r="H2244" s="413"/>
      <c r="M2244" s="1959"/>
      <c r="N2244" s="100"/>
      <c r="O2244" s="468" t="s">
        <v>10219</v>
      </c>
      <c r="P2244" s="2811">
        <v>15</v>
      </c>
      <c r="Q2244" s="575">
        <f>10+IF(OR(TipoDeCriatura="Entre mundos, Elemental",TipoDeCriatura="Ánima, Elemental"),10,0)</f>
        <v>10</v>
      </c>
      <c r="R2244" s="2818">
        <f>COUNTIF(PoderesDeCriatura_Adquiridos,Tablas!O2244)</f>
        <v>0</v>
      </c>
      <c r="S2244" s="422"/>
      <c r="T2244" s="2809"/>
      <c r="U2244" s="576"/>
      <c r="AB2244" s="413"/>
      <c r="AC2244" s="2795"/>
    </row>
    <row r="2245" spans="1:29" ht="12.75" customHeight="1" x14ac:dyDescent="0.2">
      <c r="A2245" s="2029">
        <v>211</v>
      </c>
      <c r="B2245" s="4995"/>
      <c r="C2245" s="2112"/>
      <c r="H2245" s="413"/>
      <c r="M2245" s="1959"/>
      <c r="N2245" s="100"/>
      <c r="O2245" s="468" t="s">
        <v>10220</v>
      </c>
      <c r="P2245" s="2811">
        <v>20</v>
      </c>
      <c r="Q2245" s="575">
        <f>10+IF(OR(TipoDeCriatura="Entre mundos, Elemental",TipoDeCriatura="Ánima, Elemental"),10,0)</f>
        <v>10</v>
      </c>
      <c r="R2245" s="2818">
        <f>COUNTIF(PoderesDeCriatura_Adquiridos,Tablas!O2245)</f>
        <v>0</v>
      </c>
      <c r="S2245" s="422"/>
      <c r="T2245" s="2809"/>
      <c r="U2245" s="576"/>
      <c r="AB2245" s="413"/>
      <c r="AC2245" s="2795"/>
    </row>
    <row r="2246" spans="1:29" ht="12.75" customHeight="1" x14ac:dyDescent="0.2">
      <c r="A2246" s="2029">
        <v>211</v>
      </c>
      <c r="B2246" s="4995"/>
      <c r="C2246" s="2112"/>
      <c r="H2246" s="413"/>
      <c r="M2246" s="1959"/>
      <c r="N2246" s="100"/>
      <c r="O2246" s="468" t="s">
        <v>10221</v>
      </c>
      <c r="P2246" s="2811">
        <v>30</v>
      </c>
      <c r="Q2246" s="575">
        <f>20+IF(OR(TipoDeCriatura="Entre mundos, Elemental",TipoDeCriatura="Ánima, Elemental"),10,0)</f>
        <v>20</v>
      </c>
      <c r="R2246" s="2818">
        <f>COUNTIF(PoderesDeCriatura_Adquiridos,Tablas!O2246)</f>
        <v>0</v>
      </c>
      <c r="S2246" s="422"/>
      <c r="T2246" s="2809"/>
      <c r="U2246" s="576"/>
      <c r="AB2246" s="413"/>
      <c r="AC2246" s="2795"/>
    </row>
    <row r="2247" spans="1:29" ht="12.75" customHeight="1" x14ac:dyDescent="0.2">
      <c r="A2247" s="2029">
        <v>211</v>
      </c>
      <c r="B2247" s="4995"/>
      <c r="C2247" s="2112"/>
      <c r="H2247" s="413"/>
      <c r="M2247" s="1959"/>
      <c r="N2247" s="100"/>
      <c r="O2247" s="468" t="s">
        <v>10222</v>
      </c>
      <c r="P2247" s="2811">
        <v>20</v>
      </c>
      <c r="Q2247" s="575">
        <v>120</v>
      </c>
      <c r="R2247" s="2818">
        <f>COUNTIF(PoderesDeCriatura_Adquiridos,Tablas!O2247)</f>
        <v>0</v>
      </c>
      <c r="S2247" s="422"/>
      <c r="T2247" s="2809"/>
      <c r="U2247" s="576"/>
      <c r="AB2247" s="413"/>
      <c r="AC2247" s="2795"/>
    </row>
    <row r="2248" spans="1:29" ht="12.75" customHeight="1" x14ac:dyDescent="0.2">
      <c r="A2248" s="2029">
        <v>211</v>
      </c>
      <c r="B2248" s="4995"/>
      <c r="C2248" s="2112"/>
      <c r="H2248" s="413"/>
      <c r="M2248" s="1959"/>
      <c r="N2248" s="100"/>
      <c r="O2248" s="468" t="s">
        <v>10223</v>
      </c>
      <c r="P2248" s="2811">
        <v>30</v>
      </c>
      <c r="Q2248" s="575">
        <v>220</v>
      </c>
      <c r="R2248" s="2818">
        <f>COUNTIF(PoderesDeCriatura_Adquiridos,Tablas!O2248)</f>
        <v>0</v>
      </c>
      <c r="S2248" s="422"/>
      <c r="T2248" s="2809"/>
      <c r="U2248" s="576"/>
      <c r="AB2248" s="413"/>
      <c r="AC2248" s="2795"/>
    </row>
    <row r="2249" spans="1:29" ht="12.75" customHeight="1" x14ac:dyDescent="0.2">
      <c r="A2249" s="2029">
        <v>211</v>
      </c>
      <c r="B2249" s="4995"/>
      <c r="C2249" s="2112"/>
      <c r="H2249" s="413"/>
      <c r="M2249" s="1959"/>
      <c r="N2249" s="100"/>
      <c r="O2249" s="468" t="s">
        <v>10224</v>
      </c>
      <c r="P2249" s="2811">
        <v>20</v>
      </c>
      <c r="Q2249" s="575">
        <f>30+IF(OR(TipoDeCriatura="Entre mundos, Elemental",TipoDeCriatura="Ánima, Elemental"),10,0)</f>
        <v>30</v>
      </c>
      <c r="R2249" s="2818">
        <f>COUNTIF(PoderesDeCriatura_Adquiridos,Tablas!O2249)</f>
        <v>0</v>
      </c>
      <c r="S2249" s="422"/>
      <c r="T2249" s="2809"/>
      <c r="U2249" s="576"/>
      <c r="AB2249" s="413"/>
      <c r="AC2249" s="2795"/>
    </row>
    <row r="2250" spans="1:29" ht="12.75" customHeight="1" x14ac:dyDescent="0.2">
      <c r="A2250" s="2029">
        <v>211</v>
      </c>
      <c r="B2250" s="4995"/>
      <c r="C2250" s="2112"/>
      <c r="H2250" s="413"/>
      <c r="M2250" s="1959"/>
      <c r="N2250" s="100"/>
      <c r="O2250" s="468" t="s">
        <v>10225</v>
      </c>
      <c r="P2250" s="2811">
        <v>20</v>
      </c>
      <c r="Q2250" s="575">
        <f>40+IF(OR(TipoDeCriatura="Entre mundos, Elemental",TipoDeCriatura="Ánima, Elemental"),10,0)</f>
        <v>40</v>
      </c>
      <c r="R2250" s="2818">
        <f>COUNTIF(PoderesDeCriatura_Adquiridos,Tablas!O2250)</f>
        <v>0</v>
      </c>
      <c r="S2250" s="422"/>
      <c r="T2250" s="2809"/>
      <c r="U2250" s="576"/>
      <c r="AB2250" s="413"/>
      <c r="AC2250" s="2795"/>
    </row>
    <row r="2251" spans="1:29" ht="12.75" customHeight="1" x14ac:dyDescent="0.2">
      <c r="A2251" s="2029">
        <v>211</v>
      </c>
      <c r="B2251" s="4995"/>
      <c r="C2251" s="2112"/>
      <c r="H2251" s="413"/>
      <c r="M2251" s="1959"/>
      <c r="N2251" s="100"/>
      <c r="O2251" s="468" t="s">
        <v>10226</v>
      </c>
      <c r="P2251" s="2811">
        <v>20</v>
      </c>
      <c r="Q2251" s="575">
        <f>50+IF(OR(TipoDeCriatura="Entre mundos, Elemental",TipoDeCriatura="Ánima, Elemental"),10,0)</f>
        <v>50</v>
      </c>
      <c r="R2251" s="2818">
        <f>COUNTIF(PoderesDeCriatura_Adquiridos,Tablas!O2251)</f>
        <v>0</v>
      </c>
      <c r="S2251" s="422"/>
      <c r="T2251" s="2809"/>
      <c r="U2251" s="576"/>
      <c r="AB2251" s="413"/>
      <c r="AC2251" s="2795"/>
    </row>
    <row r="2252" spans="1:29" ht="12.75" customHeight="1" x14ac:dyDescent="0.2">
      <c r="A2252" s="2029">
        <v>211</v>
      </c>
      <c r="B2252" s="4995"/>
      <c r="C2252" s="2112"/>
      <c r="H2252" s="413"/>
      <c r="M2252" s="1959"/>
      <c r="N2252" s="100"/>
      <c r="O2252" s="468" t="s">
        <v>10227</v>
      </c>
      <c r="P2252" s="2811">
        <v>20</v>
      </c>
      <c r="Q2252" s="575">
        <f>60+IF(OR(TipoDeCriatura="Entre mundos, Elemental",TipoDeCriatura="Ánima, Elemental"),10,0)</f>
        <v>60</v>
      </c>
      <c r="R2252" s="2818">
        <f>COUNTIF(PoderesDeCriatura_Adquiridos,Tablas!O2252)</f>
        <v>0</v>
      </c>
      <c r="S2252" s="422"/>
      <c r="T2252" s="2809"/>
      <c r="U2252" s="576"/>
      <c r="AB2252" s="413"/>
      <c r="AC2252" s="2795"/>
    </row>
    <row r="2253" spans="1:29" ht="12.75" customHeight="1" x14ac:dyDescent="0.2">
      <c r="A2253" s="2029">
        <v>211</v>
      </c>
      <c r="B2253" s="4995"/>
      <c r="C2253" s="2112"/>
      <c r="H2253" s="413"/>
      <c r="M2253" s="1959"/>
      <c r="N2253" s="100"/>
      <c r="O2253" s="468" t="s">
        <v>10228</v>
      </c>
      <c r="P2253" s="2811">
        <v>20</v>
      </c>
      <c r="Q2253" s="575">
        <f>80+IF(OR(TipoDeCriatura="Entre mundos, Elemental",TipoDeCriatura="Ánima, Elemental"),10,0)</f>
        <v>80</v>
      </c>
      <c r="R2253" s="2818">
        <f>COUNTIF(PoderesDeCriatura_Adquiridos,Tablas!O2253)</f>
        <v>0</v>
      </c>
      <c r="S2253" s="422"/>
      <c r="T2253" s="2809"/>
      <c r="AB2253" s="413"/>
      <c r="AC2253" s="2795"/>
    </row>
    <row r="2254" spans="1:29" ht="12.75" customHeight="1" x14ac:dyDescent="0.2">
      <c r="A2254" s="2029">
        <v>211</v>
      </c>
      <c r="B2254" s="4995"/>
      <c r="C2254" s="2112"/>
      <c r="H2254" s="413"/>
      <c r="M2254" s="1959"/>
      <c r="N2254" s="100"/>
      <c r="O2254" s="2" t="s">
        <v>16</v>
      </c>
      <c r="P2254" s="2811">
        <v>0</v>
      </c>
      <c r="Q2254" s="575">
        <v>20</v>
      </c>
      <c r="R2254" s="2818">
        <f>COUNTIF(PoderesDeCriatura_Adquiridos,Tablas!O2254)</f>
        <v>0</v>
      </c>
      <c r="S2254" s="422"/>
      <c r="T2254" s="2809"/>
      <c r="AB2254" s="413"/>
      <c r="AC2254" s="2795"/>
    </row>
    <row r="2255" spans="1:29" ht="12.75" customHeight="1" x14ac:dyDescent="0.2">
      <c r="A2255" s="2029">
        <v>211</v>
      </c>
      <c r="B2255" s="4995"/>
      <c r="C2255" s="2112"/>
      <c r="H2255" s="413"/>
      <c r="M2255" s="1959"/>
      <c r="N2255" s="100"/>
      <c r="O2255" s="468" t="s">
        <v>10229</v>
      </c>
      <c r="P2255" s="2811">
        <v>10</v>
      </c>
      <c r="Q2255" s="575">
        <v>30</v>
      </c>
      <c r="R2255" s="2818">
        <f>COUNTIF(PoderesDeCriatura_Adquiridos,Tablas!O2255)</f>
        <v>0</v>
      </c>
      <c r="S2255" s="422"/>
      <c r="T2255" s="2809"/>
      <c r="AB2255" s="413"/>
      <c r="AC2255" s="2795"/>
    </row>
    <row r="2256" spans="1:29" ht="12.75" customHeight="1" x14ac:dyDescent="0.2">
      <c r="A2256" s="2029">
        <v>211</v>
      </c>
      <c r="B2256" s="4995"/>
      <c r="C2256" s="2112"/>
      <c r="H2256" s="413"/>
      <c r="M2256" s="1959"/>
      <c r="N2256" s="100"/>
      <c r="O2256" s="468" t="s">
        <v>10230</v>
      </c>
      <c r="P2256" s="2811">
        <v>20</v>
      </c>
      <c r="Q2256" s="575">
        <v>50</v>
      </c>
      <c r="R2256" s="2818">
        <f>COUNTIF(PoderesDeCriatura_Adquiridos,Tablas!O2256)</f>
        <v>0</v>
      </c>
      <c r="S2256" s="422"/>
      <c r="T2256" s="2809"/>
      <c r="AB2256" s="413"/>
      <c r="AC2256" s="2795"/>
    </row>
    <row r="2257" spans="1:29" ht="12.75" customHeight="1" x14ac:dyDescent="0.2">
      <c r="A2257" s="2029">
        <v>211</v>
      </c>
      <c r="B2257" s="4995"/>
      <c r="C2257" s="2112"/>
      <c r="H2257" s="413"/>
      <c r="M2257" s="1959"/>
      <c r="N2257" s="100"/>
      <c r="O2257" s="468" t="s">
        <v>10231</v>
      </c>
      <c r="P2257" s="2811">
        <v>25</v>
      </c>
      <c r="Q2257" s="575">
        <v>80</v>
      </c>
      <c r="R2257" s="2818">
        <f>COUNTIF(PoderesDeCriatura_Adquiridos,Tablas!O2257)</f>
        <v>0</v>
      </c>
      <c r="S2257" s="422"/>
      <c r="T2257" s="2809"/>
      <c r="AB2257" s="413"/>
      <c r="AC2257" s="2795"/>
    </row>
    <row r="2258" spans="1:29" ht="12.75" customHeight="1" x14ac:dyDescent="0.2">
      <c r="A2258" s="2029">
        <v>211</v>
      </c>
      <c r="B2258" s="4995"/>
      <c r="C2258" s="2112"/>
      <c r="H2258" s="413"/>
      <c r="M2258" s="1959"/>
      <c r="N2258" s="100"/>
      <c r="O2258" s="468" t="s">
        <v>10232</v>
      </c>
      <c r="P2258" s="2811">
        <v>30</v>
      </c>
      <c r="Q2258" s="575">
        <v>110</v>
      </c>
      <c r="R2258" s="2818">
        <f>COUNTIF(PoderesDeCriatura_Adquiridos,Tablas!O2258)</f>
        <v>0</v>
      </c>
      <c r="S2258" s="422"/>
      <c r="T2258" s="2809"/>
      <c r="AB2258" s="413"/>
      <c r="AC2258" s="2795"/>
    </row>
    <row r="2259" spans="1:29" ht="12.75" customHeight="1" x14ac:dyDescent="0.2">
      <c r="A2259" s="2029">
        <v>211</v>
      </c>
      <c r="B2259" s="4995"/>
      <c r="C2259" s="2112"/>
      <c r="H2259" s="413"/>
      <c r="M2259" s="1959"/>
      <c r="N2259" s="100"/>
      <c r="O2259" s="468" t="s">
        <v>10233</v>
      </c>
      <c r="P2259" s="2811">
        <v>35</v>
      </c>
      <c r="Q2259" s="575">
        <v>140</v>
      </c>
      <c r="R2259" s="2818">
        <f>COUNTIF(PoderesDeCriatura_Adquiridos,Tablas!O2259)</f>
        <v>0</v>
      </c>
      <c r="S2259" s="422"/>
      <c r="T2259" s="2809"/>
      <c r="AB2259" s="413"/>
      <c r="AC2259" s="2795"/>
    </row>
    <row r="2260" spans="1:29" ht="12.75" customHeight="1" x14ac:dyDescent="0.2">
      <c r="A2260" s="2029">
        <v>211</v>
      </c>
      <c r="B2260" s="4995"/>
      <c r="C2260" s="2112"/>
      <c r="H2260" s="413"/>
      <c r="M2260" s="1959"/>
      <c r="N2260" s="100"/>
      <c r="O2260" s="468" t="s">
        <v>10234</v>
      </c>
      <c r="P2260" s="2811">
        <v>10</v>
      </c>
      <c r="Q2260" s="575">
        <v>-15</v>
      </c>
      <c r="R2260" s="2818">
        <f>COUNTIF(PoderesDeCriatura_Adquiridos,Tablas!O2260)</f>
        <v>0</v>
      </c>
      <c r="S2260" s="422"/>
      <c r="T2260" s="2809"/>
      <c r="AB2260" s="413"/>
      <c r="AC2260" s="2795"/>
    </row>
    <row r="2261" spans="1:29" ht="12.75" customHeight="1" x14ac:dyDescent="0.2">
      <c r="A2261" s="2029">
        <v>211</v>
      </c>
      <c r="B2261" s="4995"/>
      <c r="C2261" s="2112"/>
      <c r="H2261" s="413"/>
      <c r="M2261" s="1959"/>
      <c r="N2261" s="100"/>
      <c r="O2261" s="2" t="s">
        <v>17</v>
      </c>
      <c r="P2261" s="2811">
        <v>5</v>
      </c>
      <c r="Q2261" s="575">
        <v>20</v>
      </c>
      <c r="R2261" s="2818">
        <f>COUNTIF(PoderesDeCriatura_Adquiridos,Tablas!O2261)</f>
        <v>0</v>
      </c>
      <c r="S2261" s="422"/>
      <c r="T2261" s="2809"/>
      <c r="AB2261" s="413"/>
      <c r="AC2261" s="2795"/>
    </row>
    <row r="2262" spans="1:29" ht="12.75" customHeight="1" x14ac:dyDescent="0.2">
      <c r="A2262" s="2029">
        <v>211</v>
      </c>
      <c r="B2262" s="4995"/>
      <c r="C2262" s="2112"/>
      <c r="H2262" s="413"/>
      <c r="M2262" s="1959"/>
      <c r="N2262" s="100"/>
      <c r="O2262" s="468" t="s">
        <v>10235</v>
      </c>
      <c r="P2262" s="2811">
        <v>0</v>
      </c>
      <c r="Q2262" s="575">
        <v>10</v>
      </c>
      <c r="R2262" s="2818">
        <f>COUNTIF(PoderesDeCriatura_Adquiridos,Tablas!O2262)</f>
        <v>0</v>
      </c>
      <c r="S2262" s="422"/>
      <c r="T2262" s="2809"/>
      <c r="AB2262" s="413"/>
      <c r="AC2262" s="2795"/>
    </row>
    <row r="2263" spans="1:29" ht="12.75" customHeight="1" x14ac:dyDescent="0.2">
      <c r="A2263" s="2029">
        <v>211</v>
      </c>
      <c r="B2263" s="4995"/>
      <c r="C2263" s="2112"/>
      <c r="H2263" s="413"/>
      <c r="M2263" s="1959"/>
      <c r="N2263" s="100"/>
      <c r="O2263" s="468" t="s">
        <v>10236</v>
      </c>
      <c r="P2263" s="2811">
        <v>0</v>
      </c>
      <c r="Q2263" s="575">
        <v>20</v>
      </c>
      <c r="R2263" s="2818">
        <f>COUNTIF(PoderesDeCriatura_Adquiridos,Tablas!O2263)</f>
        <v>0</v>
      </c>
      <c r="S2263" s="422"/>
      <c r="T2263" s="2809"/>
      <c r="AB2263" s="413"/>
      <c r="AC2263" s="2795"/>
    </row>
    <row r="2264" spans="1:29" ht="12.75" customHeight="1" x14ac:dyDescent="0.2">
      <c r="A2264" s="2029">
        <v>211</v>
      </c>
      <c r="B2264" s="4995"/>
      <c r="C2264" s="2112"/>
      <c r="H2264" s="413"/>
      <c r="M2264" s="1959"/>
      <c r="N2264" s="100"/>
      <c r="O2264" s="468" t="s">
        <v>10237</v>
      </c>
      <c r="P2264" s="2811">
        <v>0</v>
      </c>
      <c r="Q2264" s="575">
        <v>30</v>
      </c>
      <c r="R2264" s="2818">
        <f>COUNTIF(PoderesDeCriatura_Adquiridos,Tablas!O2264)</f>
        <v>0</v>
      </c>
      <c r="S2264" s="422"/>
      <c r="T2264" s="2809"/>
      <c r="AB2264" s="413"/>
      <c r="AC2264" s="2795"/>
    </row>
    <row r="2265" spans="1:29" ht="12.75" customHeight="1" x14ac:dyDescent="0.2">
      <c r="A2265" s="2029">
        <v>211</v>
      </c>
      <c r="B2265" s="4995"/>
      <c r="C2265" s="2112"/>
      <c r="H2265" s="413"/>
      <c r="M2265" s="1959"/>
      <c r="N2265" s="100"/>
      <c r="O2265" s="468" t="s">
        <v>10238</v>
      </c>
      <c r="P2265" s="2811">
        <v>10</v>
      </c>
      <c r="Q2265" s="575">
        <v>20</v>
      </c>
      <c r="R2265" s="2818">
        <f>COUNTIF(PoderesDeCriatura_Adquiridos,Tablas!O2265)</f>
        <v>0</v>
      </c>
      <c r="S2265" s="422"/>
      <c r="T2265" s="2809"/>
      <c r="AB2265" s="413"/>
      <c r="AC2265" s="2795"/>
    </row>
    <row r="2266" spans="1:29" ht="12.75" customHeight="1" x14ac:dyDescent="0.2">
      <c r="A2266" s="2029">
        <v>211</v>
      </c>
      <c r="B2266" s="4995"/>
      <c r="C2266" s="2112"/>
      <c r="H2266" s="413"/>
      <c r="M2266" s="1959"/>
      <c r="N2266" s="100"/>
      <c r="O2266" s="468" t="s">
        <v>10239</v>
      </c>
      <c r="P2266" s="2811">
        <v>15</v>
      </c>
      <c r="Q2266" s="575">
        <v>40</v>
      </c>
      <c r="R2266" s="2818">
        <f>COUNTIF(PoderesDeCriatura_Adquiridos,Tablas!O2266)</f>
        <v>0</v>
      </c>
      <c r="S2266" s="422"/>
      <c r="T2266" s="2809"/>
      <c r="AB2266" s="413"/>
      <c r="AC2266" s="2795"/>
    </row>
    <row r="2267" spans="1:29" ht="12.75" customHeight="1" x14ac:dyDescent="0.2">
      <c r="A2267" s="2029">
        <v>211</v>
      </c>
      <c r="B2267" s="4995"/>
      <c r="C2267" s="2112"/>
      <c r="H2267" s="413"/>
      <c r="M2267" s="1959"/>
      <c r="N2267" s="100"/>
      <c r="O2267" s="468" t="s">
        <v>10240</v>
      </c>
      <c r="P2267" s="2811">
        <v>20</v>
      </c>
      <c r="Q2267" s="575">
        <v>60</v>
      </c>
      <c r="R2267" s="2818">
        <f>COUNTIF(PoderesDeCriatura_Adquiridos,Tablas!O2267)</f>
        <v>0</v>
      </c>
      <c r="S2267" s="422"/>
      <c r="T2267" s="2809"/>
      <c r="AB2267" s="413"/>
      <c r="AC2267" s="2795"/>
    </row>
    <row r="2268" spans="1:29" ht="12.75" customHeight="1" x14ac:dyDescent="0.2">
      <c r="A2268" s="2029">
        <v>211</v>
      </c>
      <c r="B2268" s="4995"/>
      <c r="C2268" s="2112"/>
      <c r="H2268" s="413"/>
      <c r="M2268" s="1959"/>
      <c r="N2268" s="100"/>
      <c r="O2268" s="468" t="s">
        <v>10241</v>
      </c>
      <c r="P2268" s="2811">
        <v>25</v>
      </c>
      <c r="Q2268" s="575">
        <v>80</v>
      </c>
      <c r="R2268" s="2818">
        <f>COUNTIF(PoderesDeCriatura_Adquiridos,Tablas!O2268)</f>
        <v>0</v>
      </c>
      <c r="S2268" s="422"/>
      <c r="T2268" s="2809"/>
      <c r="AB2268" s="413"/>
      <c r="AC2268" s="2795"/>
    </row>
    <row r="2269" spans="1:29" ht="12.75" customHeight="1" x14ac:dyDescent="0.2">
      <c r="A2269" s="2029">
        <v>211</v>
      </c>
      <c r="B2269" s="4995"/>
      <c r="C2269" s="2112"/>
      <c r="H2269" s="413"/>
      <c r="M2269" s="1959"/>
      <c r="N2269" s="100"/>
      <c r="O2269" s="468" t="s">
        <v>10242</v>
      </c>
      <c r="P2269" s="2811">
        <v>35</v>
      </c>
      <c r="Q2269" s="575">
        <v>120</v>
      </c>
      <c r="R2269" s="2818">
        <f>COUNTIF(PoderesDeCriatura_Adquiridos,Tablas!O2269)</f>
        <v>0</v>
      </c>
      <c r="S2269" s="422"/>
      <c r="T2269" s="2809"/>
      <c r="AB2269" s="413"/>
      <c r="AC2269" s="2795"/>
    </row>
    <row r="2270" spans="1:29" ht="12.75" customHeight="1" x14ac:dyDescent="0.2">
      <c r="A2270" s="2029">
        <v>211</v>
      </c>
      <c r="B2270" s="4995"/>
      <c r="C2270" s="2112"/>
      <c r="H2270" s="413"/>
      <c r="M2270" s="1959"/>
      <c r="N2270" s="100"/>
      <c r="O2270" s="468" t="s">
        <v>10243</v>
      </c>
      <c r="P2270" s="2811">
        <v>5</v>
      </c>
      <c r="Q2270" s="575">
        <v>10</v>
      </c>
      <c r="R2270" s="2818">
        <f>COUNTIF(PoderesDeCriatura_Adquiridos,Tablas!O2270)</f>
        <v>0</v>
      </c>
      <c r="S2270" s="422"/>
      <c r="T2270" s="2809"/>
      <c r="AB2270" s="413"/>
      <c r="AC2270" s="2795"/>
    </row>
    <row r="2271" spans="1:29" ht="12.75" customHeight="1" x14ac:dyDescent="0.2">
      <c r="A2271" s="2029">
        <v>211</v>
      </c>
      <c r="B2271" s="4995"/>
      <c r="C2271" s="2112"/>
      <c r="H2271" s="413"/>
      <c r="M2271" s="1959"/>
      <c r="N2271" s="100"/>
      <c r="O2271" s="468" t="s">
        <v>10244</v>
      </c>
      <c r="P2271" s="2811">
        <v>5</v>
      </c>
      <c r="Q2271" s="575">
        <v>20</v>
      </c>
      <c r="R2271" s="2818">
        <f>COUNTIF(PoderesDeCriatura_Adquiridos,Tablas!O2271)</f>
        <v>0</v>
      </c>
      <c r="S2271" s="422"/>
      <c r="T2271" s="2809"/>
      <c r="AB2271" s="413"/>
      <c r="AC2271" s="2795"/>
    </row>
    <row r="2272" spans="1:29" ht="12.75" customHeight="1" x14ac:dyDescent="0.2">
      <c r="A2272" s="2029">
        <v>211</v>
      </c>
      <c r="B2272" s="4995"/>
      <c r="C2272" s="2112"/>
      <c r="H2272" s="413"/>
      <c r="M2272" s="1959"/>
      <c r="N2272" s="100"/>
      <c r="O2272" s="468" t="s">
        <v>10245</v>
      </c>
      <c r="P2272" s="2811">
        <v>10</v>
      </c>
      <c r="Q2272" s="575">
        <v>30</v>
      </c>
      <c r="R2272" s="2818">
        <f>COUNTIF(PoderesDeCriatura_Adquiridos,Tablas!O2272)</f>
        <v>0</v>
      </c>
      <c r="S2272" s="422"/>
      <c r="T2272" s="2809"/>
      <c r="AB2272" s="413"/>
      <c r="AC2272" s="2795"/>
    </row>
    <row r="2273" spans="1:29" ht="12.75" customHeight="1" x14ac:dyDescent="0.2">
      <c r="A2273" s="2029">
        <v>211</v>
      </c>
      <c r="B2273" s="4995"/>
      <c r="C2273" s="2112"/>
      <c r="H2273" s="413"/>
      <c r="M2273" s="1959"/>
      <c r="N2273" s="100"/>
      <c r="O2273" s="468" t="s">
        <v>10246</v>
      </c>
      <c r="P2273" s="2811">
        <v>15</v>
      </c>
      <c r="Q2273" s="575">
        <v>40</v>
      </c>
      <c r="R2273" s="2818">
        <f>COUNTIF(PoderesDeCriatura_Adquiridos,Tablas!O2273)</f>
        <v>0</v>
      </c>
      <c r="S2273" s="422"/>
      <c r="T2273" s="2809"/>
      <c r="AB2273" s="413"/>
      <c r="AC2273" s="2795"/>
    </row>
    <row r="2274" spans="1:29" ht="12.75" customHeight="1" x14ac:dyDescent="0.2">
      <c r="A2274" s="2029">
        <v>211</v>
      </c>
      <c r="B2274" s="4995"/>
      <c r="C2274" s="2112"/>
      <c r="H2274" s="413"/>
      <c r="M2274" s="1959"/>
      <c r="N2274" s="100"/>
      <c r="O2274" s="468" t="s">
        <v>10247</v>
      </c>
      <c r="P2274" s="2811">
        <v>25</v>
      </c>
      <c r="Q2274" s="575">
        <v>50</v>
      </c>
      <c r="R2274" s="2818">
        <f>COUNTIF(PoderesDeCriatura_Adquiridos,Tablas!O2274)</f>
        <v>0</v>
      </c>
      <c r="S2274" s="422"/>
      <c r="T2274" s="2809"/>
      <c r="AB2274" s="413"/>
      <c r="AC2274" s="2795"/>
    </row>
    <row r="2275" spans="1:29" ht="12.75" customHeight="1" x14ac:dyDescent="0.2">
      <c r="A2275" s="2029">
        <v>211</v>
      </c>
      <c r="B2275" s="4995"/>
      <c r="C2275" s="2112"/>
      <c r="H2275" s="413"/>
      <c r="M2275" s="1959"/>
      <c r="N2275" s="100"/>
      <c r="O2275" s="2" t="s">
        <v>18</v>
      </c>
      <c r="P2275" s="2811"/>
      <c r="Q2275" s="575"/>
      <c r="R2275" s="2818"/>
      <c r="S2275" s="422"/>
      <c r="T2275" s="2809"/>
      <c r="AB2275" s="413"/>
      <c r="AC2275" s="2795"/>
    </row>
    <row r="2276" spans="1:29" ht="12.75" customHeight="1" x14ac:dyDescent="0.2">
      <c r="A2276" s="2029">
        <v>211</v>
      </c>
      <c r="B2276" s="4995"/>
      <c r="C2276" s="2112"/>
      <c r="H2276" s="413"/>
      <c r="M2276" s="1959"/>
      <c r="N2276" s="100"/>
      <c r="O2276" s="468" t="s">
        <v>10248</v>
      </c>
      <c r="P2276" s="2811">
        <v>5</v>
      </c>
      <c r="Q2276" s="575">
        <v>20</v>
      </c>
      <c r="R2276" s="2818">
        <f>COUNTIF(PoderesDeCriatura_Adquiridos,Tablas!O2276)</f>
        <v>0</v>
      </c>
      <c r="S2276" s="422"/>
      <c r="T2276" s="2809"/>
      <c r="AB2276" s="413"/>
      <c r="AC2276" s="2795"/>
    </row>
    <row r="2277" spans="1:29" ht="12.75" customHeight="1" x14ac:dyDescent="0.2">
      <c r="A2277" s="2029">
        <v>211</v>
      </c>
      <c r="B2277" s="4995"/>
      <c r="C2277" s="2112"/>
      <c r="H2277" s="413"/>
      <c r="M2277" s="1959"/>
      <c r="N2277" s="100"/>
      <c r="O2277" s="468" t="s">
        <v>10249</v>
      </c>
      <c r="P2277" s="2811">
        <v>20</v>
      </c>
      <c r="Q2277" s="575">
        <v>30</v>
      </c>
      <c r="R2277" s="2818">
        <f>COUNTIF(PoderesDeCriatura_Adquiridos,Tablas!O2277)</f>
        <v>0</v>
      </c>
      <c r="S2277" s="422"/>
      <c r="T2277" s="2809"/>
      <c r="AB2277" s="413"/>
      <c r="AC2277" s="2795"/>
    </row>
    <row r="2278" spans="1:29" ht="12.75" customHeight="1" x14ac:dyDescent="0.2">
      <c r="A2278" s="2029">
        <v>211</v>
      </c>
      <c r="B2278" s="4995"/>
      <c r="C2278" s="2112"/>
      <c r="H2278" s="413"/>
      <c r="M2278" s="1959"/>
      <c r="N2278" s="100"/>
      <c r="O2278" s="468" t="s">
        <v>10250</v>
      </c>
      <c r="P2278" s="2811">
        <v>15</v>
      </c>
      <c r="Q2278" s="575">
        <v>10</v>
      </c>
      <c r="R2278" s="2818">
        <f>COUNTIF(PoderesDeCriatura_Adquiridos,Tablas!O2278)</f>
        <v>0</v>
      </c>
      <c r="S2278" s="422"/>
      <c r="T2278" s="2809"/>
      <c r="AB2278" s="413"/>
      <c r="AC2278" s="2795"/>
    </row>
    <row r="2279" spans="1:29" ht="12.75" customHeight="1" x14ac:dyDescent="0.2">
      <c r="A2279" s="2029">
        <v>211</v>
      </c>
      <c r="B2279" s="4995"/>
      <c r="C2279" s="2112"/>
      <c r="H2279" s="413"/>
      <c r="M2279" s="1959"/>
      <c r="N2279" s="100"/>
      <c r="O2279" s="2" t="s">
        <v>22</v>
      </c>
      <c r="P2279" s="2811">
        <v>0</v>
      </c>
      <c r="Q2279" s="575">
        <v>20</v>
      </c>
      <c r="R2279" s="2818">
        <f>COUNTIF(PoderesDeCriatura_Adquiridos,Tablas!O2279)</f>
        <v>0</v>
      </c>
      <c r="S2279" s="422"/>
      <c r="T2279" s="2809"/>
      <c r="AB2279" s="413"/>
      <c r="AC2279" s="2795"/>
    </row>
    <row r="2280" spans="1:29" ht="12.75" customHeight="1" x14ac:dyDescent="0.2">
      <c r="A2280" s="2029">
        <v>211</v>
      </c>
      <c r="B2280" s="4995"/>
      <c r="C2280" s="2112"/>
      <c r="H2280" s="413"/>
      <c r="M2280" s="1959"/>
      <c r="N2280" s="100"/>
      <c r="O2280" s="468" t="s">
        <v>10251</v>
      </c>
      <c r="P2280" s="2811">
        <v>15</v>
      </c>
      <c r="Q2280" s="575">
        <v>30</v>
      </c>
      <c r="R2280" s="2818">
        <f>COUNTIF(PoderesDeCriatura_Adquiridos,Tablas!O2280)</f>
        <v>0</v>
      </c>
      <c r="S2280" s="422"/>
      <c r="T2280" s="2809"/>
      <c r="AB2280" s="413"/>
      <c r="AC2280" s="2795"/>
    </row>
    <row r="2281" spans="1:29" ht="12.75" customHeight="1" x14ac:dyDescent="0.2">
      <c r="A2281" s="2029">
        <v>211</v>
      </c>
      <c r="B2281" s="4995"/>
      <c r="C2281" s="2112"/>
      <c r="H2281" s="413"/>
      <c r="M2281" s="1959"/>
      <c r="N2281" s="100"/>
      <c r="O2281" s="468" t="s">
        <v>10252</v>
      </c>
      <c r="P2281" s="2811">
        <v>30</v>
      </c>
      <c r="Q2281" s="575">
        <v>60</v>
      </c>
      <c r="R2281" s="2818">
        <f>COUNTIF(PoderesDeCriatura_Adquiridos,Tablas!O2281)</f>
        <v>0</v>
      </c>
      <c r="S2281" s="422"/>
      <c r="T2281" s="2809"/>
      <c r="AB2281" s="413"/>
      <c r="AC2281" s="2795"/>
    </row>
    <row r="2282" spans="1:29" ht="12.75" customHeight="1" x14ac:dyDescent="0.2">
      <c r="A2282" s="2029">
        <v>211</v>
      </c>
      <c r="B2282" s="4995"/>
      <c r="C2282" s="2112"/>
      <c r="H2282" s="413"/>
      <c r="M2282" s="1959"/>
      <c r="N2282" s="100"/>
      <c r="O2282" s="468" t="s">
        <v>10266</v>
      </c>
      <c r="P2282" s="2811">
        <v>20</v>
      </c>
      <c r="Q2282" s="575">
        <v>40</v>
      </c>
      <c r="R2282" s="2818">
        <f>COUNTIF(PoderesDeCriatura_Adquiridos,Tablas!O2282)</f>
        <v>0</v>
      </c>
      <c r="S2282" s="422"/>
      <c r="T2282" s="2809"/>
      <c r="AB2282" s="413"/>
      <c r="AC2282" s="2795"/>
    </row>
    <row r="2283" spans="1:29" ht="12.75" customHeight="1" x14ac:dyDescent="0.2">
      <c r="A2283" s="2029">
        <v>211</v>
      </c>
      <c r="B2283" s="4995"/>
      <c r="C2283" s="2112"/>
      <c r="H2283" s="413"/>
      <c r="M2283" s="1959"/>
      <c r="N2283" s="100"/>
      <c r="O2283" s="468" t="s">
        <v>10267</v>
      </c>
      <c r="P2283" s="2811">
        <v>25</v>
      </c>
      <c r="Q2283" s="575">
        <v>60</v>
      </c>
      <c r="R2283" s="2818">
        <f>COUNTIF(PoderesDeCriatura_Adquiridos,Tablas!O2283)</f>
        <v>0</v>
      </c>
      <c r="S2283" s="422"/>
      <c r="T2283" s="2809"/>
      <c r="AB2283" s="413"/>
      <c r="AC2283" s="2795"/>
    </row>
    <row r="2284" spans="1:29" ht="12.75" customHeight="1" x14ac:dyDescent="0.2">
      <c r="A2284" s="2029">
        <v>211</v>
      </c>
      <c r="B2284" s="4995"/>
      <c r="C2284" s="2112"/>
      <c r="H2284" s="413"/>
      <c r="M2284" s="1959"/>
      <c r="N2284" s="100"/>
      <c r="O2284" s="468" t="s">
        <v>10268</v>
      </c>
      <c r="P2284" s="2811">
        <v>30</v>
      </c>
      <c r="Q2284" s="575">
        <v>50</v>
      </c>
      <c r="R2284" s="2818">
        <f>COUNTIF(PoderesDeCriatura_Adquiridos,Tablas!O2284)</f>
        <v>0</v>
      </c>
      <c r="S2284" s="422"/>
      <c r="T2284" s="2809"/>
      <c r="AB2284" s="413"/>
      <c r="AC2284" s="2795"/>
    </row>
    <row r="2285" spans="1:29" ht="12.75" customHeight="1" x14ac:dyDescent="0.2">
      <c r="A2285" s="2029">
        <v>211</v>
      </c>
      <c r="B2285" s="4995"/>
      <c r="C2285" s="2112"/>
      <c r="H2285" s="413"/>
      <c r="M2285" s="1959"/>
      <c r="N2285" s="100"/>
      <c r="O2285" s="468" t="s">
        <v>10269</v>
      </c>
      <c r="P2285" s="2811">
        <v>20</v>
      </c>
      <c r="Q2285" s="575">
        <v>-20</v>
      </c>
      <c r="R2285" s="2818">
        <f>COUNTIF(PoderesDeCriatura_Adquiridos,Tablas!O2285)</f>
        <v>0</v>
      </c>
      <c r="S2285" s="422"/>
      <c r="T2285" s="2809"/>
      <c r="AB2285" s="413"/>
      <c r="AC2285" s="2795"/>
    </row>
    <row r="2286" spans="1:29" ht="12.75" customHeight="1" x14ac:dyDescent="0.2">
      <c r="A2286" s="2029">
        <v>211</v>
      </c>
      <c r="B2286" s="4995"/>
      <c r="C2286" s="2112"/>
      <c r="H2286" s="413"/>
      <c r="M2286" s="1959"/>
      <c r="N2286" s="100"/>
      <c r="O2286" s="468" t="s">
        <v>10270</v>
      </c>
      <c r="P2286" s="2811">
        <v>20</v>
      </c>
      <c r="Q2286" s="575">
        <v>-20</v>
      </c>
      <c r="R2286" s="2818">
        <f>COUNTIF(PoderesDeCriatura_Adquiridos,Tablas!O2286)</f>
        <v>0</v>
      </c>
      <c r="S2286" s="422"/>
      <c r="T2286" s="2809"/>
      <c r="AB2286" s="413"/>
      <c r="AC2286" s="2795"/>
    </row>
    <row r="2287" spans="1:29" ht="12.75" customHeight="1" x14ac:dyDescent="0.2">
      <c r="A2287" s="2029">
        <v>211</v>
      </c>
      <c r="B2287" s="4995"/>
      <c r="C2287" s="2112"/>
      <c r="H2287" s="413"/>
      <c r="M2287" s="1959"/>
      <c r="N2287" s="100"/>
      <c r="O2287" s="2" t="s">
        <v>23</v>
      </c>
      <c r="P2287" s="2811"/>
      <c r="Q2287" s="575"/>
      <c r="R2287" s="2818"/>
      <c r="S2287" s="422"/>
      <c r="T2287" s="2809"/>
      <c r="AB2287" s="413"/>
      <c r="AC2287" s="2795"/>
    </row>
    <row r="2288" spans="1:29" ht="12.75" customHeight="1" x14ac:dyDescent="0.2">
      <c r="A2288" s="2029">
        <v>211</v>
      </c>
      <c r="B2288" s="4995"/>
      <c r="C2288" s="2112"/>
      <c r="H2288" s="413"/>
      <c r="M2288" s="1959"/>
      <c r="N2288" s="100"/>
      <c r="O2288" s="468" t="s">
        <v>10253</v>
      </c>
      <c r="P2288" s="2811">
        <v>10</v>
      </c>
      <c r="Q2288" s="575">
        <v>20</v>
      </c>
      <c r="R2288" s="2818">
        <f>COUNTIF(PoderesDeCriatura_Adquiridos,Tablas!O2288)</f>
        <v>0</v>
      </c>
      <c r="S2288" s="422"/>
      <c r="T2288" s="2809"/>
      <c r="AB2288" s="413"/>
      <c r="AC2288" s="2795"/>
    </row>
    <row r="2289" spans="1:29" ht="12.75" customHeight="1" x14ac:dyDescent="0.2">
      <c r="A2289" s="2029">
        <v>211</v>
      </c>
      <c r="B2289" s="4995"/>
      <c r="C2289" s="2112"/>
      <c r="H2289" s="413"/>
      <c r="M2289" s="1959"/>
      <c r="N2289" s="100"/>
      <c r="O2289" s="468" t="s">
        <v>10254</v>
      </c>
      <c r="P2289" s="2811">
        <v>20</v>
      </c>
      <c r="Q2289" s="575">
        <v>30</v>
      </c>
      <c r="R2289" s="2818">
        <f>COUNTIF(PoderesDeCriatura_Adquiridos,Tablas!O2289)</f>
        <v>0</v>
      </c>
      <c r="S2289" s="422"/>
      <c r="T2289" s="2809"/>
      <c r="AB2289" s="413"/>
      <c r="AC2289" s="2795"/>
    </row>
    <row r="2290" spans="1:29" ht="12.75" customHeight="1" x14ac:dyDescent="0.2">
      <c r="A2290" s="2029">
        <v>211</v>
      </c>
      <c r="B2290" s="4995"/>
      <c r="C2290" s="2112"/>
      <c r="H2290" s="413"/>
      <c r="M2290" s="1959"/>
      <c r="N2290" s="100"/>
      <c r="O2290" s="468" t="s">
        <v>10255</v>
      </c>
      <c r="P2290" s="2811">
        <v>25</v>
      </c>
      <c r="Q2290" s="575">
        <v>40</v>
      </c>
      <c r="R2290" s="2818">
        <f>COUNTIF(PoderesDeCriatura_Adquiridos,Tablas!O2290)</f>
        <v>0</v>
      </c>
      <c r="S2290" s="422"/>
      <c r="T2290" s="2809"/>
      <c r="AB2290" s="413"/>
      <c r="AC2290" s="2795"/>
    </row>
    <row r="2291" spans="1:29" ht="12.75" customHeight="1" x14ac:dyDescent="0.2">
      <c r="A2291" s="2029">
        <v>211</v>
      </c>
      <c r="B2291" s="4995"/>
      <c r="C2291" s="2112"/>
      <c r="H2291" s="413"/>
      <c r="M2291" s="1959"/>
      <c r="N2291" s="100"/>
      <c r="O2291" s="468" t="s">
        <v>10256</v>
      </c>
      <c r="P2291" s="2811">
        <v>30</v>
      </c>
      <c r="Q2291" s="575">
        <v>60</v>
      </c>
      <c r="R2291" s="2818">
        <f>COUNTIF(PoderesDeCriatura_Adquiridos,Tablas!O2291)</f>
        <v>0</v>
      </c>
      <c r="S2291" s="422"/>
      <c r="T2291" s="2809"/>
      <c r="AB2291" s="413"/>
      <c r="AC2291" s="2795"/>
    </row>
    <row r="2292" spans="1:29" ht="12.75" customHeight="1" x14ac:dyDescent="0.2">
      <c r="A2292" s="2029">
        <v>211</v>
      </c>
      <c r="B2292" s="4995"/>
      <c r="C2292" s="2112"/>
      <c r="H2292" s="413"/>
      <c r="M2292" s="1959"/>
      <c r="N2292" s="100"/>
      <c r="O2292" s="468" t="s">
        <v>10257</v>
      </c>
      <c r="P2292" s="2811">
        <v>35</v>
      </c>
      <c r="Q2292" s="575">
        <v>80</v>
      </c>
      <c r="R2292" s="2818">
        <f>COUNTIF(PoderesDeCriatura_Adquiridos,Tablas!O2292)</f>
        <v>0</v>
      </c>
      <c r="S2292" s="422"/>
      <c r="T2292" s="2809"/>
      <c r="AB2292" s="413"/>
      <c r="AC2292" s="2795"/>
    </row>
    <row r="2293" spans="1:29" ht="12.75" customHeight="1" x14ac:dyDescent="0.2">
      <c r="A2293" s="2029">
        <v>211</v>
      </c>
      <c r="B2293" s="4995"/>
      <c r="C2293" s="2112"/>
      <c r="H2293" s="413"/>
      <c r="M2293" s="1959"/>
      <c r="N2293" s="100"/>
      <c r="O2293" s="468" t="s">
        <v>10258</v>
      </c>
      <c r="P2293" s="2811">
        <v>10</v>
      </c>
      <c r="Q2293" s="575">
        <v>-20</v>
      </c>
      <c r="R2293" s="2818">
        <f>COUNTIF(PoderesDeCriatura_Adquiridos,Tablas!O2293)</f>
        <v>0</v>
      </c>
      <c r="S2293" s="422"/>
      <c r="T2293" s="2809"/>
      <c r="AB2293" s="413"/>
      <c r="AC2293" s="2795"/>
    </row>
    <row r="2294" spans="1:29" ht="12.75" customHeight="1" x14ac:dyDescent="0.2">
      <c r="A2294" s="2029">
        <v>211</v>
      </c>
      <c r="B2294" s="4995"/>
      <c r="C2294" s="2112"/>
      <c r="H2294" s="413"/>
      <c r="M2294" s="1959"/>
      <c r="N2294" s="100"/>
      <c r="O2294" s="468" t="s">
        <v>10259</v>
      </c>
      <c r="P2294" s="2811">
        <v>30</v>
      </c>
      <c r="Q2294" s="575">
        <v>100</v>
      </c>
      <c r="R2294" s="2818">
        <f>COUNTIF(PoderesDeCriatura_Adquiridos,Tablas!O2294)</f>
        <v>0</v>
      </c>
      <c r="S2294" s="422"/>
      <c r="T2294" s="2809"/>
      <c r="AB2294" s="413"/>
      <c r="AC2294" s="2795"/>
    </row>
    <row r="2295" spans="1:29" ht="12.75" customHeight="1" x14ac:dyDescent="0.2">
      <c r="A2295" s="2029">
        <v>211</v>
      </c>
      <c r="B2295" s="4995"/>
      <c r="C2295" s="2112"/>
      <c r="H2295" s="413"/>
      <c r="M2295" s="1959"/>
      <c r="N2295" s="100"/>
      <c r="O2295" s="468" t="s">
        <v>10260</v>
      </c>
      <c r="P2295" s="2811">
        <v>35</v>
      </c>
      <c r="Q2295" s="575">
        <v>150</v>
      </c>
      <c r="R2295" s="2818">
        <f>COUNTIF(PoderesDeCriatura_Adquiridos,Tablas!O2295)</f>
        <v>0</v>
      </c>
      <c r="S2295" s="422"/>
      <c r="T2295" s="2809"/>
      <c r="AB2295" s="413"/>
      <c r="AC2295" s="2795"/>
    </row>
    <row r="2296" spans="1:29" ht="12.75" customHeight="1" x14ac:dyDescent="0.2">
      <c r="A2296" s="2029">
        <v>211</v>
      </c>
      <c r="B2296" s="4995"/>
      <c r="C2296" s="2112"/>
      <c r="H2296" s="413"/>
      <c r="M2296" s="1959"/>
      <c r="N2296" s="100"/>
      <c r="O2296" s="2" t="s">
        <v>24</v>
      </c>
      <c r="P2296" s="2811">
        <v>30</v>
      </c>
      <c r="Q2296" s="575">
        <v>150</v>
      </c>
      <c r="R2296" s="2818">
        <f>COUNTIF(PoderesDeCriatura_Adquiridos,Tablas!O2296)</f>
        <v>0</v>
      </c>
      <c r="S2296" s="422"/>
      <c r="T2296" s="2809"/>
      <c r="AB2296" s="413"/>
      <c r="AC2296" s="2795"/>
    </row>
    <row r="2297" spans="1:29" ht="12.75" customHeight="1" x14ac:dyDescent="0.2">
      <c r="A2297" s="2029">
        <v>211</v>
      </c>
      <c r="B2297" s="4995"/>
      <c r="C2297" s="2112"/>
      <c r="H2297" s="413"/>
      <c r="M2297" s="1959"/>
      <c r="N2297" s="100"/>
      <c r="O2297" s="468" t="s">
        <v>25</v>
      </c>
      <c r="P2297" s="2811"/>
      <c r="Q2297" s="575"/>
      <c r="R2297" s="2818"/>
      <c r="S2297" s="422"/>
      <c r="T2297" s="2809"/>
      <c r="AB2297" s="413"/>
      <c r="AC2297" s="2795"/>
    </row>
    <row r="2298" spans="1:29" ht="12.75" customHeight="1" x14ac:dyDescent="0.2">
      <c r="A2298" s="2029">
        <v>211</v>
      </c>
      <c r="B2298" s="4995"/>
      <c r="C2298" s="2112"/>
      <c r="H2298" s="413"/>
      <c r="M2298" s="1959"/>
      <c r="N2298" s="100"/>
      <c r="O2298" s="2" t="s">
        <v>26</v>
      </c>
      <c r="P2298" s="2811">
        <v>35</v>
      </c>
      <c r="Q2298" s="575">
        <v>40</v>
      </c>
      <c r="R2298" s="2818">
        <f>COUNTIF(PoderesDeCriatura_Adquiridos,Tablas!O2298)</f>
        <v>0</v>
      </c>
      <c r="S2298" s="422"/>
      <c r="T2298" s="2809"/>
      <c r="AB2298" s="413"/>
      <c r="AC2298" s="2795"/>
    </row>
    <row r="2299" spans="1:29" ht="12.75" customHeight="1" x14ac:dyDescent="0.2">
      <c r="A2299" s="2029">
        <v>211</v>
      </c>
      <c r="B2299" s="4995"/>
      <c r="C2299" s="2112"/>
      <c r="H2299" s="413"/>
      <c r="M2299" s="1959"/>
      <c r="N2299" s="100"/>
      <c r="O2299" s="468" t="s">
        <v>10261</v>
      </c>
      <c r="P2299" s="2811">
        <v>35</v>
      </c>
      <c r="Q2299" s="575">
        <v>40</v>
      </c>
      <c r="R2299" s="2818">
        <f>COUNTIF(PoderesDeCriatura_Adquiridos,Tablas!O2299)</f>
        <v>0</v>
      </c>
      <c r="S2299" s="422"/>
      <c r="T2299" s="2809"/>
      <c r="Y2299" s="2112"/>
      <c r="AB2299" s="413"/>
      <c r="AC2299" s="2795"/>
    </row>
    <row r="2300" spans="1:29" ht="12.75" customHeight="1" x14ac:dyDescent="0.2">
      <c r="A2300" s="2029">
        <v>211</v>
      </c>
      <c r="B2300" s="4995"/>
      <c r="C2300" s="2112"/>
      <c r="H2300" s="413"/>
      <c r="M2300" s="1959"/>
      <c r="N2300" s="100"/>
      <c r="O2300" s="468" t="s">
        <v>10262</v>
      </c>
      <c r="P2300" s="2811">
        <v>40</v>
      </c>
      <c r="Q2300" s="575">
        <v>60</v>
      </c>
      <c r="R2300" s="2818">
        <f>COUNTIF(PoderesDeCriatura_Adquiridos,Tablas!O2300)</f>
        <v>0</v>
      </c>
      <c r="S2300" s="422">
        <f>IF(R2299,15,IF(R2300,20,0))</f>
        <v>0</v>
      </c>
      <c r="T2300" s="2809" t="s">
        <v>2401</v>
      </c>
      <c r="Y2300" s="2112"/>
      <c r="AB2300" s="413"/>
      <c r="AC2300" s="2795"/>
    </row>
    <row r="2301" spans="1:29" ht="12.75" customHeight="1" x14ac:dyDescent="0.2">
      <c r="A2301" s="2029">
        <v>211</v>
      </c>
      <c r="B2301" s="4995"/>
      <c r="C2301" s="2112"/>
      <c r="H2301" s="413"/>
      <c r="M2301" s="1959"/>
      <c r="N2301" s="100"/>
      <c r="O2301" s="468" t="s">
        <v>10263</v>
      </c>
      <c r="P2301" s="2811">
        <v>35</v>
      </c>
      <c r="Q2301" s="575">
        <v>40</v>
      </c>
      <c r="R2301" s="2818">
        <f>COUNTIF(PoderesDeCriatura_Adquiridos,Tablas!O2301)</f>
        <v>0</v>
      </c>
      <c r="S2301" s="422"/>
      <c r="T2301" s="2809"/>
      <c r="Y2301" s="2112"/>
      <c r="AB2301" s="413"/>
      <c r="AC2301" s="2795"/>
    </row>
    <row r="2302" spans="1:29" ht="12.75" customHeight="1" x14ac:dyDescent="0.2">
      <c r="A2302" s="2029">
        <v>211</v>
      </c>
      <c r="B2302" s="4995"/>
      <c r="C2302" s="2112"/>
      <c r="H2302" s="413"/>
      <c r="M2302" s="1959"/>
      <c r="N2302" s="100"/>
      <c r="O2302" s="468" t="s">
        <v>10264</v>
      </c>
      <c r="P2302" s="2811">
        <v>35</v>
      </c>
      <c r="Q2302" s="575">
        <v>40</v>
      </c>
      <c r="R2302" s="2818">
        <f>COUNTIF(PoderesDeCriatura_Adquiridos,Tablas!O2302)</f>
        <v>0</v>
      </c>
      <c r="S2302" s="422"/>
      <c r="T2302" s="2809"/>
      <c r="Y2302" s="2112"/>
      <c r="AB2302" s="413"/>
      <c r="AC2302" s="2795"/>
    </row>
    <row r="2303" spans="1:29" ht="12.75" customHeight="1" x14ac:dyDescent="0.2">
      <c r="A2303" s="2029">
        <v>211</v>
      </c>
      <c r="B2303" s="4995"/>
      <c r="C2303" s="2625"/>
      <c r="H2303" s="413"/>
      <c r="M2303" s="1959"/>
      <c r="N2303" s="100"/>
      <c r="O2303" s="468" t="s">
        <v>10265</v>
      </c>
      <c r="P2303" s="2811">
        <v>40</v>
      </c>
      <c r="Q2303" s="575">
        <v>20</v>
      </c>
      <c r="R2303" s="2818">
        <f>COUNTIF(PoderesDeCriatura_Adquiridos,Tablas!O2303)</f>
        <v>0</v>
      </c>
      <c r="S2303" s="422"/>
      <c r="T2303" s="2809"/>
      <c r="Y2303" s="2112"/>
      <c r="AB2303" s="413"/>
      <c r="AC2303" s="2795"/>
    </row>
    <row r="2304" spans="1:29" ht="12.75" customHeight="1" x14ac:dyDescent="0.2">
      <c r="A2304" s="2029">
        <v>211</v>
      </c>
      <c r="B2304" s="4995"/>
      <c r="C2304" s="2625"/>
      <c r="H2304" s="413"/>
      <c r="M2304" s="1959"/>
      <c r="N2304" s="100"/>
      <c r="O2304" s="2" t="s">
        <v>27</v>
      </c>
      <c r="P2304" s="2811">
        <v>35</v>
      </c>
      <c r="Q2304" s="575">
        <v>50</v>
      </c>
      <c r="R2304" s="2818">
        <f>COUNTIF(PoderesDeCriatura_Adquiridos,Tablas!O2304)</f>
        <v>0</v>
      </c>
      <c r="S2304" s="422"/>
      <c r="T2304" s="2809"/>
      <c r="Y2304" s="2112"/>
      <c r="AB2304" s="413"/>
      <c r="AC2304" s="2795"/>
    </row>
    <row r="2305" spans="1:29" ht="12.75" customHeight="1" x14ac:dyDescent="0.2">
      <c r="A2305" s="2029">
        <v>211</v>
      </c>
      <c r="B2305" s="4995"/>
      <c r="C2305" s="2625"/>
      <c r="H2305" s="413"/>
      <c r="M2305" s="1959"/>
      <c r="N2305" s="100"/>
      <c r="O2305" s="2" t="s">
        <v>28</v>
      </c>
      <c r="P2305" s="2811">
        <v>30</v>
      </c>
      <c r="Q2305" s="575">
        <v>40</v>
      </c>
      <c r="R2305" s="2818">
        <f>COUNTIF(PoderesDeCriatura_Adquiridos,Tablas!O2305)</f>
        <v>0</v>
      </c>
      <c r="S2305" s="422"/>
      <c r="T2305" s="2809"/>
      <c r="Y2305" s="2112"/>
      <c r="AB2305" s="413"/>
      <c r="AC2305" s="2795"/>
    </row>
    <row r="2306" spans="1:29" ht="12.75" customHeight="1" x14ac:dyDescent="0.2">
      <c r="A2306" s="2029">
        <v>211</v>
      </c>
      <c r="B2306" s="4995"/>
      <c r="C2306" s="2625"/>
      <c r="H2306" s="413"/>
      <c r="M2306" s="1959"/>
      <c r="N2306" s="100"/>
      <c r="O2306" s="2" t="s">
        <v>29</v>
      </c>
      <c r="P2306" s="2811"/>
      <c r="Q2306" s="575"/>
      <c r="R2306" s="2818"/>
      <c r="S2306" s="422"/>
      <c r="T2306" s="2809"/>
      <c r="Y2306" s="2112"/>
      <c r="AB2306" s="413"/>
      <c r="AC2306" s="2795"/>
    </row>
    <row r="2307" spans="1:29" ht="12.75" customHeight="1" x14ac:dyDescent="0.2">
      <c r="A2307" s="2029">
        <v>211</v>
      </c>
      <c r="B2307" s="4995"/>
      <c r="H2307" s="413"/>
      <c r="M2307" s="1959"/>
      <c r="N2307" s="100"/>
      <c r="O2307" s="2" t="str">
        <f>IF(Personalización!I17=0,"Poder #1",Personalización!I17)</f>
        <v>Poder #1</v>
      </c>
      <c r="P2307" s="2811">
        <f>Personalización!P17</f>
        <v>0</v>
      </c>
      <c r="Q2307" s="575">
        <f>Personalización!Q17</f>
        <v>0</v>
      </c>
      <c r="R2307" s="2818">
        <f>COUNTIF(PoderesDeCriatura_Adquiridos,Tablas!O2307)</f>
        <v>0</v>
      </c>
      <c r="S2307" s="422"/>
      <c r="T2307" s="2809"/>
      <c r="Y2307" s="2112"/>
      <c r="AB2307" s="413"/>
      <c r="AC2307" s="2795"/>
    </row>
    <row r="2308" spans="1:29" ht="12.75" customHeight="1" x14ac:dyDescent="0.2">
      <c r="A2308" s="2029">
        <v>211</v>
      </c>
      <c r="B2308" s="4995"/>
      <c r="H2308" s="413"/>
      <c r="M2308" s="1959"/>
      <c r="N2308" s="100"/>
      <c r="O2308" s="2" t="str">
        <f>IF(Personalización!I18=0,"Poder #2",Personalización!I18)</f>
        <v>Poder #2</v>
      </c>
      <c r="P2308" s="2811">
        <f>Personalización!P18</f>
        <v>0</v>
      </c>
      <c r="Q2308" s="575">
        <f>Personalización!Q18</f>
        <v>0</v>
      </c>
      <c r="R2308" s="2818">
        <f>COUNTIF(PoderesDeCriatura_Adquiridos,Tablas!O2308)</f>
        <v>0</v>
      </c>
      <c r="S2308" s="422"/>
      <c r="T2308" s="2809"/>
      <c r="Y2308" s="2112"/>
      <c r="AB2308" s="413"/>
      <c r="AC2308" s="2795"/>
    </row>
    <row r="2309" spans="1:29" ht="12.75" customHeight="1" x14ac:dyDescent="0.2">
      <c r="A2309" s="2029">
        <v>211</v>
      </c>
      <c r="B2309" s="4995"/>
      <c r="H2309" s="413"/>
      <c r="M2309" s="1959"/>
      <c r="N2309" s="100"/>
      <c r="O2309" s="2" t="str">
        <f>IF(Personalización!I19=0,"Poder #3",Personalización!I19)</f>
        <v>Poder #3</v>
      </c>
      <c r="P2309" s="2811">
        <f>Personalización!P19</f>
        <v>0</v>
      </c>
      <c r="Q2309" s="575">
        <f>Personalización!Q19</f>
        <v>0</v>
      </c>
      <c r="R2309" s="2818">
        <f>COUNTIF(PoderesDeCriatura_Adquiridos,Tablas!O2309)</f>
        <v>0</v>
      </c>
      <c r="S2309" s="422"/>
      <c r="T2309" s="2809"/>
      <c r="Y2309" s="2112"/>
      <c r="AB2309" s="413"/>
      <c r="AC2309" s="2795"/>
    </row>
    <row r="2310" spans="1:29" ht="12.75" customHeight="1" x14ac:dyDescent="0.2">
      <c r="A2310" s="2029">
        <v>211</v>
      </c>
      <c r="B2310" s="4995"/>
      <c r="H2310" s="413"/>
      <c r="M2310" s="1959"/>
      <c r="N2310" s="100"/>
      <c r="O2310" s="2" t="str">
        <f>IF(Personalización!I20=0,"Poder #4",Personalización!I20)</f>
        <v>Poder #4</v>
      </c>
      <c r="P2310" s="2811">
        <f>Personalización!P20</f>
        <v>0</v>
      </c>
      <c r="Q2310" s="575">
        <f>Personalización!Q20</f>
        <v>0</v>
      </c>
      <c r="R2310" s="2818">
        <f>COUNTIF(PoderesDeCriatura_Adquiridos,Tablas!O2310)</f>
        <v>0</v>
      </c>
      <c r="S2310" s="422"/>
      <c r="T2310" s="2809"/>
      <c r="Y2310" s="2112"/>
      <c r="AB2310" s="413"/>
      <c r="AC2310" s="2795"/>
    </row>
    <row r="2311" spans="1:29" ht="12.75" customHeight="1" x14ac:dyDescent="0.2">
      <c r="A2311" s="2029">
        <v>211</v>
      </c>
      <c r="B2311" s="4995"/>
      <c r="H2311" s="413"/>
      <c r="M2311" s="1959"/>
      <c r="N2311" s="100"/>
      <c r="O2311" s="2" t="str">
        <f>IF(Personalización!I21=0,"Poder #5",Personalización!I21)</f>
        <v>Poder #5</v>
      </c>
      <c r="P2311" s="2811">
        <f>Personalización!P21</f>
        <v>0</v>
      </c>
      <c r="Q2311" s="575">
        <f>Personalización!Q21</f>
        <v>0</v>
      </c>
      <c r="R2311" s="2818">
        <f>COUNTIF(PoderesDeCriatura_Adquiridos,Tablas!O2311)</f>
        <v>0</v>
      </c>
      <c r="S2311" s="422"/>
      <c r="T2311" s="2809"/>
      <c r="Y2311" s="2112"/>
      <c r="AB2311" s="413"/>
      <c r="AC2311" s="2795"/>
    </row>
    <row r="2312" spans="1:29" ht="12.75" customHeight="1" x14ac:dyDescent="0.2">
      <c r="A2312" s="2029">
        <v>211</v>
      </c>
      <c r="B2312" s="4995"/>
      <c r="H2312" s="413"/>
      <c r="M2312" s="1959"/>
      <c r="N2312" s="100"/>
      <c r="O2312" s="2" t="str">
        <f>IF(Personalización!I22=0,"Poder #6",Personalización!I22)</f>
        <v>Poder #6</v>
      </c>
      <c r="P2312" s="2811">
        <f>Personalización!P22</f>
        <v>0</v>
      </c>
      <c r="Q2312" s="575">
        <f>Personalización!Q22</f>
        <v>0</v>
      </c>
      <c r="R2312" s="2818">
        <f>COUNTIF(PoderesDeCriatura_Adquiridos,Tablas!O2312)</f>
        <v>0</v>
      </c>
      <c r="S2312" s="422"/>
      <c r="T2312" s="2809"/>
      <c r="Y2312" s="2112"/>
      <c r="AB2312" s="413"/>
      <c r="AC2312" s="2795"/>
    </row>
    <row r="2313" spans="1:29" ht="12.75" customHeight="1" x14ac:dyDescent="0.2">
      <c r="A2313" s="2029">
        <v>211</v>
      </c>
      <c r="B2313" s="4995"/>
      <c r="H2313" s="413"/>
      <c r="M2313" s="1959"/>
      <c r="N2313" s="100"/>
      <c r="O2313" s="2" t="str">
        <f>IF(Personalización!I23=0,"Poder #7",Personalización!I23)</f>
        <v>Poder #7</v>
      </c>
      <c r="P2313" s="2811">
        <f>Personalización!P23</f>
        <v>0</v>
      </c>
      <c r="Q2313" s="575">
        <f>Personalización!Q23</f>
        <v>0</v>
      </c>
      <c r="R2313" s="2818">
        <f>COUNTIF(PoderesDeCriatura_Adquiridos,Tablas!O2313)</f>
        <v>0</v>
      </c>
      <c r="S2313" s="422"/>
      <c r="T2313" s="2809"/>
      <c r="Y2313" s="2112"/>
      <c r="AB2313" s="413"/>
      <c r="AC2313" s="2795"/>
    </row>
    <row r="2314" spans="1:29" ht="12.75" customHeight="1" x14ac:dyDescent="0.2">
      <c r="A2314" s="2029">
        <v>211</v>
      </c>
      <c r="B2314" s="4995"/>
      <c r="H2314" s="413"/>
      <c r="M2314" s="1959"/>
      <c r="N2314" s="100"/>
      <c r="O2314" s="2" t="str">
        <f>IF(Personalización!I24=0,"Poder #8",Personalización!I24)</f>
        <v>Poder #8</v>
      </c>
      <c r="P2314" s="2811">
        <f>Personalización!P24</f>
        <v>0</v>
      </c>
      <c r="Q2314" s="575">
        <f>Personalización!Q24</f>
        <v>0</v>
      </c>
      <c r="R2314" s="2818">
        <f>COUNTIF(PoderesDeCriatura_Adquiridos,Tablas!O2314)</f>
        <v>0</v>
      </c>
      <c r="S2314" s="422"/>
      <c r="T2314" s="2809"/>
      <c r="Y2314" s="2112"/>
      <c r="AB2314" s="413"/>
      <c r="AC2314" s="2795"/>
    </row>
    <row r="2315" spans="1:29" ht="12.75" customHeight="1" x14ac:dyDescent="0.2">
      <c r="A2315" s="2029">
        <v>211</v>
      </c>
      <c r="B2315" s="4995"/>
      <c r="H2315" s="413"/>
      <c r="M2315" s="1959"/>
      <c r="N2315" s="100"/>
      <c r="O2315" s="2" t="str">
        <f>IF(Personalización!I25=0,"Poder #9",Personalización!I25)</f>
        <v>Poder #9</v>
      </c>
      <c r="P2315" s="2811">
        <f>Personalización!P25</f>
        <v>0</v>
      </c>
      <c r="Q2315" s="575">
        <f>Personalización!Q25</f>
        <v>0</v>
      </c>
      <c r="R2315" s="2818">
        <f>COUNTIF(PoderesDeCriatura_Adquiridos,Tablas!O2315)</f>
        <v>0</v>
      </c>
      <c r="S2315" s="422"/>
      <c r="T2315" s="2809"/>
      <c r="Y2315" s="2112"/>
      <c r="AB2315" s="413"/>
      <c r="AC2315" s="2795"/>
    </row>
    <row r="2316" spans="1:29" ht="12.75" customHeight="1" thickBot="1" x14ac:dyDescent="0.25">
      <c r="A2316" s="2029">
        <v>211</v>
      </c>
      <c r="B2316" s="4995"/>
      <c r="H2316" s="413"/>
      <c r="M2316" s="1960"/>
      <c r="N2316" s="2289"/>
      <c r="O2316" s="2826" t="str">
        <f>IF(Personalización!I26=0,"Poder #10",Personalización!I26)</f>
        <v>Poder #10</v>
      </c>
      <c r="P2316" s="2812">
        <f>Personalización!P26</f>
        <v>0</v>
      </c>
      <c r="Q2316" s="2291">
        <f>Personalización!Q26</f>
        <v>0</v>
      </c>
      <c r="R2316" s="2819">
        <f>COUNTIF(PoderesDeCriatura_Adquiridos,Tablas!O2316)</f>
        <v>0</v>
      </c>
      <c r="S2316" s="2290"/>
      <c r="T2316" s="2810"/>
      <c r="Y2316" s="2112"/>
      <c r="AB2316" s="413"/>
      <c r="AC2316" s="2795"/>
    </row>
    <row r="2317" spans="1:29" ht="12.75" customHeight="1" x14ac:dyDescent="0.2">
      <c r="A2317" s="2029">
        <v>211</v>
      </c>
      <c r="B2317" s="4995"/>
      <c r="H2317" s="413"/>
      <c r="I2317" s="1761"/>
      <c r="N2317" s="413"/>
      <c r="O2317" s="2112"/>
      <c r="AB2317" s="413"/>
      <c r="AC2317" s="2795"/>
    </row>
    <row r="2318" spans="1:29" ht="12.75" customHeight="1" x14ac:dyDescent="0.2">
      <c r="A2318" s="2029">
        <v>211</v>
      </c>
      <c r="B2318" s="4995"/>
      <c r="C2318" s="4996" t="s">
        <v>9445</v>
      </c>
      <c r="D2318" s="4996"/>
      <c r="E2318" s="4996"/>
      <c r="F2318" s="4996"/>
      <c r="G2318" s="4996"/>
      <c r="H2318" s="4996"/>
      <c r="I2318" s="4996"/>
      <c r="J2318" s="4996"/>
      <c r="K2318" s="4996"/>
      <c r="L2318" s="4996"/>
      <c r="M2318" s="4996"/>
      <c r="N2318" s="4996"/>
      <c r="O2318" s="4996"/>
      <c r="P2318" s="4996"/>
      <c r="Q2318" s="4996"/>
      <c r="R2318" s="4996"/>
      <c r="S2318" s="4996"/>
      <c r="T2318" s="4996"/>
      <c r="U2318" s="4996"/>
      <c r="V2318" s="4996"/>
      <c r="W2318" s="4996"/>
      <c r="X2318" s="4996"/>
      <c r="Y2318" s="4996"/>
      <c r="AB2318" s="413"/>
      <c r="AC2318" s="2795"/>
    </row>
    <row r="2319" spans="1:29" ht="12.75" customHeight="1" x14ac:dyDescent="0.2">
      <c r="A2319" s="2029">
        <v>211</v>
      </c>
      <c r="B2319" s="4995"/>
      <c r="C2319" s="4996"/>
      <c r="D2319" s="4996"/>
      <c r="E2319" s="4996"/>
      <c r="F2319" s="4996"/>
      <c r="G2319" s="4996"/>
      <c r="H2319" s="4996"/>
      <c r="I2319" s="4996"/>
      <c r="J2319" s="4996"/>
      <c r="K2319" s="4996"/>
      <c r="L2319" s="4996"/>
      <c r="M2319" s="4996"/>
      <c r="N2319" s="4996"/>
      <c r="O2319" s="4996"/>
      <c r="P2319" s="4996"/>
      <c r="Q2319" s="4996"/>
      <c r="R2319" s="4996"/>
      <c r="S2319" s="4996"/>
      <c r="T2319" s="4996"/>
      <c r="U2319" s="4996"/>
      <c r="V2319" s="4996"/>
      <c r="W2319" s="4996"/>
      <c r="X2319" s="4996"/>
      <c r="Y2319" s="4996"/>
      <c r="AB2319" s="413"/>
      <c r="AC2319" s="2795"/>
    </row>
    <row r="2320" spans="1:29" ht="12.75" customHeight="1" x14ac:dyDescent="0.2">
      <c r="A2320" s="2029">
        <v>211</v>
      </c>
      <c r="B2320" s="4995"/>
      <c r="C2320" s="4996"/>
      <c r="D2320" s="4996"/>
      <c r="E2320" s="4996"/>
      <c r="F2320" s="4996"/>
      <c r="G2320" s="4996"/>
      <c r="H2320" s="4996"/>
      <c r="I2320" s="4996"/>
      <c r="J2320" s="4996"/>
      <c r="K2320" s="4996"/>
      <c r="L2320" s="4996"/>
      <c r="M2320" s="4996"/>
      <c r="N2320" s="4996"/>
      <c r="O2320" s="4996"/>
      <c r="P2320" s="4996"/>
      <c r="Q2320" s="4996"/>
      <c r="R2320" s="4996"/>
      <c r="S2320" s="4996"/>
      <c r="T2320" s="4996"/>
      <c r="U2320" s="4996"/>
      <c r="V2320" s="4996"/>
      <c r="W2320" s="4996"/>
      <c r="X2320" s="4996"/>
      <c r="Y2320" s="4996"/>
      <c r="AB2320" s="413"/>
      <c r="AC2320" s="2795"/>
    </row>
    <row r="2321" spans="1:29" ht="12.75" customHeight="1" thickBot="1" x14ac:dyDescent="0.25">
      <c r="A2321" s="2029">
        <v>211</v>
      </c>
      <c r="B2321" s="4995"/>
      <c r="H2321" s="413"/>
      <c r="I2321" s="1761"/>
      <c r="N2321" s="413"/>
      <c r="O2321" s="2112"/>
      <c r="AB2321" s="413"/>
      <c r="AC2321" s="2795"/>
    </row>
    <row r="2322" spans="1:29" ht="12.75" customHeight="1" x14ac:dyDescent="0.2">
      <c r="A2322" s="2029">
        <v>211</v>
      </c>
      <c r="B2322" s="4995"/>
      <c r="C2322" s="5039" t="s">
        <v>8360</v>
      </c>
      <c r="D2322" s="5040"/>
      <c r="E2322" s="5039" t="s">
        <v>2159</v>
      </c>
      <c r="F2322" s="5207"/>
      <c r="G2322" s="5207"/>
      <c r="H2322" s="5207"/>
      <c r="I2322" s="5207"/>
      <c r="J2322" s="5207"/>
      <c r="K2322" s="5207"/>
      <c r="L2322" s="5207"/>
      <c r="M2322" s="5207"/>
      <c r="N2322" s="5207"/>
      <c r="O2322" s="2710"/>
      <c r="P2322" s="2710"/>
      <c r="Q2322" s="2712"/>
      <c r="R2322" s="2711"/>
      <c r="T2322" s="5212" t="s">
        <v>9433</v>
      </c>
      <c r="U2322" s="5213"/>
      <c r="V2322" s="5213"/>
      <c r="W2322" s="5213"/>
      <c r="X2322" s="5213"/>
      <c r="Y2322" s="5214"/>
      <c r="AB2322" s="413"/>
      <c r="AC2322" s="2795"/>
    </row>
    <row r="2323" spans="1:29" ht="12.75" customHeight="1" x14ac:dyDescent="0.2">
      <c r="A2323" s="2029">
        <v>211</v>
      </c>
      <c r="B2323" s="4995"/>
      <c r="C2323" s="5041"/>
      <c r="D2323" s="5042"/>
      <c r="E2323" s="5041"/>
      <c r="F2323" s="5208"/>
      <c r="G2323" s="5208"/>
      <c r="H2323" s="5208"/>
      <c r="I2323" s="5208"/>
      <c r="J2323" s="5208"/>
      <c r="K2323" s="5208"/>
      <c r="L2323" s="5208"/>
      <c r="M2323" s="5208"/>
      <c r="N2323" s="5208"/>
      <c r="O2323" s="5219" t="s">
        <v>9429</v>
      </c>
      <c r="P2323" s="5218">
        <f>COUNTIF(J2326:J2518,"&gt;0")</f>
        <v>0</v>
      </c>
      <c r="Q2323" s="2713"/>
      <c r="R2323" s="1841"/>
      <c r="T2323" s="5215"/>
      <c r="U2323" s="5216"/>
      <c r="V2323" s="5216"/>
      <c r="W2323" s="5216"/>
      <c r="X2323" s="5216"/>
      <c r="Y2323" s="5217"/>
      <c r="AB2323" s="413"/>
      <c r="AC2323" s="2795"/>
    </row>
    <row r="2324" spans="1:29" ht="12.75" customHeight="1" x14ac:dyDescent="0.2">
      <c r="A2324" s="2029">
        <v>211</v>
      </c>
      <c r="B2324" s="4995"/>
      <c r="C2324" s="1870" t="s">
        <v>8361</v>
      </c>
      <c r="D2324" s="1835"/>
      <c r="E2324" s="2714"/>
      <c r="F2324" s="2709" t="s">
        <v>9430</v>
      </c>
      <c r="G2324" s="1839">
        <v>3</v>
      </c>
      <c r="H2324" s="1839">
        <v>4</v>
      </c>
      <c r="I2324" s="1839">
        <v>5</v>
      </c>
      <c r="J2324" s="1839">
        <v>6</v>
      </c>
      <c r="K2324" s="1839">
        <v>7</v>
      </c>
      <c r="L2324" s="1839">
        <v>8</v>
      </c>
      <c r="M2324" s="1839">
        <v>9</v>
      </c>
      <c r="N2324" s="1839">
        <v>10</v>
      </c>
      <c r="O2324" s="5219"/>
      <c r="P2324" s="5218"/>
      <c r="Q2324" s="2713">
        <v>13</v>
      </c>
      <c r="R2324" s="1841">
        <v>14</v>
      </c>
      <c r="T2324" s="5211" t="s">
        <v>9431</v>
      </c>
      <c r="U2324" s="5209"/>
      <c r="V2324" s="5209" t="s">
        <v>9432</v>
      </c>
      <c r="W2324" s="5209"/>
      <c r="X2324" s="5209" t="s">
        <v>1512</v>
      </c>
      <c r="Y2324" s="5210"/>
      <c r="AB2324" s="413"/>
      <c r="AC2324" s="2795"/>
    </row>
    <row r="2325" spans="1:29" ht="12.75" customHeight="1" x14ac:dyDescent="0.2">
      <c r="A2325" s="2029">
        <v>211</v>
      </c>
      <c r="B2325" s="4995"/>
      <c r="C2325" s="1870" t="s">
        <v>8362</v>
      </c>
      <c r="D2325" s="1835"/>
      <c r="E2325" s="2715" t="s">
        <v>8361</v>
      </c>
      <c r="F2325" s="2707">
        <f>IF(Elan!$C$11=Tablas!$E2325,Elan!$G$11,IF(Elan!$U$11=Tablas!$E2325,Elan!$Y$11,0))</f>
        <v>0</v>
      </c>
      <c r="G2325" s="2708" t="s">
        <v>1133</v>
      </c>
      <c r="H2325" s="2708" t="s">
        <v>2159</v>
      </c>
      <c r="I2325" s="2708" t="s">
        <v>1804</v>
      </c>
      <c r="J2325" s="2708" t="s">
        <v>8374</v>
      </c>
      <c r="K2325" s="2708" t="s">
        <v>9175</v>
      </c>
      <c r="L2325" s="2708" t="s">
        <v>1866</v>
      </c>
      <c r="M2325" s="1839"/>
      <c r="N2325" s="1839"/>
      <c r="O2325" s="1839"/>
      <c r="P2325" s="1839"/>
      <c r="Q2325" s="2713"/>
      <c r="R2325" s="2059" t="s">
        <v>3197</v>
      </c>
      <c r="T2325" s="3027" t="s">
        <v>8361</v>
      </c>
      <c r="U2325" s="3028">
        <v>2</v>
      </c>
      <c r="V2325" s="3028">
        <v>3</v>
      </c>
      <c r="W2325" s="3028">
        <v>4</v>
      </c>
      <c r="X2325" s="3028">
        <v>5</v>
      </c>
      <c r="Y2325" s="3029">
        <v>6</v>
      </c>
      <c r="AB2325" s="413"/>
      <c r="AC2325" s="2795"/>
    </row>
    <row r="2326" spans="1:29" ht="12.75" customHeight="1" x14ac:dyDescent="0.2">
      <c r="A2326" s="2029">
        <v>211</v>
      </c>
      <c r="B2326" s="4995"/>
      <c r="C2326" s="1870" t="s">
        <v>8363</v>
      </c>
      <c r="D2326" s="1835"/>
      <c r="E2326" s="2716" t="s">
        <v>8375</v>
      </c>
      <c r="F2326" s="1837"/>
      <c r="G2326" s="1837">
        <v>10</v>
      </c>
      <c r="H2326" s="1838">
        <v>1</v>
      </c>
      <c r="I2326" s="1838">
        <v>5</v>
      </c>
      <c r="J2326" s="1838">
        <f>COUNTIF(Elan!$C$13:$F$25,Tablas!E2326)+COUNTIF(Elan!$U$13:$X$25,Tablas!E2326)</f>
        <v>0</v>
      </c>
      <c r="K2326" s="1837"/>
      <c r="L2326" s="5194" t="s">
        <v>8568</v>
      </c>
      <c r="M2326" s="5194"/>
      <c r="N2326" s="5194"/>
      <c r="O2326" s="5194"/>
      <c r="P2326" s="5194"/>
      <c r="Q2326" s="5195"/>
      <c r="R2326" s="2719">
        <f>IF(OR($J2326=0,$J2326="Aprendida"),0,SUM($J$2326:$J2326))</f>
        <v>0</v>
      </c>
      <c r="T2326" s="3030" t="s">
        <v>8569</v>
      </c>
      <c r="U2326" s="3031">
        <v>1</v>
      </c>
      <c r="V2326" s="3032" t="s">
        <v>8570</v>
      </c>
      <c r="W2326" s="3031">
        <v>1</v>
      </c>
      <c r="X2326" s="3031" t="s">
        <v>8571</v>
      </c>
      <c r="Y2326" s="3033">
        <v>-5</v>
      </c>
      <c r="AB2326" s="413"/>
      <c r="AC2326" s="2795"/>
    </row>
    <row r="2327" spans="1:29" ht="12.75" customHeight="1" x14ac:dyDescent="0.2">
      <c r="A2327" s="2029">
        <v>211</v>
      </c>
      <c r="B2327" s="4995"/>
      <c r="C2327" s="1870" t="s">
        <v>8364</v>
      </c>
      <c r="D2327" s="1835"/>
      <c r="E2327" s="2716" t="s">
        <v>8376</v>
      </c>
      <c r="F2327" s="1837"/>
      <c r="G2327" s="1837">
        <v>20</v>
      </c>
      <c r="H2327" s="1838">
        <v>1</v>
      </c>
      <c r="I2327" s="1838">
        <v>10</v>
      </c>
      <c r="J2327" s="1838">
        <f>COUNTIF(Elan!$C$13:$F$25,Tablas!E2327)+COUNTIF(Elan!$U$13:$X$25,Tablas!E2327)</f>
        <v>0</v>
      </c>
      <c r="K2327" s="1837"/>
      <c r="L2327" s="5194" t="s">
        <v>8572</v>
      </c>
      <c r="M2327" s="5194"/>
      <c r="N2327" s="5194"/>
      <c r="O2327" s="5194"/>
      <c r="P2327" s="5194"/>
      <c r="Q2327" s="5195"/>
      <c r="R2327" s="2719">
        <f>IF(OR($J2327=0,$J2327="Aprendida"),0,SUM($J$2326:$J2327))</f>
        <v>0</v>
      </c>
      <c r="T2327" s="3030" t="s">
        <v>8573</v>
      </c>
      <c r="U2327" s="3031">
        <v>5</v>
      </c>
      <c r="V2327" s="3032" t="s">
        <v>8574</v>
      </c>
      <c r="W2327" s="3031">
        <v>3</v>
      </c>
      <c r="X2327" s="3031" t="s">
        <v>8575</v>
      </c>
      <c r="Y2327" s="3033">
        <v>-3</v>
      </c>
      <c r="AB2327" s="413"/>
      <c r="AC2327" s="2795"/>
    </row>
    <row r="2328" spans="1:29" ht="12.75" customHeight="1" x14ac:dyDescent="0.2">
      <c r="A2328" s="2029">
        <v>211</v>
      </c>
      <c r="B2328" s="4995"/>
      <c r="C2328" s="1870" t="s">
        <v>8269</v>
      </c>
      <c r="D2328" s="1835"/>
      <c r="E2328" s="2716" t="s">
        <v>8377</v>
      </c>
      <c r="F2328" s="1837"/>
      <c r="G2328" s="1837">
        <v>30</v>
      </c>
      <c r="H2328" s="1838">
        <v>1</v>
      </c>
      <c r="I2328" s="1838">
        <v>5</v>
      </c>
      <c r="J2328" s="1838">
        <f>COUNTIF(Elan!$C$13:$F$25,Tablas!E2328)+COUNTIF(Elan!$U$13:$X$25,Tablas!E2328)</f>
        <v>0</v>
      </c>
      <c r="K2328" s="1837"/>
      <c r="L2328" s="5194" t="s">
        <v>8576</v>
      </c>
      <c r="M2328" s="5194"/>
      <c r="N2328" s="5194"/>
      <c r="O2328" s="5194"/>
      <c r="P2328" s="5194"/>
      <c r="Q2328" s="5195"/>
      <c r="R2328" s="2719">
        <f>IF(OR($J2328=0,$J2328="Aprendida"),0,SUM($J$2326:$J2328))</f>
        <v>0</v>
      </c>
      <c r="T2328" s="3030" t="s">
        <v>8577</v>
      </c>
      <c r="U2328" s="3031">
        <v>3</v>
      </c>
      <c r="V2328" s="3032" t="s">
        <v>8578</v>
      </c>
      <c r="W2328" s="3031">
        <v>1</v>
      </c>
      <c r="X2328" s="3031" t="s">
        <v>8579</v>
      </c>
      <c r="Y2328" s="3033">
        <v>-10</v>
      </c>
      <c r="AB2328" s="413"/>
      <c r="AC2328" s="2795"/>
    </row>
    <row r="2329" spans="1:29" ht="12.75" customHeight="1" x14ac:dyDescent="0.2">
      <c r="A2329" s="2029">
        <v>211</v>
      </c>
      <c r="B2329" s="4995"/>
      <c r="C2329" s="1870" t="s">
        <v>8365</v>
      </c>
      <c r="D2329" s="1835"/>
      <c r="E2329" s="2716" t="s">
        <v>8378</v>
      </c>
      <c r="F2329" s="1837"/>
      <c r="G2329" s="1837">
        <v>40</v>
      </c>
      <c r="H2329" s="1838">
        <v>1</v>
      </c>
      <c r="I2329" s="1838">
        <v>20</v>
      </c>
      <c r="J2329" s="1838">
        <f>COUNTIF(Elan!$C$13:$F$25,Tablas!E2329)+COUNTIF(Elan!$U$13:$X$25,Tablas!E2329)</f>
        <v>0</v>
      </c>
      <c r="K2329" s="1837">
        <f>$F$2325/2*J2329</f>
        <v>0</v>
      </c>
      <c r="L2329" s="5194" t="s">
        <v>8580</v>
      </c>
      <c r="M2329" s="5194"/>
      <c r="N2329" s="5194"/>
      <c r="O2329" s="5194"/>
      <c r="P2329" s="5194"/>
      <c r="Q2329" s="5195"/>
      <c r="R2329" s="2719">
        <f>IF(OR($J2329=0,$J2329="Aprendida"),0,SUM($J$2326:$J2329))</f>
        <v>0</v>
      </c>
      <c r="T2329" s="3030" t="s">
        <v>8581</v>
      </c>
      <c r="U2329" s="3031">
        <v>3</v>
      </c>
      <c r="V2329" s="3032" t="s">
        <v>8582</v>
      </c>
      <c r="W2329" s="3031">
        <v>1</v>
      </c>
      <c r="X2329" s="3031"/>
      <c r="Y2329" s="3033"/>
      <c r="AB2329" s="413"/>
      <c r="AC2329" s="2795"/>
    </row>
    <row r="2330" spans="1:29" ht="12.75" customHeight="1" x14ac:dyDescent="0.2">
      <c r="A2330" s="2029">
        <v>211</v>
      </c>
      <c r="B2330" s="4995"/>
      <c r="C2330" s="1870" t="s">
        <v>8366</v>
      </c>
      <c r="D2330" s="1835"/>
      <c r="E2330" s="2716" t="s">
        <v>8379</v>
      </c>
      <c r="F2330" s="1837"/>
      <c r="G2330" s="1837">
        <v>50</v>
      </c>
      <c r="H2330" s="1838">
        <v>1</v>
      </c>
      <c r="I2330" s="1838">
        <v>15</v>
      </c>
      <c r="J2330" s="1838">
        <f>COUNTIF(Elan!$C$13:$F$25,Tablas!E2330)+COUNTIF(Elan!$U$13:$X$25,Tablas!E2330)</f>
        <v>0</v>
      </c>
      <c r="K2330" s="1837"/>
      <c r="L2330" s="5194" t="s">
        <v>8583</v>
      </c>
      <c r="M2330" s="5194"/>
      <c r="N2330" s="5194"/>
      <c r="O2330" s="5194"/>
      <c r="P2330" s="5194"/>
      <c r="Q2330" s="5195"/>
      <c r="R2330" s="2719">
        <f>IF(OR($J2330=0,$J2330="Aprendida"),0,SUM($J$2326:$J2330))</f>
        <v>0</v>
      </c>
      <c r="T2330" s="3030" t="s">
        <v>8584</v>
      </c>
      <c r="U2330" s="3031">
        <v>1</v>
      </c>
      <c r="V2330" s="3032"/>
      <c r="W2330" s="3031"/>
      <c r="X2330" s="3031"/>
      <c r="Y2330" s="3033"/>
      <c r="AB2330" s="413"/>
      <c r="AC2330" s="2795"/>
    </row>
    <row r="2331" spans="1:29" ht="12.75" customHeight="1" x14ac:dyDescent="0.2">
      <c r="A2331" s="2029">
        <v>211</v>
      </c>
      <c r="B2331" s="4995"/>
      <c r="C2331" s="1870" t="s">
        <v>8367</v>
      </c>
      <c r="D2331" s="1835"/>
      <c r="E2331" s="2716" t="s">
        <v>3305</v>
      </c>
      <c r="F2331" s="1837"/>
      <c r="G2331" s="1837">
        <v>50</v>
      </c>
      <c r="H2331" s="1838">
        <f>IF(J2329=1,1,0)</f>
        <v>0</v>
      </c>
      <c r="I2331" s="1838">
        <v>10</v>
      </c>
      <c r="J2331" s="1838">
        <f>COUNTIF(Elan!$C$13:$F$25,Tablas!E2331)+COUNTIF(Elan!$U$13:$X$25,Tablas!E2331)</f>
        <v>0</v>
      </c>
      <c r="K2331" s="1837"/>
      <c r="L2331" s="5194" t="s">
        <v>8585</v>
      </c>
      <c r="M2331" s="5194"/>
      <c r="N2331" s="5194"/>
      <c r="O2331" s="5194"/>
      <c r="P2331" s="5194"/>
      <c r="Q2331" s="5195"/>
      <c r="R2331" s="2719">
        <f>IF(OR($J2331=0,$J2331="Aprendida"),0,SUM($J$2326:$J2331))</f>
        <v>0</v>
      </c>
      <c r="T2331" s="3030" t="s">
        <v>8574</v>
      </c>
      <c r="U2331" s="3031">
        <v>5</v>
      </c>
      <c r="V2331" s="3032"/>
      <c r="W2331" s="3031"/>
      <c r="X2331" s="3031"/>
      <c r="Y2331" s="3033"/>
      <c r="AB2331" s="413"/>
      <c r="AC2331" s="2795"/>
    </row>
    <row r="2332" spans="1:29" ht="12.75" customHeight="1" x14ac:dyDescent="0.2">
      <c r="A2332" s="2029">
        <v>211</v>
      </c>
      <c r="B2332" s="4995"/>
      <c r="C2332" s="1870" t="s">
        <v>8368</v>
      </c>
      <c r="D2332" s="1835"/>
      <c r="E2332" s="2716" t="s">
        <v>8380</v>
      </c>
      <c r="F2332" s="1837"/>
      <c r="G2332" s="1837">
        <v>60</v>
      </c>
      <c r="H2332" s="1838">
        <v>1</v>
      </c>
      <c r="I2332" s="1838">
        <v>10</v>
      </c>
      <c r="J2332" s="1838">
        <f>COUNTIF(Elan!$C$13:$F$25,Tablas!E2332)+COUNTIF(Elan!$U$13:$X$25,Tablas!E2332)</f>
        <v>0</v>
      </c>
      <c r="K2332" s="1837"/>
      <c r="L2332" s="5194" t="s">
        <v>8586</v>
      </c>
      <c r="M2332" s="5194"/>
      <c r="N2332" s="5194"/>
      <c r="O2332" s="5194"/>
      <c r="P2332" s="5194"/>
      <c r="Q2332" s="5195"/>
      <c r="R2332" s="2719">
        <f>IF(OR($J2332=0,$J2332="Aprendida"),0,SUM($J$2326:$J2332))</f>
        <v>0</v>
      </c>
      <c r="T2332" s="3034"/>
      <c r="U2332" s="3035"/>
      <c r="V2332" s="3035"/>
      <c r="W2332" s="3035"/>
      <c r="X2332" s="3035"/>
      <c r="Y2332" s="3036"/>
      <c r="AB2332" s="413"/>
      <c r="AC2332" s="2795"/>
    </row>
    <row r="2333" spans="1:29" ht="12.75" customHeight="1" x14ac:dyDescent="0.2">
      <c r="A2333" s="2029">
        <v>211</v>
      </c>
      <c r="B2333" s="4995"/>
      <c r="C2333" s="1870" t="s">
        <v>8369</v>
      </c>
      <c r="D2333" s="1835"/>
      <c r="E2333" s="2716" t="s">
        <v>8381</v>
      </c>
      <c r="F2333" s="1837"/>
      <c r="G2333" s="1837">
        <v>70</v>
      </c>
      <c r="H2333" s="1838">
        <v>1</v>
      </c>
      <c r="I2333" s="1838">
        <v>10</v>
      </c>
      <c r="J2333" s="1838">
        <f>COUNTIF(Elan!$C$13:$F$25,Tablas!E2333)+COUNTIF(Elan!$U$13:$X$25,Tablas!E2333)</f>
        <v>0</v>
      </c>
      <c r="K2333" s="1837"/>
      <c r="L2333" s="5194" t="s">
        <v>8587</v>
      </c>
      <c r="M2333" s="5194"/>
      <c r="N2333" s="5194"/>
      <c r="O2333" s="5194"/>
      <c r="P2333" s="5194"/>
      <c r="Q2333" s="5195"/>
      <c r="R2333" s="2719">
        <f>IF(OR($J2333=0,$J2333="Aprendida"),0,SUM($J$2326:$J2333))</f>
        <v>0</v>
      </c>
      <c r="T2333" s="3027" t="str">
        <f>E2338</f>
        <v>Zemial</v>
      </c>
      <c r="U2333" s="3028"/>
      <c r="V2333" s="3037"/>
      <c r="W2333" s="3028"/>
      <c r="X2333" s="3028"/>
      <c r="Y2333" s="3029"/>
      <c r="AB2333" s="413"/>
      <c r="AC2333" s="2795"/>
    </row>
    <row r="2334" spans="1:29" ht="12.75" customHeight="1" x14ac:dyDescent="0.2">
      <c r="A2334" s="2029">
        <v>211</v>
      </c>
      <c r="B2334" s="4995"/>
      <c r="C2334" s="1870" t="s">
        <v>8370</v>
      </c>
      <c r="D2334" s="1835"/>
      <c r="E2334" s="2716" t="s">
        <v>8382</v>
      </c>
      <c r="F2334" s="1837"/>
      <c r="G2334" s="1837">
        <v>70</v>
      </c>
      <c r="H2334" s="1838">
        <v>1</v>
      </c>
      <c r="I2334" s="1838">
        <v>10</v>
      </c>
      <c r="J2334" s="1838">
        <f>COUNTIF(Elan!$C$13:$F$25,Tablas!E2334)+COUNTIF(Elan!$U$13:$X$25,Tablas!E2334)</f>
        <v>0</v>
      </c>
      <c r="K2334" s="1837"/>
      <c r="L2334" s="5194" t="s">
        <v>8588</v>
      </c>
      <c r="M2334" s="5194"/>
      <c r="N2334" s="5194"/>
      <c r="O2334" s="5194"/>
      <c r="P2334" s="5194"/>
      <c r="Q2334" s="5195"/>
      <c r="R2334" s="2719">
        <f>IF(OR($J2334=0,$J2334="Aprendida"),0,SUM($J$2326:$J2334))</f>
        <v>0</v>
      </c>
      <c r="T2334" s="3030" t="s">
        <v>8593</v>
      </c>
      <c r="U2334" s="3031">
        <v>1</v>
      </c>
      <c r="V2334" s="3032" t="s">
        <v>8594</v>
      </c>
      <c r="W2334" s="3031">
        <v>5</v>
      </c>
      <c r="X2334" s="3031" t="s">
        <v>8595</v>
      </c>
      <c r="Y2334" s="3033">
        <v>-3</v>
      </c>
      <c r="AB2334" s="413"/>
      <c r="AC2334" s="2795"/>
    </row>
    <row r="2335" spans="1:29" ht="12.75" customHeight="1" x14ac:dyDescent="0.2">
      <c r="A2335" s="2029">
        <v>211</v>
      </c>
      <c r="B2335" s="4995"/>
      <c r="C2335" s="1870" t="s">
        <v>8371</v>
      </c>
      <c r="D2335" s="1835"/>
      <c r="E2335" s="2716" t="s">
        <v>8383</v>
      </c>
      <c r="F2335" s="1837"/>
      <c r="G2335" s="1837">
        <v>80</v>
      </c>
      <c r="H2335" s="1838">
        <v>1</v>
      </c>
      <c r="I2335" s="1838">
        <v>15</v>
      </c>
      <c r="J2335" s="1838">
        <f>COUNTIF(Elan!$C$13:$F$25,Tablas!E2335)+COUNTIF(Elan!$U$13:$X$25,Tablas!E2335)</f>
        <v>0</v>
      </c>
      <c r="K2335" s="1837"/>
      <c r="L2335" s="5194" t="s">
        <v>8589</v>
      </c>
      <c r="M2335" s="5194"/>
      <c r="N2335" s="5194"/>
      <c r="O2335" s="5194"/>
      <c r="P2335" s="5194"/>
      <c r="Q2335" s="5195"/>
      <c r="R2335" s="2719">
        <f>IF(OR($J2335=0,$J2335="Aprendida"),0,SUM($J$2326:$J2335))</f>
        <v>0</v>
      </c>
      <c r="T2335" s="3030" t="s">
        <v>8897</v>
      </c>
      <c r="U2335" s="3031">
        <v>5</v>
      </c>
      <c r="V2335" s="3032" t="s">
        <v>8597</v>
      </c>
      <c r="W2335" s="3031">
        <v>2</v>
      </c>
      <c r="X2335" s="3031" t="s">
        <v>8598</v>
      </c>
      <c r="Y2335" s="3033">
        <v>-5</v>
      </c>
      <c r="AB2335" s="413"/>
      <c r="AC2335" s="2795"/>
    </row>
    <row r="2336" spans="1:29" ht="12.75" customHeight="1" x14ac:dyDescent="0.2">
      <c r="A2336" s="2029">
        <v>211</v>
      </c>
      <c r="B2336" s="4995"/>
      <c r="C2336" s="1870" t="s">
        <v>8372</v>
      </c>
      <c r="D2336" s="1835"/>
      <c r="E2336" s="2716" t="s">
        <v>8384</v>
      </c>
      <c r="F2336" s="1837"/>
      <c r="G2336" s="1837">
        <v>90</v>
      </c>
      <c r="H2336" s="1838">
        <v>1</v>
      </c>
      <c r="I2336" s="1838">
        <v>20</v>
      </c>
      <c r="J2336" s="1838">
        <f>COUNTIF(Elan!$C$13:$F$25,Tablas!E2336)+COUNTIF(Elan!$U$13:$X$25,Tablas!E2336)</f>
        <v>0</v>
      </c>
      <c r="K2336" s="1837"/>
      <c r="L2336" s="5194" t="s">
        <v>8590</v>
      </c>
      <c r="M2336" s="5194"/>
      <c r="N2336" s="5194"/>
      <c r="O2336" s="5194"/>
      <c r="P2336" s="5194"/>
      <c r="Q2336" s="5195"/>
      <c r="R2336" s="2719">
        <f>IF(OR($J2336=0,$J2336="Aprendida"),0,SUM($J$2326:$J2336))</f>
        <v>0</v>
      </c>
      <c r="T2336" s="3030" t="s">
        <v>8895</v>
      </c>
      <c r="U2336" s="3031">
        <v>2</v>
      </c>
      <c r="V2336" s="3032" t="s">
        <v>8600</v>
      </c>
      <c r="W2336" s="3031">
        <v>3</v>
      </c>
      <c r="X2336" s="3031" t="s">
        <v>8601</v>
      </c>
      <c r="Y2336" s="3033">
        <v>-2</v>
      </c>
      <c r="AB2336" s="413"/>
      <c r="AC2336" s="2795"/>
    </row>
    <row r="2337" spans="1:29" ht="12.75" customHeight="1" thickBot="1" x14ac:dyDescent="0.25">
      <c r="A2337" s="2029">
        <v>211</v>
      </c>
      <c r="B2337" s="4995"/>
      <c r="C2337" s="1871" t="s">
        <v>8373</v>
      </c>
      <c r="D2337" s="1836"/>
      <c r="E2337" s="2716" t="s">
        <v>8385</v>
      </c>
      <c r="F2337" s="1837"/>
      <c r="G2337" s="1837">
        <v>100</v>
      </c>
      <c r="H2337" s="1838">
        <v>1</v>
      </c>
      <c r="I2337" s="1838">
        <v>10</v>
      </c>
      <c r="J2337" s="1838">
        <f>COUNTIF(Elan!$C$13:$F$25,Tablas!E2337)+COUNTIF(Elan!$U$13:$X$25,Tablas!E2337)</f>
        <v>0</v>
      </c>
      <c r="K2337" s="1837"/>
      <c r="L2337" s="5194" t="s">
        <v>8591</v>
      </c>
      <c r="M2337" s="5194"/>
      <c r="N2337" s="5194"/>
      <c r="O2337" s="5194"/>
      <c r="P2337" s="5194"/>
      <c r="Q2337" s="5195"/>
      <c r="R2337" s="2719">
        <f>IF(OR($J2337=0,$J2337="Aprendida"),0,SUM($J$2326:$J2337))</f>
        <v>0</v>
      </c>
      <c r="T2337" s="3030" t="s">
        <v>8896</v>
      </c>
      <c r="U2337" s="3031">
        <v>5</v>
      </c>
      <c r="V2337" s="3032" t="s">
        <v>8603</v>
      </c>
      <c r="W2337" s="3031">
        <v>1</v>
      </c>
      <c r="X2337" s="3031"/>
      <c r="Y2337" s="3033"/>
      <c r="AB2337" s="413"/>
      <c r="AC2337" s="2795"/>
    </row>
    <row r="2338" spans="1:29" ht="12.75" customHeight="1" thickBot="1" x14ac:dyDescent="0.25">
      <c r="A2338" s="2029">
        <v>211</v>
      </c>
      <c r="B2338" s="4995"/>
      <c r="C2338" s="1871" t="str">
        <f>$E$2508</f>
        <v>ElanPersonalizado</v>
      </c>
      <c r="D2338" s="1836"/>
      <c r="E2338" s="2715" t="s">
        <v>8362</v>
      </c>
      <c r="F2338" s="2707">
        <f>IF(Elan!$C$11=Tablas!$E2338,Elan!$G$11,IF(Elan!$U$11=Tablas!$E2338,Elan!$Y$11,0))</f>
        <v>0</v>
      </c>
      <c r="G2338" s="2708" t="s">
        <v>1133</v>
      </c>
      <c r="H2338" s="2708" t="s">
        <v>2159</v>
      </c>
      <c r="I2338" s="2708" t="s">
        <v>1804</v>
      </c>
      <c r="J2338" s="2708" t="s">
        <v>8374</v>
      </c>
      <c r="K2338" s="2708" t="s">
        <v>9175</v>
      </c>
      <c r="L2338" s="2708" t="s">
        <v>1866</v>
      </c>
      <c r="M2338" s="1839"/>
      <c r="N2338" s="1839"/>
      <c r="O2338" s="1839"/>
      <c r="P2338" s="1839"/>
      <c r="Q2338" s="2713"/>
      <c r="R2338" s="2719">
        <f>IF(OR($J2338=0,$J2338="Aprendida"),0,SUM($J$2326:$J2338))</f>
        <v>0</v>
      </c>
      <c r="T2338" s="3030" t="s">
        <v>8605</v>
      </c>
      <c r="U2338" s="3031">
        <v>1</v>
      </c>
      <c r="V2338" s="3032"/>
      <c r="W2338" s="3031"/>
      <c r="X2338" s="3031"/>
      <c r="Y2338" s="3033"/>
      <c r="AB2338" s="413"/>
      <c r="AC2338" s="2795"/>
    </row>
    <row r="2339" spans="1:29" ht="12.75" customHeight="1" x14ac:dyDescent="0.2">
      <c r="A2339" s="2029">
        <v>211</v>
      </c>
      <c r="B2339" s="4995"/>
      <c r="E2339" s="2716" t="s">
        <v>8386</v>
      </c>
      <c r="F2339" s="1837"/>
      <c r="G2339" s="1837">
        <v>10</v>
      </c>
      <c r="H2339" s="1838">
        <v>1</v>
      </c>
      <c r="I2339" s="1838">
        <v>5</v>
      </c>
      <c r="J2339" s="1838">
        <f>COUNTIF(Elan!$C$13:$F$25,Tablas!E2339)+COUNTIF(Elan!$U$13:$X$25,Tablas!E2339)</f>
        <v>0</v>
      </c>
      <c r="K2339" s="1837"/>
      <c r="L2339" s="5194" t="s">
        <v>8592</v>
      </c>
      <c r="M2339" s="5194"/>
      <c r="N2339" s="5194"/>
      <c r="O2339" s="5194"/>
      <c r="P2339" s="5194"/>
      <c r="Q2339" s="5195"/>
      <c r="R2339" s="2719">
        <f>IF(OR($J2339=0,$J2339="Aprendida"),0,SUM($J$2326:$J2339))</f>
        <v>0</v>
      </c>
      <c r="T2339" s="3030" t="s">
        <v>8607</v>
      </c>
      <c r="U2339" s="3031">
        <v>2</v>
      </c>
      <c r="V2339" s="3032"/>
      <c r="W2339" s="3031"/>
      <c r="X2339" s="3031"/>
      <c r="Y2339" s="3033"/>
      <c r="AB2339" s="413"/>
      <c r="AC2339" s="2795"/>
    </row>
    <row r="2340" spans="1:29" ht="12.75" customHeight="1" x14ac:dyDescent="0.2">
      <c r="A2340" s="2029">
        <v>211</v>
      </c>
      <c r="B2340" s="4995"/>
      <c r="E2340" s="2716" t="s">
        <v>8387</v>
      </c>
      <c r="F2340" s="1837"/>
      <c r="G2340" s="1837">
        <v>20</v>
      </c>
      <c r="H2340" s="1838">
        <v>1</v>
      </c>
      <c r="I2340" s="1838">
        <v>5</v>
      </c>
      <c r="J2340" s="1838">
        <f>COUNTIF(Elan!$C$13:$F$25,Tablas!E2340)+COUNTIF(Elan!$U$13:$X$25,Tablas!E2340)</f>
        <v>0</v>
      </c>
      <c r="K2340" s="1837"/>
      <c r="L2340" s="5194" t="s">
        <v>8596</v>
      </c>
      <c r="M2340" s="5194"/>
      <c r="N2340" s="5194"/>
      <c r="O2340" s="5194"/>
      <c r="P2340" s="5194"/>
      <c r="Q2340" s="5195"/>
      <c r="R2340" s="2719">
        <f>IF(OR($J2340=0,$J2340="Aprendida"),0,SUM($J$2326:$J2340))</f>
        <v>0</v>
      </c>
      <c r="T2340" s="3034"/>
      <c r="U2340" s="3035"/>
      <c r="V2340" s="3035"/>
      <c r="W2340" s="3035"/>
      <c r="X2340" s="3035"/>
      <c r="Y2340" s="3036"/>
      <c r="AB2340" s="413"/>
      <c r="AC2340" s="2795"/>
    </row>
    <row r="2341" spans="1:29" ht="12.75" customHeight="1" x14ac:dyDescent="0.2">
      <c r="A2341" s="2029">
        <v>211</v>
      </c>
      <c r="B2341" s="4995"/>
      <c r="E2341" s="2716" t="s">
        <v>1966</v>
      </c>
      <c r="F2341" s="1837"/>
      <c r="G2341" s="1837">
        <v>30</v>
      </c>
      <c r="H2341" s="1838">
        <v>1</v>
      </c>
      <c r="I2341" s="1838">
        <v>20</v>
      </c>
      <c r="J2341" s="1838">
        <f>COUNTIF(Elan!$C$13:$F$25,Tablas!E2341)+COUNTIF(Elan!$U$13:$X$25,Tablas!E2341)</f>
        <v>0</v>
      </c>
      <c r="K2341" s="1837">
        <f>MROUND($F$2338/2,5)*J2341</f>
        <v>0</v>
      </c>
      <c r="L2341" s="5194" t="s">
        <v>8599</v>
      </c>
      <c r="M2341" s="5194"/>
      <c r="N2341" s="5194"/>
      <c r="O2341" s="5194"/>
      <c r="P2341" s="5194"/>
      <c r="Q2341" s="5195"/>
      <c r="R2341" s="2719">
        <f>IF(OR($J2341=0,$J2341="Aprendida"),0,SUM($J$2326:$J2341))</f>
        <v>0</v>
      </c>
      <c r="T2341" s="3027" t="str">
        <f>E2351</f>
        <v>Uriel</v>
      </c>
      <c r="U2341" s="3028"/>
      <c r="V2341" s="3037"/>
      <c r="W2341" s="3028"/>
      <c r="X2341" s="3028"/>
      <c r="Y2341" s="3029"/>
      <c r="AB2341" s="413"/>
      <c r="AC2341" s="2795"/>
    </row>
    <row r="2342" spans="1:29" ht="12.75" customHeight="1" x14ac:dyDescent="0.2">
      <c r="A2342" s="2029">
        <v>211</v>
      </c>
      <c r="B2342" s="4995"/>
      <c r="E2342" s="2716" t="s">
        <v>8388</v>
      </c>
      <c r="F2342" s="1837"/>
      <c r="G2342" s="1837">
        <v>40</v>
      </c>
      <c r="H2342" s="1838">
        <f>IF(J2339,1,0)</f>
        <v>0</v>
      </c>
      <c r="I2342" s="1838">
        <v>10</v>
      </c>
      <c r="J2342" s="1838">
        <f>COUNTIF(Elan!$C$13:$F$25,Tablas!E2342)+COUNTIF(Elan!$U$13:$X$25,Tablas!E2342)</f>
        <v>0</v>
      </c>
      <c r="K2342" s="1837"/>
      <c r="L2342" s="5194" t="s">
        <v>8602</v>
      </c>
      <c r="M2342" s="5194"/>
      <c r="N2342" s="5194"/>
      <c r="O2342" s="5194"/>
      <c r="P2342" s="5194"/>
      <c r="Q2342" s="5195"/>
      <c r="R2342" s="2719">
        <f>IF(OR($J2342=0,$J2342="Aprendida"),0,SUM($J$2326:$J2342))</f>
        <v>0</v>
      </c>
      <c r="T2342" s="3030" t="s">
        <v>8615</v>
      </c>
      <c r="U2342" s="3031">
        <v>2</v>
      </c>
      <c r="V2342" s="3032" t="s">
        <v>8616</v>
      </c>
      <c r="W2342" s="3031">
        <v>3</v>
      </c>
      <c r="X2342" s="3031" t="s">
        <v>8617</v>
      </c>
      <c r="Y2342" s="3033">
        <v>-1</v>
      </c>
      <c r="AB2342" s="413"/>
      <c r="AC2342" s="2795"/>
    </row>
    <row r="2343" spans="1:29" ht="12.75" customHeight="1" x14ac:dyDescent="0.2">
      <c r="A2343" s="2029">
        <v>211</v>
      </c>
      <c r="B2343" s="4995"/>
      <c r="E2343" s="2716" t="s">
        <v>8389</v>
      </c>
      <c r="F2343" s="1837"/>
      <c r="G2343" s="1837">
        <v>50</v>
      </c>
      <c r="H2343" s="1838">
        <v>1</v>
      </c>
      <c r="I2343" s="1838">
        <v>15</v>
      </c>
      <c r="J2343" s="1838">
        <f>COUNTIF(Elan!$C$13:$F$25,Tablas!E2343)+COUNTIF(Elan!$U$13:$X$25,Tablas!E2343)</f>
        <v>0</v>
      </c>
      <c r="K2343" s="1837"/>
      <c r="L2343" s="5194" t="s">
        <v>8604</v>
      </c>
      <c r="M2343" s="5194"/>
      <c r="N2343" s="5194"/>
      <c r="O2343" s="5194"/>
      <c r="P2343" s="5194"/>
      <c r="Q2343" s="5195"/>
      <c r="R2343" s="2719">
        <f>IF(OR($J2343=0,$J2343="Aprendida"),0,SUM($J$2326:$J2343))</f>
        <v>0</v>
      </c>
      <c r="T2343" s="3030" t="s">
        <v>8619</v>
      </c>
      <c r="U2343" s="3031">
        <v>5</v>
      </c>
      <c r="V2343" s="3032" t="s">
        <v>8620</v>
      </c>
      <c r="W2343" s="3031">
        <v>2</v>
      </c>
      <c r="X2343" s="3031" t="s">
        <v>8621</v>
      </c>
      <c r="Y2343" s="3033">
        <v>-2</v>
      </c>
      <c r="AB2343" s="413"/>
      <c r="AC2343" s="2795"/>
    </row>
    <row r="2344" spans="1:29" ht="12.75" customHeight="1" x14ac:dyDescent="0.2">
      <c r="A2344" s="2029">
        <v>211</v>
      </c>
      <c r="B2344" s="4995"/>
      <c r="E2344" s="2716" t="s">
        <v>8390</v>
      </c>
      <c r="F2344" s="1837"/>
      <c r="G2344" s="1837">
        <v>50</v>
      </c>
      <c r="H2344" s="1838">
        <v>1</v>
      </c>
      <c r="I2344" s="1838">
        <v>10</v>
      </c>
      <c r="J2344" s="1838">
        <f>COUNTIF(Elan!$C$13:$F$25,Tablas!E2344)+COUNTIF(Elan!$U$13:$X$25,Tablas!E2344)</f>
        <v>0</v>
      </c>
      <c r="K2344" s="1837"/>
      <c r="L2344" s="5194" t="s">
        <v>8606</v>
      </c>
      <c r="M2344" s="5194"/>
      <c r="N2344" s="5194"/>
      <c r="O2344" s="5194"/>
      <c r="P2344" s="5194"/>
      <c r="Q2344" s="5195"/>
      <c r="R2344" s="2719">
        <f>IF(OR($J2344=0,$J2344="Aprendida"),0,SUM($J$2326:$J2344))</f>
        <v>0</v>
      </c>
      <c r="T2344" s="3030" t="s">
        <v>8623</v>
      </c>
      <c r="U2344" s="3031">
        <v>2</v>
      </c>
      <c r="V2344" s="3032" t="s">
        <v>8624</v>
      </c>
      <c r="W2344" s="3031">
        <v>1</v>
      </c>
      <c r="X2344" s="3031" t="s">
        <v>8625</v>
      </c>
      <c r="Y2344" s="3033">
        <v>-1</v>
      </c>
      <c r="AB2344" s="413"/>
      <c r="AC2344" s="2795"/>
    </row>
    <row r="2345" spans="1:29" ht="12.75" customHeight="1" x14ac:dyDescent="0.2">
      <c r="A2345" s="2029">
        <v>211</v>
      </c>
      <c r="B2345" s="4995"/>
      <c r="E2345" s="2716" t="s">
        <v>8391</v>
      </c>
      <c r="F2345" s="1837"/>
      <c r="G2345" s="1837">
        <v>60</v>
      </c>
      <c r="H2345" s="1838">
        <v>1</v>
      </c>
      <c r="I2345" s="1838">
        <v>10</v>
      </c>
      <c r="J2345" s="1838">
        <f>COUNTIF(Elan!$C$13:$F$25,Tablas!E2345)+COUNTIF(Elan!$U$13:$X$25,Tablas!E2345)</f>
        <v>0</v>
      </c>
      <c r="K2345" s="1837"/>
      <c r="L2345" s="5194" t="s">
        <v>8608</v>
      </c>
      <c r="M2345" s="5194"/>
      <c r="N2345" s="5194"/>
      <c r="O2345" s="5194"/>
      <c r="P2345" s="5194"/>
      <c r="Q2345" s="5195"/>
      <c r="R2345" s="2719">
        <f>IF(OR($J2345=0,$J2345="Aprendida"),0,SUM($J$2326:$J2345))</f>
        <v>0</v>
      </c>
      <c r="T2345" s="3030" t="s">
        <v>8627</v>
      </c>
      <c r="U2345" s="3031">
        <v>2</v>
      </c>
      <c r="V2345" s="3032"/>
      <c r="W2345" s="3031"/>
      <c r="X2345" s="3031" t="s">
        <v>8628</v>
      </c>
      <c r="Y2345" s="3033">
        <v>-2</v>
      </c>
      <c r="AB2345" s="413"/>
      <c r="AC2345" s="2795"/>
    </row>
    <row r="2346" spans="1:29" ht="12.75" customHeight="1" x14ac:dyDescent="0.2">
      <c r="A2346" s="2029">
        <v>211</v>
      </c>
      <c r="B2346" s="4995"/>
      <c r="E2346" s="2716" t="s">
        <v>8392</v>
      </c>
      <c r="F2346" s="1837"/>
      <c r="G2346" s="1837">
        <v>60</v>
      </c>
      <c r="H2346" s="1838">
        <f>IF(J2344,1,0)</f>
        <v>0</v>
      </c>
      <c r="I2346" s="1838">
        <v>10</v>
      </c>
      <c r="J2346" s="1838">
        <f>COUNTIF(Elan!$C$13:$F$25,Tablas!E2346)+COUNTIF(Elan!$U$13:$X$25,Tablas!E2346)</f>
        <v>0</v>
      </c>
      <c r="K2346" s="1837"/>
      <c r="L2346" s="5194" t="s">
        <v>8609</v>
      </c>
      <c r="M2346" s="5194"/>
      <c r="N2346" s="5194"/>
      <c r="O2346" s="5194"/>
      <c r="P2346" s="5194"/>
      <c r="Q2346" s="5195"/>
      <c r="R2346" s="2719">
        <f>IF(OR($J2346=0,$J2346="Aprendida"),0,SUM($J$2326:$J2346))</f>
        <v>0</v>
      </c>
      <c r="T2346" s="3030" t="s">
        <v>8630</v>
      </c>
      <c r="U2346" s="3031">
        <v>1</v>
      </c>
      <c r="V2346" s="3032"/>
      <c r="W2346" s="3031"/>
      <c r="X2346" s="3031" t="s">
        <v>8631</v>
      </c>
      <c r="Y2346" s="3033">
        <v>-10</v>
      </c>
      <c r="AB2346" s="413"/>
      <c r="AC2346" s="2795"/>
    </row>
    <row r="2347" spans="1:29" ht="12.75" customHeight="1" x14ac:dyDescent="0.2">
      <c r="A2347" s="2029">
        <v>211</v>
      </c>
      <c r="B2347" s="4995"/>
      <c r="E2347" s="2716" t="s">
        <v>8393</v>
      </c>
      <c r="F2347" s="1837"/>
      <c r="G2347" s="1837">
        <v>70</v>
      </c>
      <c r="H2347" s="1838">
        <f>IF(J2346,1,0)</f>
        <v>0</v>
      </c>
      <c r="I2347" s="1838">
        <v>10</v>
      </c>
      <c r="J2347" s="1838">
        <f>COUNTIF(Elan!$C$13:$F$25,Tablas!E2347)+COUNTIF(Elan!$U$13:$X$25,Tablas!E2347)</f>
        <v>0</v>
      </c>
      <c r="K2347" s="1837"/>
      <c r="L2347" s="5194" t="s">
        <v>8610</v>
      </c>
      <c r="M2347" s="5194"/>
      <c r="N2347" s="5194"/>
      <c r="O2347" s="5194"/>
      <c r="P2347" s="5194"/>
      <c r="Q2347" s="5195"/>
      <c r="R2347" s="2719">
        <f>IF(OR($J2347=0,$J2347="Aprendida"),0,SUM($J$2326:$J2347))</f>
        <v>0</v>
      </c>
      <c r="T2347" s="3030" t="s">
        <v>8633</v>
      </c>
      <c r="U2347" s="3031">
        <v>2</v>
      </c>
      <c r="V2347" s="3032"/>
      <c r="W2347" s="3031"/>
      <c r="X2347" s="3031"/>
      <c r="Y2347" s="3033"/>
      <c r="AB2347" s="413"/>
      <c r="AC2347" s="2795"/>
    </row>
    <row r="2348" spans="1:29" ht="12.75" customHeight="1" x14ac:dyDescent="0.2">
      <c r="A2348" s="2029">
        <v>211</v>
      </c>
      <c r="B2348" s="4995"/>
      <c r="E2348" s="2716" t="s">
        <v>8394</v>
      </c>
      <c r="F2348" s="1837"/>
      <c r="G2348" s="1837">
        <v>80</v>
      </c>
      <c r="H2348" s="1838">
        <v>1</v>
      </c>
      <c r="I2348" s="1838">
        <v>15</v>
      </c>
      <c r="J2348" s="1838">
        <f>COUNTIF(Elan!$C$13:$F$25,Tablas!E2348)+COUNTIF(Elan!$U$13:$X$25,Tablas!E2348)</f>
        <v>0</v>
      </c>
      <c r="K2348" s="1837"/>
      <c r="L2348" s="5194" t="s">
        <v>8611</v>
      </c>
      <c r="M2348" s="5194"/>
      <c r="N2348" s="5194"/>
      <c r="O2348" s="5194"/>
      <c r="P2348" s="5194"/>
      <c r="Q2348" s="5195"/>
      <c r="R2348" s="2719">
        <f>IF(OR($J2348=0,$J2348="Aprendida"),0,SUM($J$2326:$J2348))</f>
        <v>0</v>
      </c>
      <c r="T2348" s="3034"/>
      <c r="U2348" s="3035"/>
      <c r="V2348" s="3035"/>
      <c r="W2348" s="3035"/>
      <c r="X2348" s="3035"/>
      <c r="Y2348" s="3036"/>
      <c r="AB2348" s="413"/>
      <c r="AC2348" s="2795"/>
    </row>
    <row r="2349" spans="1:29" ht="12.75" customHeight="1" x14ac:dyDescent="0.2">
      <c r="A2349" s="2029">
        <v>211</v>
      </c>
      <c r="B2349" s="4995"/>
      <c r="E2349" s="2716" t="s">
        <v>8395</v>
      </c>
      <c r="F2349" s="1837"/>
      <c r="G2349" s="1837">
        <v>90</v>
      </c>
      <c r="H2349" s="1838">
        <v>1</v>
      </c>
      <c r="I2349" s="1838">
        <v>20</v>
      </c>
      <c r="J2349" s="1838">
        <f>COUNTIF(Elan!$C$13:$F$25,Tablas!E2349)+COUNTIF(Elan!$U$13:$X$25,Tablas!E2349)</f>
        <v>0</v>
      </c>
      <c r="K2349" s="1837"/>
      <c r="L2349" s="5194" t="s">
        <v>8612</v>
      </c>
      <c r="M2349" s="5194"/>
      <c r="N2349" s="5194"/>
      <c r="O2349" s="5194"/>
      <c r="P2349" s="5194"/>
      <c r="Q2349" s="5195"/>
      <c r="R2349" s="2719">
        <f>IF(OR($J2349=0,$J2349="Aprendida"),0,SUM($J$2326:$J2349))</f>
        <v>0</v>
      </c>
      <c r="T2349" s="3027" t="str">
        <f>E2365</f>
        <v>Jedah</v>
      </c>
      <c r="U2349" s="3028"/>
      <c r="V2349" s="3037"/>
      <c r="W2349" s="3028"/>
      <c r="X2349" s="3028"/>
      <c r="Y2349" s="3029"/>
      <c r="AB2349" s="413"/>
      <c r="AC2349" s="2795"/>
    </row>
    <row r="2350" spans="1:29" ht="12.75" customHeight="1" x14ac:dyDescent="0.2">
      <c r="A2350" s="2029">
        <v>211</v>
      </c>
      <c r="B2350" s="4995"/>
      <c r="E2350" s="2716" t="s">
        <v>8396</v>
      </c>
      <c r="F2350" s="1837"/>
      <c r="G2350" s="1837">
        <v>100</v>
      </c>
      <c r="H2350" s="1838">
        <v>1</v>
      </c>
      <c r="I2350" s="1838">
        <v>10</v>
      </c>
      <c r="J2350" s="1838">
        <f>COUNTIF(Elan!$C$13:$F$25,Tablas!E2350)+COUNTIF(Elan!$U$13:$X$25,Tablas!E2350)</f>
        <v>0</v>
      </c>
      <c r="K2350" s="1837"/>
      <c r="L2350" s="5194" t="s">
        <v>8613</v>
      </c>
      <c r="M2350" s="5194"/>
      <c r="N2350" s="5194"/>
      <c r="O2350" s="5194"/>
      <c r="P2350" s="5194"/>
      <c r="Q2350" s="5195"/>
      <c r="R2350" s="2719">
        <f>IF(OR($J2350=0,$J2350="Aprendida"),0,SUM($J$2326:$J2350))</f>
        <v>0</v>
      </c>
      <c r="T2350" s="3030" t="s">
        <v>8898</v>
      </c>
      <c r="U2350" s="3031">
        <v>1</v>
      </c>
      <c r="V2350" s="3032" t="s">
        <v>8642</v>
      </c>
      <c r="W2350" s="3031">
        <v>1</v>
      </c>
      <c r="X2350" s="3031" t="s">
        <v>8643</v>
      </c>
      <c r="Y2350" s="3033">
        <v>-2</v>
      </c>
      <c r="AB2350" s="413"/>
      <c r="AC2350" s="2795"/>
    </row>
    <row r="2351" spans="1:29" ht="12.75" customHeight="1" x14ac:dyDescent="0.2">
      <c r="A2351" s="2029">
        <v>211</v>
      </c>
      <c r="B2351" s="4995"/>
      <c r="E2351" s="2715" t="s">
        <v>8363</v>
      </c>
      <c r="F2351" s="2707">
        <f>IF(Elan!$C$11=Tablas!$E2351,Elan!$G$11,IF(Elan!$U$11=Tablas!$E2351,Elan!$Y$11,0))</f>
        <v>0</v>
      </c>
      <c r="G2351" s="2708" t="s">
        <v>1133</v>
      </c>
      <c r="H2351" s="2708" t="s">
        <v>2159</v>
      </c>
      <c r="I2351" s="2708" t="s">
        <v>1804</v>
      </c>
      <c r="J2351" s="2708" t="s">
        <v>8374</v>
      </c>
      <c r="K2351" s="2708" t="s">
        <v>9175</v>
      </c>
      <c r="L2351" s="2708" t="s">
        <v>1866</v>
      </c>
      <c r="M2351" s="1839"/>
      <c r="N2351" s="1839"/>
      <c r="O2351" s="1839"/>
      <c r="P2351" s="1839"/>
      <c r="Q2351" s="2713"/>
      <c r="R2351" s="2719">
        <f>IF(OR($J2351=0,$J2351="Aprendida"),0,SUM($J$2326:$J2351))</f>
        <v>0</v>
      </c>
      <c r="T2351" s="3030" t="s">
        <v>8645</v>
      </c>
      <c r="U2351" s="3031">
        <v>3</v>
      </c>
      <c r="V2351" s="3032" t="s">
        <v>8646</v>
      </c>
      <c r="W2351" s="3031">
        <v>3</v>
      </c>
      <c r="X2351" s="3031" t="s">
        <v>8647</v>
      </c>
      <c r="Y2351" s="3033">
        <v>-3</v>
      </c>
      <c r="AB2351" s="413"/>
      <c r="AC2351" s="2795"/>
    </row>
    <row r="2352" spans="1:29" ht="12.75" customHeight="1" x14ac:dyDescent="0.2">
      <c r="A2352" s="2029">
        <v>211</v>
      </c>
      <c r="B2352" s="4995"/>
      <c r="E2352" s="2716" t="s">
        <v>8397</v>
      </c>
      <c r="F2352" s="1837"/>
      <c r="G2352" s="1837">
        <v>10</v>
      </c>
      <c r="H2352" s="1838">
        <v>1</v>
      </c>
      <c r="I2352" s="1838">
        <v>5</v>
      </c>
      <c r="J2352" s="1838">
        <f>COUNTIF(Elan!$C$13:$F$25,Tablas!E2352)+COUNTIF(Elan!$U$13:$X$25,Tablas!E2352)</f>
        <v>0</v>
      </c>
      <c r="K2352" s="1837"/>
      <c r="L2352" s="5194" t="s">
        <v>8614</v>
      </c>
      <c r="M2352" s="5194"/>
      <c r="N2352" s="5194"/>
      <c r="O2352" s="5194"/>
      <c r="P2352" s="5194"/>
      <c r="Q2352" s="5195"/>
      <c r="R2352" s="2719">
        <f>IF(OR($J2352=0,$J2352="Aprendida"),0,SUM($J$2326:$J2352))</f>
        <v>0</v>
      </c>
      <c r="T2352" s="3030" t="s">
        <v>8649</v>
      </c>
      <c r="U2352" s="3031">
        <v>2</v>
      </c>
      <c r="V2352" s="3032" t="s">
        <v>8650</v>
      </c>
      <c r="W2352" s="3031">
        <v>3</v>
      </c>
      <c r="X2352" s="3031" t="s">
        <v>8651</v>
      </c>
      <c r="Y2352" s="3033">
        <v>-2</v>
      </c>
      <c r="AB2352" s="413"/>
      <c r="AC2352" s="2795"/>
    </row>
    <row r="2353" spans="1:29" ht="12.75" customHeight="1" x14ac:dyDescent="0.2">
      <c r="A2353" s="2029">
        <v>211</v>
      </c>
      <c r="B2353" s="4995"/>
      <c r="E2353" s="2716" t="s">
        <v>8398</v>
      </c>
      <c r="F2353" s="1837"/>
      <c r="G2353" s="1837">
        <v>20</v>
      </c>
      <c r="H2353" s="1838">
        <v>1</v>
      </c>
      <c r="I2353" s="1838">
        <v>5</v>
      </c>
      <c r="J2353" s="1838">
        <f>COUNTIF(Elan!$C$13:$F$25,Tablas!E2353)+COUNTIF(Elan!$U$13:$X$25,Tablas!E2353)</f>
        <v>0</v>
      </c>
      <c r="K2353" s="1837"/>
      <c r="L2353" s="5194" t="s">
        <v>8618</v>
      </c>
      <c r="M2353" s="5194"/>
      <c r="N2353" s="5194"/>
      <c r="O2353" s="5194"/>
      <c r="P2353" s="5194"/>
      <c r="Q2353" s="5195"/>
      <c r="R2353" s="2719">
        <f>IF(OR($J2353=0,$J2353="Aprendida"),0,SUM($J$2326:$J2353))</f>
        <v>0</v>
      </c>
      <c r="T2353" s="3030" t="s">
        <v>8653</v>
      </c>
      <c r="U2353" s="3031">
        <v>3</v>
      </c>
      <c r="V2353" s="3032"/>
      <c r="W2353" s="3031"/>
      <c r="X2353" s="3031" t="s">
        <v>8654</v>
      </c>
      <c r="Y2353" s="3033">
        <v>-4</v>
      </c>
      <c r="AB2353" s="413"/>
      <c r="AC2353" s="2795"/>
    </row>
    <row r="2354" spans="1:29" ht="12.75" customHeight="1" x14ac:dyDescent="0.2">
      <c r="A2354" s="2029">
        <v>211</v>
      </c>
      <c r="B2354" s="4995"/>
      <c r="E2354" s="2716" t="s">
        <v>8399</v>
      </c>
      <c r="F2354" s="1837"/>
      <c r="G2354" s="1837">
        <v>20</v>
      </c>
      <c r="H2354" s="1838">
        <v>1</v>
      </c>
      <c r="I2354" s="1838">
        <v>10</v>
      </c>
      <c r="J2354" s="1838">
        <f>COUNTIF(Elan!$C$13:$F$25,Tablas!E2354)+COUNTIF(Elan!$U$13:$X$25,Tablas!E2354)</f>
        <v>0</v>
      </c>
      <c r="K2354" s="1837"/>
      <c r="L2354" s="5194" t="s">
        <v>8622</v>
      </c>
      <c r="M2354" s="5194"/>
      <c r="N2354" s="5194"/>
      <c r="O2354" s="5194"/>
      <c r="P2354" s="5194"/>
      <c r="Q2354" s="5195"/>
      <c r="R2354" s="2719">
        <f>IF(OR($J2354=0,$J2354="Aprendida"),0,SUM($J$2326:$J2354))</f>
        <v>0</v>
      </c>
      <c r="T2354" s="3030" t="s">
        <v>8656</v>
      </c>
      <c r="U2354" s="3031">
        <v>3</v>
      </c>
      <c r="V2354" s="3032"/>
      <c r="W2354" s="3031"/>
      <c r="X2354" s="3031"/>
      <c r="Y2354" s="3033"/>
      <c r="AB2354" s="413"/>
      <c r="AC2354" s="2795"/>
    </row>
    <row r="2355" spans="1:29" ht="12.75" customHeight="1" x14ac:dyDescent="0.2">
      <c r="A2355" s="2029">
        <v>211</v>
      </c>
      <c r="B2355" s="4995"/>
      <c r="E2355" s="2716" t="s">
        <v>8400</v>
      </c>
      <c r="F2355" s="1837"/>
      <c r="G2355" s="1837">
        <v>30</v>
      </c>
      <c r="H2355" s="1838">
        <v>1</v>
      </c>
      <c r="I2355" s="1838">
        <v>5</v>
      </c>
      <c r="J2355" s="1838">
        <f>COUNTIF(Elan!$C$13:$F$25,Tablas!E2355)+COUNTIF(Elan!$U$13:$X$25,Tablas!E2355)</f>
        <v>0</v>
      </c>
      <c r="K2355" s="1837"/>
      <c r="L2355" s="5194" t="s">
        <v>8626</v>
      </c>
      <c r="M2355" s="5194"/>
      <c r="N2355" s="5194"/>
      <c r="O2355" s="5194"/>
      <c r="P2355" s="5194"/>
      <c r="Q2355" s="5195"/>
      <c r="R2355" s="2719">
        <f>IF(OR($J2355=0,$J2355="Aprendida"),0,SUM($J$2326:$J2355))</f>
        <v>0</v>
      </c>
      <c r="T2355" s="3030" t="s">
        <v>8658</v>
      </c>
      <c r="U2355" s="3031">
        <v>2</v>
      </c>
      <c r="V2355" s="3032"/>
      <c r="W2355" s="3031"/>
      <c r="X2355" s="3031"/>
      <c r="Y2355" s="3033"/>
      <c r="AB2355" s="413"/>
      <c r="AC2355" s="2795"/>
    </row>
    <row r="2356" spans="1:29" ht="12.75" customHeight="1" x14ac:dyDescent="0.2">
      <c r="A2356" s="2029">
        <v>211</v>
      </c>
      <c r="B2356" s="4995"/>
      <c r="E2356" s="2716" t="s">
        <v>8401</v>
      </c>
      <c r="F2356" s="1837"/>
      <c r="G2356" s="1837">
        <v>40</v>
      </c>
      <c r="H2356" s="1838">
        <v>1</v>
      </c>
      <c r="I2356" s="1838">
        <v>10</v>
      </c>
      <c r="J2356" s="1838">
        <f>COUNTIF(Elan!$C$13:$F$25,Tablas!E2356)+COUNTIF(Elan!$U$13:$X$25,Tablas!E2356)</f>
        <v>0</v>
      </c>
      <c r="K2356" s="1837"/>
      <c r="L2356" s="5194" t="s">
        <v>8629</v>
      </c>
      <c r="M2356" s="5194"/>
      <c r="N2356" s="5194"/>
      <c r="O2356" s="5194"/>
      <c r="P2356" s="5194"/>
      <c r="Q2356" s="5195"/>
      <c r="R2356" s="2719">
        <f>IF(OR($J2356=0,$J2356="Aprendida"),0,SUM($J$2326:$J2356))</f>
        <v>0</v>
      </c>
      <c r="T2356" s="3034"/>
      <c r="U2356" s="3035"/>
      <c r="V2356" s="3035"/>
      <c r="W2356" s="3035"/>
      <c r="X2356" s="3035"/>
      <c r="Y2356" s="3036"/>
      <c r="AB2356" s="413"/>
      <c r="AC2356" s="2795"/>
    </row>
    <row r="2357" spans="1:29" ht="12.75" customHeight="1" x14ac:dyDescent="0.2">
      <c r="A2357" s="2029">
        <v>211</v>
      </c>
      <c r="B2357" s="4995"/>
      <c r="E2357" s="2716" t="s">
        <v>8402</v>
      </c>
      <c r="F2357" s="1837"/>
      <c r="G2357" s="1837">
        <v>40</v>
      </c>
      <c r="H2357" s="1838">
        <v>1</v>
      </c>
      <c r="I2357" s="1838">
        <v>5</v>
      </c>
      <c r="J2357" s="1838">
        <f>COUNTIF(Elan!$C$13:$F$25,Tablas!E2357)+COUNTIF(Elan!$U$13:$X$25,Tablas!E2357)</f>
        <v>0</v>
      </c>
      <c r="K2357" s="1837"/>
      <c r="L2357" s="5194" t="s">
        <v>8632</v>
      </c>
      <c r="M2357" s="5194"/>
      <c r="N2357" s="5194"/>
      <c r="O2357" s="5194"/>
      <c r="P2357" s="5194"/>
      <c r="Q2357" s="5195"/>
      <c r="R2357" s="2719">
        <f>IF(OR($J2357=0,$J2357="Aprendida"),0,SUM($J$2326:$J2357))</f>
        <v>0</v>
      </c>
      <c r="T2357" s="3034"/>
      <c r="U2357" s="3035"/>
      <c r="V2357" s="3035"/>
      <c r="W2357" s="3035"/>
      <c r="X2357" s="3035"/>
      <c r="Y2357" s="3036"/>
      <c r="AB2357" s="413"/>
      <c r="AC2357" s="2795"/>
    </row>
    <row r="2358" spans="1:29" ht="12.75" customHeight="1" x14ac:dyDescent="0.2">
      <c r="A2358" s="2029">
        <v>211</v>
      </c>
      <c r="B2358" s="4995"/>
      <c r="E2358" s="2716" t="s">
        <v>8403</v>
      </c>
      <c r="F2358" s="1837"/>
      <c r="G2358" s="1837">
        <v>50</v>
      </c>
      <c r="H2358" s="1838">
        <v>1</v>
      </c>
      <c r="I2358" s="1838">
        <v>10</v>
      </c>
      <c r="J2358" s="1838">
        <f>COUNTIF(Elan!$C$13:$F$25,Tablas!E2358)+COUNTIF(Elan!$U$13:$X$25,Tablas!E2358)</f>
        <v>0</v>
      </c>
      <c r="K2358" s="1837"/>
      <c r="L2358" s="5194" t="s">
        <v>8634</v>
      </c>
      <c r="M2358" s="5194"/>
      <c r="N2358" s="5194"/>
      <c r="O2358" s="5194"/>
      <c r="P2358" s="5194"/>
      <c r="Q2358" s="5195"/>
      <c r="R2358" s="2719">
        <f>IF(OR($J2358=0,$J2358="Aprendida"),0,SUM($J$2326:$J2358))</f>
        <v>0</v>
      </c>
      <c r="T2358" s="3027" t="str">
        <f>E2379</f>
        <v>Gabriel</v>
      </c>
      <c r="U2358" s="3028"/>
      <c r="V2358" s="3037"/>
      <c r="W2358" s="3028"/>
      <c r="X2358" s="3028"/>
      <c r="Y2358" s="3029"/>
      <c r="AB2358" s="413"/>
      <c r="AC2358" s="2795"/>
    </row>
    <row r="2359" spans="1:29" ht="12.75" customHeight="1" x14ac:dyDescent="0.2">
      <c r="A2359" s="2029">
        <v>211</v>
      </c>
      <c r="B2359" s="4995"/>
      <c r="E2359" s="2716" t="s">
        <v>8404</v>
      </c>
      <c r="F2359" s="1837"/>
      <c r="G2359" s="1837">
        <v>60</v>
      </c>
      <c r="H2359" s="1838">
        <f>IF(J2356,1,0)</f>
        <v>0</v>
      </c>
      <c r="I2359" s="1838">
        <v>20</v>
      </c>
      <c r="J2359" s="1838">
        <f>COUNTIF(Elan!$C$13:$F$25,Tablas!E2359)+COUNTIF(Elan!$U$13:$X$25,Tablas!E2359)</f>
        <v>0</v>
      </c>
      <c r="K2359" s="1837"/>
      <c r="L2359" s="5194" t="s">
        <v>8635</v>
      </c>
      <c r="M2359" s="5194"/>
      <c r="N2359" s="5194"/>
      <c r="O2359" s="5194"/>
      <c r="P2359" s="5194"/>
      <c r="Q2359" s="5195"/>
      <c r="R2359" s="2719">
        <f>IF(OR($J2359=0,$J2359="Aprendida"),0,SUM($J$2326:$J2359))</f>
        <v>0</v>
      </c>
      <c r="T2359" s="3030" t="s">
        <v>8666</v>
      </c>
      <c r="U2359" s="3031">
        <v>3</v>
      </c>
      <c r="V2359" s="3032" t="s">
        <v>8667</v>
      </c>
      <c r="W2359" s="3031">
        <v>3</v>
      </c>
      <c r="X2359" s="3031" t="s">
        <v>8668</v>
      </c>
      <c r="Y2359" s="3033">
        <v>-2</v>
      </c>
      <c r="AB2359" s="413"/>
      <c r="AC2359" s="2795"/>
    </row>
    <row r="2360" spans="1:29" ht="12.75" customHeight="1" x14ac:dyDescent="0.2">
      <c r="A2360" s="2029">
        <v>211</v>
      </c>
      <c r="B2360" s="4995"/>
      <c r="E2360" s="2716" t="s">
        <v>8405</v>
      </c>
      <c r="F2360" s="1837"/>
      <c r="G2360" s="1837">
        <v>60</v>
      </c>
      <c r="H2360" s="1838">
        <v>1</v>
      </c>
      <c r="I2360" s="1838">
        <v>15</v>
      </c>
      <c r="J2360" s="1838">
        <f>COUNTIF(Elan!$C$13:$F$25,Tablas!E2360)+COUNTIF(Elan!$U$13:$X$25,Tablas!E2360)</f>
        <v>0</v>
      </c>
      <c r="K2360" s="1837"/>
      <c r="L2360" s="5194" t="s">
        <v>8636</v>
      </c>
      <c r="M2360" s="5194"/>
      <c r="N2360" s="5194"/>
      <c r="O2360" s="5194"/>
      <c r="P2360" s="5194"/>
      <c r="Q2360" s="5195"/>
      <c r="R2360" s="2719">
        <f>IF(OR($J2360=0,$J2360="Aprendida"),0,SUM($J$2326:$J2360))</f>
        <v>0</v>
      </c>
      <c r="T2360" s="3030" t="s">
        <v>8670</v>
      </c>
      <c r="U2360" s="3031">
        <v>1</v>
      </c>
      <c r="V2360" s="3032" t="s">
        <v>8671</v>
      </c>
      <c r="W2360" s="3031">
        <v>2</v>
      </c>
      <c r="X2360" s="3031" t="s">
        <v>8672</v>
      </c>
      <c r="Y2360" s="3033">
        <v>-3</v>
      </c>
      <c r="AB2360" s="413"/>
      <c r="AC2360" s="2795"/>
    </row>
    <row r="2361" spans="1:29" ht="12.75" customHeight="1" x14ac:dyDescent="0.2">
      <c r="A2361" s="2029">
        <v>211</v>
      </c>
      <c r="B2361" s="4995"/>
      <c r="E2361" s="2716" t="s">
        <v>8406</v>
      </c>
      <c r="F2361" s="1837"/>
      <c r="G2361" s="1837">
        <v>70</v>
      </c>
      <c r="H2361" s="1838">
        <v>1</v>
      </c>
      <c r="I2361" s="1838">
        <v>10</v>
      </c>
      <c r="J2361" s="1838">
        <f>COUNTIF(Elan!$C$13:$F$25,Tablas!E2361)+COUNTIF(Elan!$U$13:$X$25,Tablas!E2361)</f>
        <v>0</v>
      </c>
      <c r="K2361" s="1837">
        <f>IF(J2361&gt;0,1,0)</f>
        <v>0</v>
      </c>
      <c r="L2361" s="5194" t="s">
        <v>8637</v>
      </c>
      <c r="M2361" s="5194"/>
      <c r="N2361" s="5194"/>
      <c r="O2361" s="5194"/>
      <c r="P2361" s="5194"/>
      <c r="Q2361" s="5195"/>
      <c r="R2361" s="2719">
        <f>IF(OR($J2361=0,$J2361="Aprendida"),0,SUM($J$2326:$J2361))</f>
        <v>0</v>
      </c>
      <c r="T2361" s="3030" t="s">
        <v>8577</v>
      </c>
      <c r="U2361" s="3031">
        <v>2</v>
      </c>
      <c r="V2361" s="3032" t="s">
        <v>8674</v>
      </c>
      <c r="W2361" s="3031">
        <v>1</v>
      </c>
      <c r="X2361" s="3031" t="s">
        <v>8675</v>
      </c>
      <c r="Y2361" s="3033">
        <v>-2</v>
      </c>
      <c r="AB2361" s="413"/>
      <c r="AC2361" s="2795"/>
    </row>
    <row r="2362" spans="1:29" ht="12.75" customHeight="1" x14ac:dyDescent="0.2">
      <c r="A2362" s="2029">
        <v>211</v>
      </c>
      <c r="B2362" s="4995"/>
      <c r="E2362" s="2716" t="s">
        <v>8407</v>
      </c>
      <c r="F2362" s="1837"/>
      <c r="G2362" s="1837">
        <v>80</v>
      </c>
      <c r="H2362" s="1838">
        <v>1</v>
      </c>
      <c r="I2362" s="1838">
        <v>10</v>
      </c>
      <c r="J2362" s="1838">
        <f>COUNTIF(Elan!$C$13:$F$25,Tablas!E2362)+COUNTIF(Elan!$U$13:$X$25,Tablas!E2362)</f>
        <v>0</v>
      </c>
      <c r="K2362" s="1837"/>
      <c r="L2362" s="5194" t="s">
        <v>8638</v>
      </c>
      <c r="M2362" s="5194"/>
      <c r="N2362" s="5194"/>
      <c r="O2362" s="5194"/>
      <c r="P2362" s="5194"/>
      <c r="Q2362" s="5195"/>
      <c r="R2362" s="2719">
        <f>IF(OR($J2362=0,$J2362="Aprendida"),0,SUM($J$2326:$J2362))</f>
        <v>0</v>
      </c>
      <c r="T2362" s="3030" t="s">
        <v>8677</v>
      </c>
      <c r="U2362" s="3031">
        <v>3</v>
      </c>
      <c r="V2362" s="3032" t="s">
        <v>8678</v>
      </c>
      <c r="W2362" s="3031">
        <v>2</v>
      </c>
      <c r="X2362" s="3031" t="s">
        <v>8679</v>
      </c>
      <c r="Y2362" s="3033">
        <v>-1</v>
      </c>
      <c r="AB2362" s="413"/>
      <c r="AC2362" s="2795"/>
    </row>
    <row r="2363" spans="1:29" ht="12.75" customHeight="1" x14ac:dyDescent="0.2">
      <c r="A2363" s="2029">
        <v>211</v>
      </c>
      <c r="B2363" s="4995"/>
      <c r="E2363" s="2716" t="s">
        <v>8408</v>
      </c>
      <c r="F2363" s="1837"/>
      <c r="G2363" s="1837">
        <v>90</v>
      </c>
      <c r="H2363" s="1838">
        <v>1</v>
      </c>
      <c r="I2363" s="1838">
        <v>20</v>
      </c>
      <c r="J2363" s="1838">
        <f>COUNTIF(Elan!$C$13:$F$25,Tablas!E2363)+COUNTIF(Elan!$U$13:$X$25,Tablas!E2363)</f>
        <v>0</v>
      </c>
      <c r="K2363" s="1837"/>
      <c r="L2363" s="5194" t="s">
        <v>8639</v>
      </c>
      <c r="M2363" s="5194"/>
      <c r="N2363" s="5194"/>
      <c r="O2363" s="5194"/>
      <c r="P2363" s="5194"/>
      <c r="Q2363" s="5195"/>
      <c r="R2363" s="2719">
        <f>IF(OR($J2363=0,$J2363="Aprendida"),0,SUM($J$2326:$J2363))</f>
        <v>0</v>
      </c>
      <c r="T2363" s="3030" t="s">
        <v>8681</v>
      </c>
      <c r="U2363" s="3031">
        <v>1</v>
      </c>
      <c r="V2363" s="3032"/>
      <c r="W2363" s="3031"/>
      <c r="X2363" s="3031" t="s">
        <v>8682</v>
      </c>
      <c r="Y2363" s="3033">
        <v>-5</v>
      </c>
      <c r="AB2363" s="413"/>
      <c r="AC2363" s="2795"/>
    </row>
    <row r="2364" spans="1:29" ht="12.75" customHeight="1" x14ac:dyDescent="0.2">
      <c r="A2364" s="2029">
        <v>211</v>
      </c>
      <c r="B2364" s="4995"/>
      <c r="E2364" s="2716" t="s">
        <v>8409</v>
      </c>
      <c r="F2364" s="1837"/>
      <c r="G2364" s="1837">
        <v>100</v>
      </c>
      <c r="H2364" s="1838">
        <v>1</v>
      </c>
      <c r="I2364" s="1838">
        <v>10</v>
      </c>
      <c r="J2364" s="1838">
        <f>COUNTIF(Elan!$C$13:$F$25,Tablas!E2364)+COUNTIF(Elan!$U$13:$X$25,Tablas!E2364)</f>
        <v>0</v>
      </c>
      <c r="K2364" s="1837"/>
      <c r="L2364" s="5194" t="s">
        <v>8640</v>
      </c>
      <c r="M2364" s="5194"/>
      <c r="N2364" s="5194"/>
      <c r="O2364" s="5194"/>
      <c r="P2364" s="5194"/>
      <c r="Q2364" s="5195"/>
      <c r="R2364" s="2719">
        <f>IF(OR($J2364=0,$J2364="Aprendida"),0,SUM($J$2326:$J2364))</f>
        <v>0</v>
      </c>
      <c r="T2364" s="3034"/>
      <c r="U2364" s="3035"/>
      <c r="V2364" s="3035"/>
      <c r="W2364" s="3035"/>
      <c r="X2364" s="3035"/>
      <c r="Y2364" s="3036"/>
      <c r="AB2364" s="413"/>
      <c r="AC2364" s="2795"/>
    </row>
    <row r="2365" spans="1:29" ht="12.75" customHeight="1" x14ac:dyDescent="0.2">
      <c r="A2365" s="2029">
        <v>211</v>
      </c>
      <c r="B2365" s="4995"/>
      <c r="E2365" s="2715" t="s">
        <v>8364</v>
      </c>
      <c r="F2365" s="2707">
        <f>IF(Elan!$C$11=Tablas!$E2365,Elan!$G$11,IF(Elan!$U$11=Tablas!$E2365,Elan!$Y$11,0))</f>
        <v>0</v>
      </c>
      <c r="G2365" s="2708" t="s">
        <v>1133</v>
      </c>
      <c r="H2365" s="2708" t="s">
        <v>2159</v>
      </c>
      <c r="I2365" s="2708" t="s">
        <v>1804</v>
      </c>
      <c r="J2365" s="2708" t="s">
        <v>8374</v>
      </c>
      <c r="K2365" s="2708" t="s">
        <v>9175</v>
      </c>
      <c r="L2365" s="2708" t="s">
        <v>1866</v>
      </c>
      <c r="M2365" s="1839"/>
      <c r="N2365" s="1839"/>
      <c r="O2365" s="1839"/>
      <c r="P2365" s="1839"/>
      <c r="Q2365" s="2713"/>
      <c r="R2365" s="2719">
        <f>IF(OR($J2365=0,$J2365="Aprendida"),0,SUM($J$2326:$J2365))</f>
        <v>0</v>
      </c>
      <c r="T2365" s="3034"/>
      <c r="U2365" s="3035"/>
      <c r="V2365" s="3035"/>
      <c r="W2365" s="3035"/>
      <c r="X2365" s="3035"/>
      <c r="Y2365" s="3036"/>
      <c r="AB2365" s="413"/>
      <c r="AC2365" s="2795"/>
    </row>
    <row r="2366" spans="1:29" ht="12.75" customHeight="1" x14ac:dyDescent="0.2">
      <c r="A2366" s="2029">
        <v>211</v>
      </c>
      <c r="B2366" s="4995"/>
      <c r="E2366" s="2716" t="s">
        <v>8410</v>
      </c>
      <c r="F2366" s="1837"/>
      <c r="G2366" s="1837">
        <v>10</v>
      </c>
      <c r="H2366" s="1838">
        <v>1</v>
      </c>
      <c r="I2366" s="1838">
        <v>5</v>
      </c>
      <c r="J2366" s="1838">
        <f>COUNTIF(Elan!$C$13:$F$25,Tablas!E2366)+COUNTIF(Elan!$U$13:$X$25,Tablas!E2366)</f>
        <v>0</v>
      </c>
      <c r="K2366" s="1837">
        <f>F$2365*J2366</f>
        <v>0</v>
      </c>
      <c r="L2366" s="5194" t="s">
        <v>8641</v>
      </c>
      <c r="M2366" s="5194"/>
      <c r="N2366" s="5194"/>
      <c r="O2366" s="5194"/>
      <c r="P2366" s="5194"/>
      <c r="Q2366" s="5195"/>
      <c r="R2366" s="2719">
        <f>IF(OR($J2366=0,$J2366="Aprendida"),0,SUM($J$2326:$J2366))</f>
        <v>0</v>
      </c>
      <c r="T2366" s="3027" t="str">
        <f>E2392</f>
        <v>Noah</v>
      </c>
      <c r="U2366" s="3028"/>
      <c r="V2366" s="3037"/>
      <c r="W2366" s="3028"/>
      <c r="X2366" s="3028"/>
      <c r="Y2366" s="3029"/>
      <c r="AB2366" s="413"/>
      <c r="AC2366" s="2795"/>
    </row>
    <row r="2367" spans="1:29" ht="12.75" customHeight="1" x14ac:dyDescent="0.2">
      <c r="A2367" s="2029">
        <v>211</v>
      </c>
      <c r="B2367" s="4995"/>
      <c r="E2367" s="2716" t="s">
        <v>8411</v>
      </c>
      <c r="F2367" s="1837"/>
      <c r="G2367" s="1837">
        <v>20</v>
      </c>
      <c r="H2367" s="1838">
        <v>1</v>
      </c>
      <c r="I2367" s="1838">
        <v>10</v>
      </c>
      <c r="J2367" s="1838">
        <f>COUNTIF(Elan!$C$13:$F$25,Tablas!E2367)+COUNTIF(Elan!$U$13:$X$25,Tablas!E2367)</f>
        <v>0</v>
      </c>
      <c r="K2367" s="1837">
        <f>ROUNDDOWN(F$2365/2,0)*J2367</f>
        <v>0</v>
      </c>
      <c r="L2367" s="5194" t="s">
        <v>8644</v>
      </c>
      <c r="M2367" s="5194"/>
      <c r="N2367" s="5194"/>
      <c r="O2367" s="5194"/>
      <c r="P2367" s="5194"/>
      <c r="Q2367" s="5195"/>
      <c r="R2367" s="2719">
        <f>IF(OR($J2367=0,$J2367="Aprendida"),0,SUM($J$2326:$J2367))</f>
        <v>0</v>
      </c>
      <c r="T2367" s="3030" t="s">
        <v>8691</v>
      </c>
      <c r="U2367" s="3031">
        <v>2</v>
      </c>
      <c r="V2367" s="3032" t="s">
        <v>8692</v>
      </c>
      <c r="W2367" s="3031">
        <v>1</v>
      </c>
      <c r="X2367" s="3031" t="s">
        <v>8693</v>
      </c>
      <c r="Y2367" s="3033">
        <v>-2</v>
      </c>
      <c r="AB2367" s="413"/>
      <c r="AC2367" s="2795"/>
    </row>
    <row r="2368" spans="1:29" ht="12.75" customHeight="1" x14ac:dyDescent="0.2">
      <c r="A2368" s="2029">
        <v>211</v>
      </c>
      <c r="B2368" s="4995"/>
      <c r="E2368" s="2716" t="s">
        <v>2521</v>
      </c>
      <c r="F2368" s="1837"/>
      <c r="G2368" s="1837">
        <v>30</v>
      </c>
      <c r="H2368" s="1838">
        <v>1</v>
      </c>
      <c r="I2368" s="1838">
        <v>5</v>
      </c>
      <c r="J2368" s="1838">
        <f>COUNTIF(Elan!$C$13:$F$25,Tablas!E2368)+COUNTIF(Elan!$U$13:$X$25,Tablas!E2368)</f>
        <v>0</v>
      </c>
      <c r="K2368" s="1837"/>
      <c r="L2368" s="5194" t="s">
        <v>8648</v>
      </c>
      <c r="M2368" s="5194"/>
      <c r="N2368" s="5194"/>
      <c r="O2368" s="5194"/>
      <c r="P2368" s="5194"/>
      <c r="Q2368" s="5195"/>
      <c r="R2368" s="2719">
        <f>IF(OR($J2368=0,$J2368="Aprendida"),0,SUM($J$2326:$J2368))</f>
        <v>0</v>
      </c>
      <c r="T2368" s="3030" t="s">
        <v>8695</v>
      </c>
      <c r="U2368" s="3031">
        <v>3</v>
      </c>
      <c r="V2368" s="3032" t="s">
        <v>8696</v>
      </c>
      <c r="W2368" s="3031">
        <v>2</v>
      </c>
      <c r="X2368" s="3031" t="s">
        <v>8697</v>
      </c>
      <c r="Y2368" s="3033">
        <v>-5</v>
      </c>
      <c r="AB2368" s="413"/>
      <c r="AC2368" s="2795"/>
    </row>
    <row r="2369" spans="1:29" ht="12.75" customHeight="1" x14ac:dyDescent="0.2">
      <c r="A2369" s="2029">
        <v>211</v>
      </c>
      <c r="B2369" s="4995"/>
      <c r="E2369" s="2716" t="s">
        <v>8412</v>
      </c>
      <c r="F2369" s="1837"/>
      <c r="G2369" s="1837">
        <v>40</v>
      </c>
      <c r="H2369" s="1838">
        <v>1</v>
      </c>
      <c r="I2369" s="1838">
        <v>5</v>
      </c>
      <c r="J2369" s="1838">
        <f>COUNTIF(Elan!$C$13:$F$25,Tablas!E2369)+COUNTIF(Elan!$U$13:$X$25,Tablas!E2369)</f>
        <v>0</v>
      </c>
      <c r="K2369" s="1837"/>
      <c r="L2369" s="5194" t="s">
        <v>8652</v>
      </c>
      <c r="M2369" s="5194"/>
      <c r="N2369" s="5194"/>
      <c r="O2369" s="5194"/>
      <c r="P2369" s="5194"/>
      <c r="Q2369" s="5195"/>
      <c r="R2369" s="2719">
        <f>IF(OR($J2369=0,$J2369="Aprendida"),0,SUM($J$2326:$J2369))</f>
        <v>0</v>
      </c>
      <c r="T2369" s="3030" t="s">
        <v>8699</v>
      </c>
      <c r="U2369" s="3031">
        <v>3</v>
      </c>
      <c r="V2369" s="3032" t="s">
        <v>8700</v>
      </c>
      <c r="W2369" s="3031">
        <v>4</v>
      </c>
      <c r="X2369" s="3031" t="s">
        <v>8701</v>
      </c>
      <c r="Y2369" s="3033">
        <v>-10</v>
      </c>
      <c r="AB2369" s="413"/>
      <c r="AC2369" s="2795"/>
    </row>
    <row r="2370" spans="1:29" ht="12.75" customHeight="1" x14ac:dyDescent="0.2">
      <c r="A2370" s="2029">
        <v>211</v>
      </c>
      <c r="B2370" s="4995"/>
      <c r="E2370" s="2716" t="s">
        <v>8413</v>
      </c>
      <c r="F2370" s="1837"/>
      <c r="G2370" s="1837">
        <v>50</v>
      </c>
      <c r="H2370" s="1838">
        <v>1</v>
      </c>
      <c r="I2370" s="1838">
        <v>10</v>
      </c>
      <c r="J2370" s="1838">
        <f>COUNTIF(Elan!$C$13:$F$25,Tablas!E2370)+COUNTIF(Elan!$U$13:$X$25,Tablas!E2370)</f>
        <v>0</v>
      </c>
      <c r="K2370" s="1837">
        <f>ROUNDDOWN(F$2365/2,0)*J2370</f>
        <v>0</v>
      </c>
      <c r="L2370" s="5194" t="s">
        <v>8655</v>
      </c>
      <c r="M2370" s="5194"/>
      <c r="N2370" s="5194"/>
      <c r="O2370" s="5194"/>
      <c r="P2370" s="5194"/>
      <c r="Q2370" s="5195"/>
      <c r="R2370" s="2719">
        <f>IF(OR($J2370=0,$J2370="Aprendida"),0,SUM($J$2326:$J2370))</f>
        <v>0</v>
      </c>
      <c r="T2370" s="3030" t="s">
        <v>8703</v>
      </c>
      <c r="U2370" s="3031">
        <v>3</v>
      </c>
      <c r="V2370" s="3032"/>
      <c r="W2370" s="3031"/>
      <c r="X2370" s="3031" t="s">
        <v>8704</v>
      </c>
      <c r="Y2370" s="3033">
        <v>-2</v>
      </c>
      <c r="AB2370" s="413"/>
      <c r="AC2370" s="2795"/>
    </row>
    <row r="2371" spans="1:29" ht="12.75" customHeight="1" x14ac:dyDescent="0.2">
      <c r="A2371" s="2029">
        <v>211</v>
      </c>
      <c r="B2371" s="4995"/>
      <c r="E2371" s="2716" t="s">
        <v>8414</v>
      </c>
      <c r="F2371" s="1837"/>
      <c r="G2371" s="1837">
        <v>50</v>
      </c>
      <c r="H2371" s="1838">
        <v>1</v>
      </c>
      <c r="I2371" s="1838">
        <v>10</v>
      </c>
      <c r="J2371" s="1838">
        <f>COUNTIF(Elan!$C$13:$F$25,Tablas!E2371)+COUNTIF(Elan!$U$13:$X$25,Tablas!E2371)</f>
        <v>0</v>
      </c>
      <c r="K2371" s="1837"/>
      <c r="L2371" s="5194" t="s">
        <v>8657</v>
      </c>
      <c r="M2371" s="5194"/>
      <c r="N2371" s="5194"/>
      <c r="O2371" s="5194"/>
      <c r="P2371" s="5194"/>
      <c r="Q2371" s="5195"/>
      <c r="R2371" s="2719">
        <f>IF(OR($J2371=0,$J2371="Aprendida"),0,SUM($J$2326:$J2371))</f>
        <v>0</v>
      </c>
      <c r="T2371" s="3030" t="s">
        <v>8706</v>
      </c>
      <c r="U2371" s="3031">
        <v>2</v>
      </c>
      <c r="V2371" s="3032"/>
      <c r="W2371" s="3031"/>
      <c r="X2371" s="3031"/>
      <c r="Y2371" s="3033"/>
      <c r="AB2371" s="413"/>
      <c r="AC2371" s="2795"/>
    </row>
    <row r="2372" spans="1:29" ht="12.75" customHeight="1" x14ac:dyDescent="0.2">
      <c r="A2372" s="2029">
        <v>211</v>
      </c>
      <c r="B2372" s="4995"/>
      <c r="E2372" s="2716" t="s">
        <v>8415</v>
      </c>
      <c r="F2372" s="1837"/>
      <c r="G2372" s="1837">
        <v>60</v>
      </c>
      <c r="H2372" s="1838">
        <v>1</v>
      </c>
      <c r="I2372" s="1838">
        <v>10</v>
      </c>
      <c r="J2372" s="1838">
        <f>COUNTIF(Elan!$C$13:$F$25,Tablas!E2372)+COUNTIF(Elan!$U$13:$X$25,Tablas!E2372)</f>
        <v>0</v>
      </c>
      <c r="K2372" s="1837"/>
      <c r="L2372" s="5194" t="s">
        <v>8659</v>
      </c>
      <c r="M2372" s="5194"/>
      <c r="N2372" s="5194"/>
      <c r="O2372" s="5194"/>
      <c r="P2372" s="5194"/>
      <c r="Q2372" s="5195"/>
      <c r="R2372" s="2719">
        <f>IF(OR($J2372=0,$J2372="Aprendida"),0,SUM($J$2326:$J2372))</f>
        <v>0</v>
      </c>
      <c r="T2372" s="3034"/>
      <c r="U2372" s="3035"/>
      <c r="V2372" s="3035"/>
      <c r="W2372" s="3035"/>
      <c r="X2372" s="3035"/>
      <c r="Y2372" s="3036"/>
      <c r="AB2372" s="413"/>
      <c r="AC2372" s="2795"/>
    </row>
    <row r="2373" spans="1:29" ht="12.75" customHeight="1" x14ac:dyDescent="0.2">
      <c r="A2373" s="2029">
        <v>211</v>
      </c>
      <c r="B2373" s="4995"/>
      <c r="E2373" s="2716" t="s">
        <v>8416</v>
      </c>
      <c r="F2373" s="1837"/>
      <c r="G2373" s="1837">
        <v>65</v>
      </c>
      <c r="H2373" s="1838">
        <v>1</v>
      </c>
      <c r="I2373" s="1838">
        <v>15</v>
      </c>
      <c r="J2373" s="1838">
        <f>COUNTIF(Elan!$C$13:$F$25,Tablas!E2373)+COUNTIF(Elan!$U$13:$X$25,Tablas!E2373)</f>
        <v>0</v>
      </c>
      <c r="K2373" s="1837"/>
      <c r="L2373" s="5194" t="s">
        <v>8660</v>
      </c>
      <c r="M2373" s="5194"/>
      <c r="N2373" s="5194"/>
      <c r="O2373" s="5194"/>
      <c r="P2373" s="5194"/>
      <c r="Q2373" s="5195"/>
      <c r="R2373" s="2719">
        <f>IF(OR($J2373=0,$J2373="Aprendida"),0,SUM($J$2326:$J2373))</f>
        <v>0</v>
      </c>
      <c r="T2373" s="3034"/>
      <c r="U2373" s="3035"/>
      <c r="V2373" s="3035"/>
      <c r="W2373" s="3035"/>
      <c r="X2373" s="3035"/>
      <c r="Y2373" s="3036"/>
      <c r="AB2373" s="413"/>
      <c r="AC2373" s="2795"/>
    </row>
    <row r="2374" spans="1:29" ht="12.75" customHeight="1" x14ac:dyDescent="0.2">
      <c r="A2374" s="2029">
        <v>211</v>
      </c>
      <c r="B2374" s="4995"/>
      <c r="E2374" s="2716" t="s">
        <v>8417</v>
      </c>
      <c r="F2374" s="1837"/>
      <c r="G2374" s="1837">
        <v>70</v>
      </c>
      <c r="H2374" s="1838">
        <v>1</v>
      </c>
      <c r="I2374" s="1838">
        <v>15</v>
      </c>
      <c r="J2374" s="1838">
        <f>COUNTIF(Elan!$C$13:$F$25,Tablas!E2374)+COUNTIF(Elan!$U$13:$X$25,Tablas!E2374)</f>
        <v>0</v>
      </c>
      <c r="K2374" s="1837">
        <f>IF(J2374&gt;0,1,0)</f>
        <v>0</v>
      </c>
      <c r="L2374" s="5194" t="s">
        <v>8661</v>
      </c>
      <c r="M2374" s="5194"/>
      <c r="N2374" s="5194"/>
      <c r="O2374" s="5194"/>
      <c r="P2374" s="5194"/>
      <c r="Q2374" s="5195"/>
      <c r="R2374" s="2719">
        <f>IF(OR($J2374=0,$J2374="Aprendida"),0,SUM($J$2326:$J2374))</f>
        <v>0</v>
      </c>
      <c r="T2374" s="3027" t="str">
        <f>E2405</f>
        <v>Rafael</v>
      </c>
      <c r="U2374" s="3028"/>
      <c r="V2374" s="3037"/>
      <c r="W2374" s="3028"/>
      <c r="X2374" s="3028"/>
      <c r="Y2374" s="3029"/>
      <c r="AB2374" s="413"/>
      <c r="AC2374" s="2795"/>
    </row>
    <row r="2375" spans="1:29" ht="12.75" customHeight="1" x14ac:dyDescent="0.2">
      <c r="A2375" s="2029">
        <v>211</v>
      </c>
      <c r="B2375" s="4995"/>
      <c r="E2375" s="2716" t="s">
        <v>8418</v>
      </c>
      <c r="F2375" s="1837"/>
      <c r="G2375" s="1837">
        <v>70</v>
      </c>
      <c r="H2375" s="1838">
        <f>IF(J2371,1,0)</f>
        <v>0</v>
      </c>
      <c r="I2375" s="1838">
        <v>10</v>
      </c>
      <c r="J2375" s="1838">
        <f>COUNTIF(Elan!$C$13:$F$25,Tablas!E2375)+COUNTIF(Elan!$U$13:$X$25,Tablas!E2375)</f>
        <v>0</v>
      </c>
      <c r="K2375" s="1837"/>
      <c r="L2375" s="5194" t="s">
        <v>8662</v>
      </c>
      <c r="M2375" s="5194"/>
      <c r="N2375" s="5194"/>
      <c r="O2375" s="5194"/>
      <c r="P2375" s="5194"/>
      <c r="Q2375" s="5195"/>
      <c r="R2375" s="2719">
        <f>IF(OR($J2375=0,$J2375="Aprendida"),0,SUM($J$2326:$J2375))</f>
        <v>0</v>
      </c>
      <c r="T2375" s="3030" t="s">
        <v>8715</v>
      </c>
      <c r="U2375" s="3031">
        <v>1</v>
      </c>
      <c r="V2375" s="3032" t="s">
        <v>8716</v>
      </c>
      <c r="W2375" s="3031">
        <v>2</v>
      </c>
      <c r="X2375" s="3031" t="s">
        <v>8717</v>
      </c>
      <c r="Y2375" s="3033">
        <v>-5</v>
      </c>
      <c r="AB2375" s="413"/>
      <c r="AC2375" s="2795"/>
    </row>
    <row r="2376" spans="1:29" ht="12.75" customHeight="1" x14ac:dyDescent="0.2">
      <c r="A2376" s="2029">
        <v>211</v>
      </c>
      <c r="B2376" s="4995"/>
      <c r="E2376" s="2716" t="s">
        <v>8407</v>
      </c>
      <c r="F2376" s="1837"/>
      <c r="G2376" s="1837">
        <v>80</v>
      </c>
      <c r="H2376" s="1838">
        <v>1</v>
      </c>
      <c r="I2376" s="1838">
        <v>15</v>
      </c>
      <c r="J2376" s="1838">
        <f>COUNTIF(Elan!$C$13:$F$25,Tablas!E2376)+COUNTIF(Elan!$U$13:$X$25,Tablas!E2376)</f>
        <v>0</v>
      </c>
      <c r="K2376" s="1837"/>
      <c r="L2376" s="5194" t="s">
        <v>8638</v>
      </c>
      <c r="M2376" s="5194"/>
      <c r="N2376" s="5194"/>
      <c r="O2376" s="5194"/>
      <c r="P2376" s="5194"/>
      <c r="Q2376" s="5195"/>
      <c r="R2376" s="2719">
        <f>IF(OR($J2376=0,$J2376="Aprendida"),0,SUM($J$2326:$J2376))</f>
        <v>0</v>
      </c>
      <c r="T2376" s="3030" t="s">
        <v>8719</v>
      </c>
      <c r="U2376" s="3031">
        <v>5</v>
      </c>
      <c r="V2376" s="3032" t="s">
        <v>8719</v>
      </c>
      <c r="W2376" s="3031">
        <v>1</v>
      </c>
      <c r="X2376" s="3031" t="s">
        <v>8720</v>
      </c>
      <c r="Y2376" s="3033">
        <v>-3</v>
      </c>
      <c r="AB2376" s="413"/>
      <c r="AC2376" s="2795"/>
    </row>
    <row r="2377" spans="1:29" ht="12.75" customHeight="1" x14ac:dyDescent="0.2">
      <c r="A2377" s="2029">
        <v>211</v>
      </c>
      <c r="B2377" s="4995"/>
      <c r="E2377" s="2716" t="s">
        <v>8419</v>
      </c>
      <c r="F2377" s="1837"/>
      <c r="G2377" s="1837">
        <v>90</v>
      </c>
      <c r="H2377" s="1838">
        <f>IF(J2375,1,0)</f>
        <v>0</v>
      </c>
      <c r="I2377" s="1838">
        <v>10</v>
      </c>
      <c r="J2377" s="1838">
        <f>COUNTIF(Elan!$C$13:$F$25,Tablas!E2377)+COUNTIF(Elan!$U$13:$X$25,Tablas!E2377)</f>
        <v>0</v>
      </c>
      <c r="K2377" s="1837"/>
      <c r="L2377" s="5194" t="s">
        <v>8663</v>
      </c>
      <c r="M2377" s="5194"/>
      <c r="N2377" s="5194"/>
      <c r="O2377" s="5194"/>
      <c r="P2377" s="5194"/>
      <c r="Q2377" s="5195"/>
      <c r="R2377" s="2719">
        <f>IF(OR($J2377=0,$J2377="Aprendida"),0,SUM($J$2326:$J2377))</f>
        <v>0</v>
      </c>
      <c r="T2377" s="3030" t="s">
        <v>8722</v>
      </c>
      <c r="U2377" s="3031">
        <v>3</v>
      </c>
      <c r="V2377" s="3032" t="s">
        <v>8723</v>
      </c>
      <c r="W2377" s="3031">
        <v>2</v>
      </c>
      <c r="X2377" s="3031" t="s">
        <v>8724</v>
      </c>
      <c r="Y2377" s="3033">
        <v>-10</v>
      </c>
      <c r="AB2377" s="413"/>
      <c r="AC2377" s="2795"/>
    </row>
    <row r="2378" spans="1:29" ht="12.75" customHeight="1" x14ac:dyDescent="0.2">
      <c r="A2378" s="2029">
        <v>211</v>
      </c>
      <c r="B2378" s="4995"/>
      <c r="E2378" s="2716" t="s">
        <v>8420</v>
      </c>
      <c r="F2378" s="1837"/>
      <c r="G2378" s="1837">
        <v>100</v>
      </c>
      <c r="H2378" s="1838">
        <v>1</v>
      </c>
      <c r="I2378" s="1838">
        <v>10</v>
      </c>
      <c r="J2378" s="1838">
        <f>COUNTIF(Elan!$C$13:$F$25,Tablas!E2378)+COUNTIF(Elan!$U$13:$X$25,Tablas!E2378)</f>
        <v>0</v>
      </c>
      <c r="K2378" s="1837"/>
      <c r="L2378" s="5194" t="s">
        <v>8664</v>
      </c>
      <c r="M2378" s="5194"/>
      <c r="N2378" s="5194"/>
      <c r="O2378" s="5194"/>
      <c r="P2378" s="5194"/>
      <c r="Q2378" s="5195"/>
      <c r="R2378" s="2719">
        <f>IF(OR($J2378=0,$J2378="Aprendida"),0,SUM($J$2326:$J2378))</f>
        <v>0</v>
      </c>
      <c r="T2378" s="3030" t="s">
        <v>8726</v>
      </c>
      <c r="U2378" s="3031">
        <v>1</v>
      </c>
      <c r="V2378" s="3032"/>
      <c r="W2378" s="3031"/>
      <c r="X2378" s="3031"/>
      <c r="Y2378" s="3033"/>
      <c r="AB2378" s="413"/>
      <c r="AC2378" s="2795"/>
    </row>
    <row r="2379" spans="1:29" ht="12.75" customHeight="1" x14ac:dyDescent="0.2">
      <c r="A2379" s="2029">
        <v>211</v>
      </c>
      <c r="B2379" s="4995"/>
      <c r="E2379" s="2715" t="s">
        <v>8269</v>
      </c>
      <c r="F2379" s="2707">
        <f>IF(Elan!$C$11=Tablas!$E2379,Elan!$G$11,IF(Elan!$U$11=Tablas!$E2379,Elan!$Y$11,0))</f>
        <v>0</v>
      </c>
      <c r="G2379" s="2708" t="s">
        <v>1133</v>
      </c>
      <c r="H2379" s="2708" t="s">
        <v>2159</v>
      </c>
      <c r="I2379" s="2708" t="s">
        <v>1804</v>
      </c>
      <c r="J2379" s="2708" t="s">
        <v>8374</v>
      </c>
      <c r="K2379" s="2708" t="s">
        <v>9175</v>
      </c>
      <c r="L2379" s="2708" t="s">
        <v>1866</v>
      </c>
      <c r="M2379" s="1839"/>
      <c r="N2379" s="1839"/>
      <c r="O2379" s="1839"/>
      <c r="P2379" s="1839"/>
      <c r="Q2379" s="2713"/>
      <c r="R2379" s="2719">
        <f>IF(OR($J2379=0,$J2379="Aprendida"),0,SUM($J$2326:$J2379))</f>
        <v>0</v>
      </c>
      <c r="T2379" s="3030" t="s">
        <v>8728</v>
      </c>
      <c r="U2379" s="3031">
        <v>5</v>
      </c>
      <c r="V2379" s="3032"/>
      <c r="W2379" s="3031"/>
      <c r="X2379" s="3031"/>
      <c r="Y2379" s="3033"/>
      <c r="AB2379" s="413"/>
      <c r="AC2379" s="2795"/>
    </row>
    <row r="2380" spans="1:29" ht="12.75" customHeight="1" x14ac:dyDescent="0.2">
      <c r="A2380" s="2029">
        <v>211</v>
      </c>
      <c r="B2380" s="4995"/>
      <c r="E2380" s="2716" t="s">
        <v>8421</v>
      </c>
      <c r="F2380" s="1837"/>
      <c r="G2380" s="1837">
        <v>10</v>
      </c>
      <c r="H2380" s="1838">
        <v>1</v>
      </c>
      <c r="I2380" s="1838">
        <v>10</v>
      </c>
      <c r="J2380" s="1838">
        <f>COUNTIF(Elan!$C$13:$F$25,Tablas!E2380)+COUNTIF(Elan!$U$13:$X$25,Tablas!E2380)</f>
        <v>0</v>
      </c>
      <c r="K2380" s="1837">
        <f>F$2379*J2380</f>
        <v>0</v>
      </c>
      <c r="L2380" s="5194" t="s">
        <v>8665</v>
      </c>
      <c r="M2380" s="5194"/>
      <c r="N2380" s="5194"/>
      <c r="O2380" s="5194"/>
      <c r="P2380" s="5194"/>
      <c r="Q2380" s="5195"/>
      <c r="R2380" s="2719">
        <f>IF(OR($J2380=0,$J2380="Aprendida"),0,SUM($J$2326:$J2380))</f>
        <v>0</v>
      </c>
      <c r="T2380" s="3034"/>
      <c r="U2380" s="3035"/>
      <c r="V2380" s="3035"/>
      <c r="W2380" s="3035"/>
      <c r="X2380" s="3035"/>
      <c r="Y2380" s="3036"/>
      <c r="AB2380" s="413"/>
      <c r="AC2380" s="2795"/>
    </row>
    <row r="2381" spans="1:29" ht="12.75" customHeight="1" x14ac:dyDescent="0.2">
      <c r="A2381" s="2029">
        <v>211</v>
      </c>
      <c r="B2381" s="4995"/>
      <c r="E2381" s="2716" t="s">
        <v>8422</v>
      </c>
      <c r="F2381" s="1837"/>
      <c r="G2381" s="1837">
        <v>20</v>
      </c>
      <c r="H2381" s="1838">
        <v>1</v>
      </c>
      <c r="I2381" s="1838">
        <v>5</v>
      </c>
      <c r="J2381" s="1838">
        <f>COUNTIF(Elan!$C$13:$F$25,Tablas!E2381)+COUNTIF(Elan!$U$13:$X$25,Tablas!E2381)</f>
        <v>0</v>
      </c>
      <c r="K2381" s="1837"/>
      <c r="L2381" s="5194" t="s">
        <v>8669</v>
      </c>
      <c r="M2381" s="5194"/>
      <c r="N2381" s="5194"/>
      <c r="O2381" s="5194"/>
      <c r="P2381" s="5194"/>
      <c r="Q2381" s="5195"/>
      <c r="R2381" s="2719">
        <f>IF(OR($J2381=0,$J2381="Aprendida"),0,SUM($J$2326:$J2381))</f>
        <v>0</v>
      </c>
      <c r="T2381" s="3034"/>
      <c r="U2381" s="3035"/>
      <c r="V2381" s="3035"/>
      <c r="W2381" s="3035"/>
      <c r="X2381" s="3035"/>
      <c r="Y2381" s="3036"/>
      <c r="AB2381" s="413"/>
      <c r="AC2381" s="2795"/>
    </row>
    <row r="2382" spans="1:29" ht="12.75" customHeight="1" x14ac:dyDescent="0.2">
      <c r="A2382" s="2029">
        <v>211</v>
      </c>
      <c r="B2382" s="4995"/>
      <c r="E2382" s="2716" t="s">
        <v>8423</v>
      </c>
      <c r="F2382" s="1837"/>
      <c r="G2382" s="1837">
        <v>30</v>
      </c>
      <c r="H2382" s="1838">
        <v>1</v>
      </c>
      <c r="I2382" s="1838">
        <v>10</v>
      </c>
      <c r="J2382" s="1838">
        <f>COUNTIF(Elan!$C$13:$F$25,Tablas!E2382)+COUNTIF(Elan!$U$13:$X$25,Tablas!E2382)</f>
        <v>0</v>
      </c>
      <c r="K2382" s="1837"/>
      <c r="L2382" s="5194" t="s">
        <v>8673</v>
      </c>
      <c r="M2382" s="5194"/>
      <c r="N2382" s="5194"/>
      <c r="O2382" s="5194"/>
      <c r="P2382" s="5194"/>
      <c r="Q2382" s="5195"/>
      <c r="R2382" s="2719">
        <f>IF(OR($J2382=0,$J2382="Aprendida"),0,SUM($J$2326:$J2382))</f>
        <v>0</v>
      </c>
      <c r="T2382" s="3027" t="str">
        <f>E2419</f>
        <v>Erebus</v>
      </c>
      <c r="U2382" s="3028"/>
      <c r="V2382" s="3037"/>
      <c r="W2382" s="3028"/>
      <c r="X2382" s="3028"/>
      <c r="Y2382" s="3029"/>
      <c r="AB2382" s="413"/>
      <c r="AC2382" s="2795"/>
    </row>
    <row r="2383" spans="1:29" ht="12.75" customHeight="1" x14ac:dyDescent="0.2">
      <c r="A2383" s="2029">
        <v>211</v>
      </c>
      <c r="B2383" s="4995"/>
      <c r="E2383" s="2716" t="s">
        <v>8424</v>
      </c>
      <c r="F2383" s="1837"/>
      <c r="G2383" s="1837">
        <v>40</v>
      </c>
      <c r="H2383" s="1838">
        <v>1</v>
      </c>
      <c r="I2383" s="1838">
        <v>10</v>
      </c>
      <c r="J2383" s="1838">
        <f>COUNTIF(Elan!$C$13:$F$25,Tablas!E2383)+COUNTIF(Elan!$U$13:$X$25,Tablas!E2383)</f>
        <v>0</v>
      </c>
      <c r="K2383" s="1837"/>
      <c r="L2383" s="5194" t="s">
        <v>8676</v>
      </c>
      <c r="M2383" s="5194"/>
      <c r="N2383" s="5194"/>
      <c r="O2383" s="5194"/>
      <c r="P2383" s="5194"/>
      <c r="Q2383" s="5195"/>
      <c r="R2383" s="2719">
        <f>IF(OR($J2383=0,$J2383="Aprendida"),0,SUM($J$2326:$J2383))</f>
        <v>0</v>
      </c>
      <c r="T2383" s="3030" t="s">
        <v>8738</v>
      </c>
      <c r="U2383" s="3031">
        <v>2</v>
      </c>
      <c r="V2383" s="3032" t="s">
        <v>8739</v>
      </c>
      <c r="W2383" s="3031">
        <v>2</v>
      </c>
      <c r="X2383" s="3031" t="s">
        <v>8740</v>
      </c>
      <c r="Y2383" s="3033">
        <v>-3</v>
      </c>
      <c r="AB2383" s="413"/>
      <c r="AC2383" s="2795"/>
    </row>
    <row r="2384" spans="1:29" ht="12.75" customHeight="1" x14ac:dyDescent="0.2">
      <c r="A2384" s="2029">
        <v>211</v>
      </c>
      <c r="B2384" s="4995"/>
      <c r="E2384" s="2716" t="s">
        <v>1579</v>
      </c>
      <c r="F2384" s="1837"/>
      <c r="G2384" s="1837">
        <v>40</v>
      </c>
      <c r="H2384" s="1838">
        <v>1</v>
      </c>
      <c r="I2384" s="1838">
        <v>10</v>
      </c>
      <c r="J2384" s="1838">
        <f>COUNTIF(Elan!$C$13:$F$25,Tablas!E2384)+COUNTIF(Elan!$U$13:$X$25,Tablas!E2384)</f>
        <v>0</v>
      </c>
      <c r="K2384" s="1837"/>
      <c r="L2384" s="5194" t="s">
        <v>8680</v>
      </c>
      <c r="M2384" s="5194"/>
      <c r="N2384" s="5194"/>
      <c r="O2384" s="5194"/>
      <c r="P2384" s="5194"/>
      <c r="Q2384" s="5195"/>
      <c r="R2384" s="2719">
        <f>IF(OR($J2384=0,$J2384="Aprendida"),0,SUM($J$2326:$J2384))</f>
        <v>0</v>
      </c>
      <c r="T2384" s="3030" t="s">
        <v>8742</v>
      </c>
      <c r="U2384" s="3031">
        <v>3</v>
      </c>
      <c r="V2384" s="3032" t="s">
        <v>8743</v>
      </c>
      <c r="W2384" s="3031">
        <v>2</v>
      </c>
      <c r="X2384" s="3031" t="s">
        <v>8744</v>
      </c>
      <c r="Y2384" s="3033">
        <v>-2</v>
      </c>
      <c r="AB2384" s="413"/>
      <c r="AC2384" s="2795"/>
    </row>
    <row r="2385" spans="1:29" ht="12.75" customHeight="1" x14ac:dyDescent="0.2">
      <c r="A2385" s="2029">
        <v>211</v>
      </c>
      <c r="B2385" s="4995"/>
      <c r="E2385" s="2716" t="s">
        <v>8425</v>
      </c>
      <c r="F2385" s="1837"/>
      <c r="G2385" s="1837">
        <v>50</v>
      </c>
      <c r="H2385" s="1838">
        <v>1</v>
      </c>
      <c r="I2385" s="1838">
        <v>10</v>
      </c>
      <c r="J2385" s="1838">
        <f>COUNTIF(Elan!$C$13:$F$25,Tablas!E2385)+COUNTIF(Elan!$U$13:$X$25,Tablas!E2385)</f>
        <v>0</v>
      </c>
      <c r="K2385" s="1837"/>
      <c r="L2385" s="5194" t="s">
        <v>8683</v>
      </c>
      <c r="M2385" s="5194"/>
      <c r="N2385" s="5194"/>
      <c r="O2385" s="5194"/>
      <c r="P2385" s="5194"/>
      <c r="Q2385" s="5195"/>
      <c r="R2385" s="2719">
        <f>IF(OR($J2385=0,$J2385="Aprendida"),0,SUM($J$2326:$J2385))</f>
        <v>0</v>
      </c>
      <c r="T2385" s="3030" t="s">
        <v>8746</v>
      </c>
      <c r="U2385" s="3031">
        <v>2</v>
      </c>
      <c r="V2385" s="3032" t="s">
        <v>8747</v>
      </c>
      <c r="W2385" s="3031">
        <v>2</v>
      </c>
      <c r="X2385" s="3031"/>
      <c r="Y2385" s="3033"/>
      <c r="AB2385" s="413"/>
      <c r="AC2385" s="2795"/>
    </row>
    <row r="2386" spans="1:29" ht="12.75" customHeight="1" x14ac:dyDescent="0.2">
      <c r="A2386" s="2029">
        <v>211</v>
      </c>
      <c r="B2386" s="4995"/>
      <c r="E2386" s="2716" t="s">
        <v>8426</v>
      </c>
      <c r="F2386" s="1837"/>
      <c r="G2386" s="1837">
        <v>50</v>
      </c>
      <c r="H2386" s="1838">
        <v>1</v>
      </c>
      <c r="I2386" s="1838">
        <v>15</v>
      </c>
      <c r="J2386" s="1838">
        <f>COUNTIF(Elan!$C$13:$F$25,Tablas!E2386)+COUNTIF(Elan!$U$13:$X$25,Tablas!E2386)</f>
        <v>0</v>
      </c>
      <c r="K2386" s="1837"/>
      <c r="L2386" s="5194" t="s">
        <v>8684</v>
      </c>
      <c r="M2386" s="5194"/>
      <c r="N2386" s="5194"/>
      <c r="O2386" s="5194"/>
      <c r="P2386" s="5194"/>
      <c r="Q2386" s="5195"/>
      <c r="R2386" s="2719">
        <f>IF(OR($J2386=0,$J2386="Aprendida"),0,SUM($J$2326:$J2386))</f>
        <v>0</v>
      </c>
      <c r="T2386" s="3030" t="s">
        <v>8749</v>
      </c>
      <c r="U2386" s="3031">
        <v>3</v>
      </c>
      <c r="V2386" s="3032"/>
      <c r="W2386" s="3031"/>
      <c r="X2386" s="3031"/>
      <c r="Y2386" s="3033"/>
      <c r="AB2386" s="413"/>
      <c r="AC2386" s="2795"/>
    </row>
    <row r="2387" spans="1:29" ht="12.75" customHeight="1" x14ac:dyDescent="0.2">
      <c r="A2387" s="2029">
        <v>211</v>
      </c>
      <c r="B2387" s="4995"/>
      <c r="E2387" s="2716" t="s">
        <v>2626</v>
      </c>
      <c r="F2387" s="1837"/>
      <c r="G2387" s="1837">
        <v>60</v>
      </c>
      <c r="H2387" s="1838">
        <v>1</v>
      </c>
      <c r="I2387" s="1838">
        <v>15</v>
      </c>
      <c r="J2387" s="1838">
        <f>COUNTIF(Elan!$C$13:$F$25,Tablas!E2387)+COUNTIF(Elan!$U$13:$X$25,Tablas!E2387)</f>
        <v>0</v>
      </c>
      <c r="K2387" s="1837"/>
      <c r="L2387" s="5194" t="s">
        <v>8685</v>
      </c>
      <c r="M2387" s="5194"/>
      <c r="N2387" s="5194"/>
      <c r="O2387" s="5194"/>
      <c r="P2387" s="5194"/>
      <c r="Q2387" s="5195"/>
      <c r="R2387" s="2719">
        <f>IF(OR($J2387=0,$J2387="Aprendida"),0,SUM($J$2326:$J2387))</f>
        <v>0</v>
      </c>
      <c r="T2387" s="3030" t="s">
        <v>8751</v>
      </c>
      <c r="U2387" s="3031">
        <v>2</v>
      </c>
      <c r="V2387" s="3032"/>
      <c r="W2387" s="3031"/>
      <c r="X2387" s="3031"/>
      <c r="Y2387" s="3033"/>
      <c r="AB2387" s="413"/>
      <c r="AC2387" s="2795"/>
    </row>
    <row r="2388" spans="1:29" ht="12.75" customHeight="1" x14ac:dyDescent="0.2">
      <c r="A2388" s="2029">
        <v>211</v>
      </c>
      <c r="B2388" s="4995"/>
      <c r="E2388" s="2716" t="s">
        <v>8427</v>
      </c>
      <c r="F2388" s="1837"/>
      <c r="G2388" s="1837">
        <v>70</v>
      </c>
      <c r="H2388" s="1838">
        <v>1</v>
      </c>
      <c r="I2388" s="1838">
        <v>10</v>
      </c>
      <c r="J2388" s="1838">
        <f>COUNTIF(Elan!$C$13:$F$25,Tablas!E2388)+COUNTIF(Elan!$U$13:$X$25,Tablas!E2388)</f>
        <v>0</v>
      </c>
      <c r="K2388" s="1837"/>
      <c r="L2388" s="5194" t="s">
        <v>8686</v>
      </c>
      <c r="M2388" s="5194"/>
      <c r="N2388" s="5194"/>
      <c r="O2388" s="5194"/>
      <c r="P2388" s="5194"/>
      <c r="Q2388" s="5195"/>
      <c r="R2388" s="2719">
        <f>IF(OR($J2388=0,$J2388="Aprendida"),0,SUM($J$2326:$J2388))</f>
        <v>0</v>
      </c>
      <c r="T2388" s="3030" t="s">
        <v>8753</v>
      </c>
      <c r="U2388" s="3031">
        <v>2</v>
      </c>
      <c r="V2388" s="3032"/>
      <c r="W2388" s="3031"/>
      <c r="X2388" s="3031"/>
      <c r="Y2388" s="3033"/>
      <c r="AB2388" s="413"/>
      <c r="AC2388" s="2795"/>
    </row>
    <row r="2389" spans="1:29" ht="12.75" customHeight="1" x14ac:dyDescent="0.2">
      <c r="A2389" s="2029">
        <v>211</v>
      </c>
      <c r="B2389" s="4995"/>
      <c r="E2389" s="2716" t="s">
        <v>8428</v>
      </c>
      <c r="F2389" s="1837"/>
      <c r="G2389" s="1837">
        <v>80</v>
      </c>
      <c r="H2389" s="1838">
        <v>1</v>
      </c>
      <c r="I2389" s="1838">
        <v>15</v>
      </c>
      <c r="J2389" s="1838">
        <f>COUNTIF(Elan!$C$13:$F$25,Tablas!E2389)+COUNTIF(Elan!$U$13:$X$25,Tablas!E2389)</f>
        <v>0</v>
      </c>
      <c r="K2389" s="1837"/>
      <c r="L2389" s="5194" t="s">
        <v>8687</v>
      </c>
      <c r="M2389" s="5194"/>
      <c r="N2389" s="5194"/>
      <c r="O2389" s="5194"/>
      <c r="P2389" s="5194"/>
      <c r="Q2389" s="5195"/>
      <c r="R2389" s="2719">
        <f>IF(OR($J2389=0,$J2389="Aprendida"),0,SUM($J$2326:$J2389))</f>
        <v>0</v>
      </c>
      <c r="T2389" s="3034"/>
      <c r="U2389" s="3035"/>
      <c r="V2389" s="3035"/>
      <c r="W2389" s="3035"/>
      <c r="X2389" s="3035"/>
      <c r="Y2389" s="3036"/>
      <c r="AB2389" s="413"/>
      <c r="AC2389" s="2795"/>
    </row>
    <row r="2390" spans="1:29" ht="12.75" customHeight="1" x14ac:dyDescent="0.2">
      <c r="A2390" s="2029">
        <v>211</v>
      </c>
      <c r="B2390" s="4995"/>
      <c r="E2390" s="2716" t="s">
        <v>8429</v>
      </c>
      <c r="F2390" s="1837"/>
      <c r="G2390" s="1837">
        <v>90</v>
      </c>
      <c r="H2390" s="1838">
        <v>1</v>
      </c>
      <c r="I2390" s="1838">
        <v>20</v>
      </c>
      <c r="J2390" s="1838">
        <f>COUNTIF(Elan!$C$13:$F$25,Tablas!E2390)+COUNTIF(Elan!$U$13:$X$25,Tablas!E2390)</f>
        <v>0</v>
      </c>
      <c r="K2390" s="1837"/>
      <c r="L2390" s="5194" t="s">
        <v>8688</v>
      </c>
      <c r="M2390" s="5194"/>
      <c r="N2390" s="5194"/>
      <c r="O2390" s="5194"/>
      <c r="P2390" s="5194"/>
      <c r="Q2390" s="5195"/>
      <c r="R2390" s="2719">
        <f>IF(OR($J2390=0,$J2390="Aprendida"),0,SUM($J$2326:$J2390))</f>
        <v>0</v>
      </c>
      <c r="T2390" s="3027" t="str">
        <f>E2431</f>
        <v>Azrael</v>
      </c>
      <c r="U2390" s="3028"/>
      <c r="V2390" s="3037"/>
      <c r="W2390" s="3028"/>
      <c r="X2390" s="3028"/>
      <c r="Y2390" s="3029"/>
      <c r="AB2390" s="413"/>
      <c r="AC2390" s="2795"/>
    </row>
    <row r="2391" spans="1:29" ht="12.75" customHeight="1" x14ac:dyDescent="0.2">
      <c r="A2391" s="2029">
        <v>211</v>
      </c>
      <c r="B2391" s="4995"/>
      <c r="E2391" s="2716" t="s">
        <v>8430</v>
      </c>
      <c r="F2391" s="1837"/>
      <c r="G2391" s="1837">
        <v>100</v>
      </c>
      <c r="H2391" s="1838">
        <v>1</v>
      </c>
      <c r="I2391" s="1838">
        <v>10</v>
      </c>
      <c r="J2391" s="1838">
        <f>COUNTIF(Elan!$C$13:$F$25,Tablas!E2391)+COUNTIF(Elan!$U$13:$X$25,Tablas!E2391)</f>
        <v>0</v>
      </c>
      <c r="K2391" s="1837"/>
      <c r="L2391" s="5194" t="s">
        <v>8689</v>
      </c>
      <c r="M2391" s="5194"/>
      <c r="N2391" s="5194"/>
      <c r="O2391" s="5194"/>
      <c r="P2391" s="5194"/>
      <c r="Q2391" s="5195"/>
      <c r="R2391" s="2719">
        <f>IF(OR($J2391=0,$J2391="Aprendida"),0,SUM($J$2326:$J2391))</f>
        <v>0</v>
      </c>
      <c r="T2391" s="3030" t="s">
        <v>8760</v>
      </c>
      <c r="U2391" s="3031">
        <v>3</v>
      </c>
      <c r="V2391" s="3032" t="s">
        <v>8761</v>
      </c>
      <c r="W2391" s="3031">
        <v>1</v>
      </c>
      <c r="X2391" s="3031" t="s">
        <v>8762</v>
      </c>
      <c r="Y2391" s="3033">
        <v>-2</v>
      </c>
      <c r="AB2391" s="413"/>
      <c r="AC2391" s="2795"/>
    </row>
    <row r="2392" spans="1:29" ht="12.75" customHeight="1" x14ac:dyDescent="0.2">
      <c r="A2392" s="2029">
        <v>211</v>
      </c>
      <c r="B2392" s="4995"/>
      <c r="E2392" s="2715" t="s">
        <v>8365</v>
      </c>
      <c r="F2392" s="2707">
        <f>IF(Elan!$C$11=Tablas!$E2392,Elan!$G$11,IF(Elan!$U$11=Tablas!$E2392,Elan!$Y$11,0))</f>
        <v>0</v>
      </c>
      <c r="G2392" s="2708" t="s">
        <v>1133</v>
      </c>
      <c r="H2392" s="2708" t="s">
        <v>2159</v>
      </c>
      <c r="I2392" s="2708" t="s">
        <v>1804</v>
      </c>
      <c r="J2392" s="2708" t="s">
        <v>8374</v>
      </c>
      <c r="K2392" s="2708" t="s">
        <v>9175</v>
      </c>
      <c r="L2392" s="2708" t="s">
        <v>1866</v>
      </c>
      <c r="M2392" s="1839"/>
      <c r="N2392" s="1839"/>
      <c r="O2392" s="1839"/>
      <c r="P2392" s="1839"/>
      <c r="Q2392" s="2713"/>
      <c r="R2392" s="2719">
        <f>IF(OR($J2392=0,$J2392="Aprendida"),0,SUM($J$2326:$J2392))</f>
        <v>0</v>
      </c>
      <c r="T2392" s="3030" t="s">
        <v>8764</v>
      </c>
      <c r="U2392" s="3031">
        <v>2</v>
      </c>
      <c r="V2392" s="3032" t="s">
        <v>8765</v>
      </c>
      <c r="W2392" s="3031">
        <v>2</v>
      </c>
      <c r="X2392" s="3031" t="s">
        <v>8766</v>
      </c>
      <c r="Y2392" s="3033">
        <v>-8</v>
      </c>
      <c r="AB2392" s="413"/>
      <c r="AC2392" s="2795"/>
    </row>
    <row r="2393" spans="1:29" ht="12.75" customHeight="1" x14ac:dyDescent="0.2">
      <c r="A2393" s="2029">
        <v>211</v>
      </c>
      <c r="B2393" s="4995"/>
      <c r="E2393" s="2716" t="s">
        <v>8431</v>
      </c>
      <c r="F2393" s="1837"/>
      <c r="G2393" s="1837">
        <v>10</v>
      </c>
      <c r="H2393" s="1838">
        <v>1</v>
      </c>
      <c r="I2393" s="1838">
        <v>5</v>
      </c>
      <c r="J2393" s="1838">
        <f>COUNTIF(Elan!$C$13:$F$25,Tablas!E2393)+COUNTIF(Elan!$U$13:$X$25,Tablas!E2393)</f>
        <v>0</v>
      </c>
      <c r="K2393" s="1837"/>
      <c r="L2393" s="5194" t="s">
        <v>8690</v>
      </c>
      <c r="M2393" s="5194"/>
      <c r="N2393" s="5194"/>
      <c r="O2393" s="5194"/>
      <c r="P2393" s="5194"/>
      <c r="Q2393" s="5195"/>
      <c r="R2393" s="2719">
        <f>IF(OR($J2393=0,$J2393="Aprendida"),0,SUM($J$2326:$J2393))</f>
        <v>0</v>
      </c>
      <c r="T2393" s="3030" t="s">
        <v>8768</v>
      </c>
      <c r="U2393" s="3031">
        <v>5</v>
      </c>
      <c r="V2393" s="3032" t="s">
        <v>8769</v>
      </c>
      <c r="W2393" s="3031">
        <v>2</v>
      </c>
      <c r="X2393" s="3031" t="s">
        <v>8770</v>
      </c>
      <c r="Y2393" s="3033">
        <v>-2</v>
      </c>
      <c r="AB2393" s="413"/>
      <c r="AC2393" s="2795"/>
    </row>
    <row r="2394" spans="1:29" ht="12.75" customHeight="1" x14ac:dyDescent="0.2">
      <c r="A2394" s="2029">
        <v>211</v>
      </c>
      <c r="B2394" s="4995"/>
      <c r="E2394" s="2716" t="s">
        <v>8432</v>
      </c>
      <c r="F2394" s="1837"/>
      <c r="G2394" s="1837">
        <v>20</v>
      </c>
      <c r="H2394" s="1838">
        <v>1</v>
      </c>
      <c r="I2394" s="1838">
        <v>10</v>
      </c>
      <c r="J2394" s="1838">
        <f>COUNTIF(Elan!$C$13:$F$25,Tablas!E2394)+COUNTIF(Elan!$U$13:$X$25,Tablas!E2394)</f>
        <v>0</v>
      </c>
      <c r="K2394" s="1837"/>
      <c r="L2394" s="5194" t="s">
        <v>8694</v>
      </c>
      <c r="M2394" s="5194"/>
      <c r="N2394" s="5194"/>
      <c r="O2394" s="5194"/>
      <c r="P2394" s="5194"/>
      <c r="Q2394" s="5195"/>
      <c r="R2394" s="2719">
        <f>IF(OR($J2394=0,$J2394="Aprendida"),0,SUM($J$2326:$J2394))</f>
        <v>0</v>
      </c>
      <c r="T2394" s="3030" t="s">
        <v>8772</v>
      </c>
      <c r="U2394" s="3031">
        <v>2</v>
      </c>
      <c r="V2394" s="3032" t="s">
        <v>8773</v>
      </c>
      <c r="W2394" s="3031">
        <v>3</v>
      </c>
      <c r="X2394" s="3031"/>
      <c r="Y2394" s="3033"/>
      <c r="AB2394" s="413"/>
      <c r="AC2394" s="2795"/>
    </row>
    <row r="2395" spans="1:29" ht="12.75" customHeight="1" x14ac:dyDescent="0.2">
      <c r="A2395" s="2029">
        <v>211</v>
      </c>
      <c r="B2395" s="4995"/>
      <c r="E2395" s="2716" t="s">
        <v>8433</v>
      </c>
      <c r="F2395" s="1837"/>
      <c r="G2395" s="1837">
        <v>20</v>
      </c>
      <c r="H2395" s="1838">
        <v>1</v>
      </c>
      <c r="I2395" s="1838">
        <v>5</v>
      </c>
      <c r="J2395" s="1838">
        <f>COUNTIF(Elan!$C$13:$F$25,Tablas!E2395)+COUNTIF(Elan!$U$13:$X$25,Tablas!E2395)</f>
        <v>0</v>
      </c>
      <c r="K2395" s="1837">
        <f>ROUNDDOWN(F$2392/2,0)*J2395</f>
        <v>0</v>
      </c>
      <c r="L2395" s="5194" t="s">
        <v>8698</v>
      </c>
      <c r="M2395" s="5194"/>
      <c r="N2395" s="5194"/>
      <c r="O2395" s="5194"/>
      <c r="P2395" s="5194"/>
      <c r="Q2395" s="5195"/>
      <c r="R2395" s="2719">
        <f>IF(OR($J2395=0,$J2395="Aprendida"),0,SUM($J$2326:$J2395))</f>
        <v>0</v>
      </c>
      <c r="T2395" s="3030" t="s">
        <v>8775</v>
      </c>
      <c r="U2395" s="3031">
        <v>2</v>
      </c>
      <c r="V2395" s="3032"/>
      <c r="W2395" s="3031"/>
      <c r="X2395" s="3031"/>
      <c r="Y2395" s="3033"/>
      <c r="AB2395" s="413"/>
      <c r="AC2395" s="2795"/>
    </row>
    <row r="2396" spans="1:29" ht="12.75" customHeight="1" x14ac:dyDescent="0.2">
      <c r="A2396" s="2029">
        <v>211</v>
      </c>
      <c r="B2396" s="4995"/>
      <c r="E2396" s="2716" t="s">
        <v>2078</v>
      </c>
      <c r="F2396" s="1837"/>
      <c r="G2396" s="1837">
        <v>30</v>
      </c>
      <c r="H2396" s="1838">
        <v>1</v>
      </c>
      <c r="I2396" s="1838">
        <v>5</v>
      </c>
      <c r="J2396" s="1838">
        <f>COUNTIF(Elan!$C$13:$F$25,Tablas!E2396)+COUNTIF(Elan!$U$13:$X$25,Tablas!E2396)</f>
        <v>0</v>
      </c>
      <c r="K2396" s="1837"/>
      <c r="L2396" s="5194" t="s">
        <v>8702</v>
      </c>
      <c r="M2396" s="5194"/>
      <c r="N2396" s="5194"/>
      <c r="O2396" s="5194"/>
      <c r="P2396" s="5194"/>
      <c r="Q2396" s="5195"/>
      <c r="R2396" s="2719">
        <f>IF(OR($J2396=0,$J2396="Aprendida"),0,SUM($J$2326:$J2396))</f>
        <v>0</v>
      </c>
      <c r="T2396" s="3030" t="s">
        <v>8777</v>
      </c>
      <c r="U2396" s="3031">
        <v>3</v>
      </c>
      <c r="V2396" s="3032"/>
      <c r="W2396" s="3031"/>
      <c r="X2396" s="3031"/>
      <c r="Y2396" s="3033"/>
      <c r="AB2396" s="413"/>
      <c r="AC2396" s="2795"/>
    </row>
    <row r="2397" spans="1:29" ht="12.75" customHeight="1" x14ac:dyDescent="0.2">
      <c r="A2397" s="2029">
        <v>211</v>
      </c>
      <c r="B2397" s="4995"/>
      <c r="E2397" s="2716" t="s">
        <v>8434</v>
      </c>
      <c r="F2397" s="1837"/>
      <c r="G2397" s="1837">
        <v>40</v>
      </c>
      <c r="H2397" s="1838">
        <v>1</v>
      </c>
      <c r="I2397" s="1838">
        <v>10</v>
      </c>
      <c r="J2397" s="1838">
        <f>COUNTIF(Elan!$C$13:$F$25,Tablas!E2397)+COUNTIF(Elan!$U$13:$X$25,Tablas!E2397)</f>
        <v>0</v>
      </c>
      <c r="K2397" s="1837"/>
      <c r="L2397" s="5194" t="s">
        <v>8705</v>
      </c>
      <c r="M2397" s="5194"/>
      <c r="N2397" s="5194"/>
      <c r="O2397" s="5194"/>
      <c r="P2397" s="5194"/>
      <c r="Q2397" s="5195"/>
      <c r="R2397" s="2719">
        <f>IF(OR($J2397=0,$J2397="Aprendida"),0,SUM($J$2326:$J2397))</f>
        <v>0</v>
      </c>
      <c r="T2397" s="3030" t="s">
        <v>8779</v>
      </c>
      <c r="U2397" s="3031">
        <v>5</v>
      </c>
      <c r="V2397" s="3032"/>
      <c r="W2397" s="3031"/>
      <c r="X2397" s="3031"/>
      <c r="Y2397" s="3033"/>
      <c r="AB2397" s="413"/>
      <c r="AC2397" s="2795"/>
    </row>
    <row r="2398" spans="1:29" ht="12.75" customHeight="1" x14ac:dyDescent="0.2">
      <c r="A2398" s="2029">
        <v>211</v>
      </c>
      <c r="B2398" s="4995"/>
      <c r="E2398" s="2716" t="s">
        <v>8435</v>
      </c>
      <c r="F2398" s="1837"/>
      <c r="G2398" s="1837">
        <v>50</v>
      </c>
      <c r="H2398" s="1838">
        <v>1</v>
      </c>
      <c r="I2398" s="1838">
        <v>15</v>
      </c>
      <c r="J2398" s="1838">
        <f>COUNTIF(Elan!$C$13:$F$25,Tablas!E2398)+COUNTIF(Elan!$U$13:$X$25,Tablas!E2398)</f>
        <v>0</v>
      </c>
      <c r="K2398" s="1837"/>
      <c r="L2398" s="5194" t="s">
        <v>8707</v>
      </c>
      <c r="M2398" s="5194"/>
      <c r="N2398" s="5194"/>
      <c r="O2398" s="5194"/>
      <c r="P2398" s="5194"/>
      <c r="Q2398" s="5195"/>
      <c r="R2398" s="2719">
        <f>IF(OR($J2398=0,$J2398="Aprendida"),0,SUM($J$2326:$J2398))</f>
        <v>0</v>
      </c>
      <c r="T2398" s="3027" t="str">
        <f>E2444</f>
        <v>Abbadon</v>
      </c>
      <c r="U2398" s="3028"/>
      <c r="V2398" s="3037"/>
      <c r="W2398" s="3028"/>
      <c r="X2398" s="3028"/>
      <c r="Y2398" s="3029"/>
      <c r="AB2398" s="413"/>
      <c r="AC2398" s="2795"/>
    </row>
    <row r="2399" spans="1:29" ht="12.75" customHeight="1" x14ac:dyDescent="0.2">
      <c r="A2399" s="2029">
        <v>211</v>
      </c>
      <c r="B2399" s="4995"/>
      <c r="E2399" s="2716" t="s">
        <v>8436</v>
      </c>
      <c r="F2399" s="1837"/>
      <c r="G2399" s="1837">
        <v>60</v>
      </c>
      <c r="H2399" s="1838">
        <v>1</v>
      </c>
      <c r="I2399" s="1838">
        <v>10</v>
      </c>
      <c r="J2399" s="1838">
        <f>COUNTIF(Elan!$C$13:$F$25,Tablas!E2399)+COUNTIF(Elan!$U$13:$X$25,Tablas!E2399)</f>
        <v>0</v>
      </c>
      <c r="K2399" s="1837"/>
      <c r="L2399" s="5194" t="s">
        <v>8708</v>
      </c>
      <c r="M2399" s="5194"/>
      <c r="N2399" s="5194"/>
      <c r="O2399" s="5194"/>
      <c r="P2399" s="5194"/>
      <c r="Q2399" s="5195"/>
      <c r="R2399" s="2719">
        <f>IF(OR($J2399=0,$J2399="Aprendida"),0,SUM($J$2326:$J2399))</f>
        <v>0</v>
      </c>
      <c r="T2399" s="3030" t="s">
        <v>8675</v>
      </c>
      <c r="U2399" s="3031">
        <v>1</v>
      </c>
      <c r="V2399" s="3032" t="s">
        <v>8786</v>
      </c>
      <c r="W2399" s="3031">
        <v>2</v>
      </c>
      <c r="X2399" s="3031" t="s">
        <v>8787</v>
      </c>
      <c r="Y2399" s="3033">
        <v>-1</v>
      </c>
      <c r="AB2399" s="413"/>
      <c r="AC2399" s="2795"/>
    </row>
    <row r="2400" spans="1:29" ht="12.75" customHeight="1" x14ac:dyDescent="0.2">
      <c r="A2400" s="2029">
        <v>211</v>
      </c>
      <c r="B2400" s="4995"/>
      <c r="E2400" s="2716" t="s">
        <v>8437</v>
      </c>
      <c r="F2400" s="1837"/>
      <c r="G2400" s="1837">
        <v>70</v>
      </c>
      <c r="H2400" s="1838">
        <v>1</v>
      </c>
      <c r="I2400" s="1838">
        <v>15</v>
      </c>
      <c r="J2400" s="1838">
        <f>COUNTIF(Elan!$C$13:$F$25,Tablas!E2400)+COUNTIF(Elan!$U$13:$X$25,Tablas!E2400)</f>
        <v>0</v>
      </c>
      <c r="K2400" s="1837"/>
      <c r="L2400" s="5194" t="s">
        <v>8709</v>
      </c>
      <c r="M2400" s="5194"/>
      <c r="N2400" s="5194"/>
      <c r="O2400" s="5194"/>
      <c r="P2400" s="5194"/>
      <c r="Q2400" s="5195"/>
      <c r="R2400" s="2719">
        <f>IF(OR($J2400=0,$J2400="Aprendida"),0,SUM($J$2326:$J2400))</f>
        <v>0</v>
      </c>
      <c r="T2400" s="3030" t="s">
        <v>8789</v>
      </c>
      <c r="U2400" s="3031">
        <v>4</v>
      </c>
      <c r="V2400" s="3032" t="s">
        <v>8790</v>
      </c>
      <c r="W2400" s="3031">
        <v>3</v>
      </c>
      <c r="X2400" s="3031" t="s">
        <v>8791</v>
      </c>
      <c r="Y2400" s="3033">
        <v>-6</v>
      </c>
      <c r="AB2400" s="413"/>
      <c r="AC2400" s="2795"/>
    </row>
    <row r="2401" spans="1:29" ht="12.75" customHeight="1" x14ac:dyDescent="0.2">
      <c r="A2401" s="2029">
        <v>211</v>
      </c>
      <c r="B2401" s="4995"/>
      <c r="E2401" s="2716" t="s">
        <v>8438</v>
      </c>
      <c r="F2401" s="1837"/>
      <c r="G2401" s="1837">
        <v>70</v>
      </c>
      <c r="H2401" s="1838">
        <v>1</v>
      </c>
      <c r="I2401" s="1838">
        <v>10</v>
      </c>
      <c r="J2401" s="1838">
        <f>COUNTIF(Elan!$C$13:$F$25,Tablas!E2401)+COUNTIF(Elan!$U$13:$X$25,Tablas!E2401)</f>
        <v>0</v>
      </c>
      <c r="K2401" s="1837"/>
      <c r="L2401" s="5194" t="s">
        <v>8710</v>
      </c>
      <c r="M2401" s="5194"/>
      <c r="N2401" s="5194"/>
      <c r="O2401" s="5194"/>
      <c r="P2401" s="5194"/>
      <c r="Q2401" s="5195"/>
      <c r="R2401" s="2719">
        <f>IF(OR($J2401=0,$J2401="Aprendida"),0,SUM($J$2326:$J2401))</f>
        <v>0</v>
      </c>
      <c r="T2401" s="3030" t="s">
        <v>8793</v>
      </c>
      <c r="U2401" s="3031">
        <v>3</v>
      </c>
      <c r="V2401" s="3032"/>
      <c r="W2401" s="3031"/>
      <c r="X2401" s="3031"/>
      <c r="Y2401" s="3033"/>
      <c r="AB2401" s="413"/>
      <c r="AC2401" s="2795"/>
    </row>
    <row r="2402" spans="1:29" ht="12.75" customHeight="1" x14ac:dyDescent="0.2">
      <c r="A2402" s="2029">
        <v>211</v>
      </c>
      <c r="B2402" s="4995"/>
      <c r="E2402" s="2716" t="s">
        <v>8439</v>
      </c>
      <c r="F2402" s="1837"/>
      <c r="G2402" s="1837">
        <v>80</v>
      </c>
      <c r="H2402" s="1838">
        <f>IF(J2396,1,0)</f>
        <v>0</v>
      </c>
      <c r="I2402" s="1838">
        <v>20</v>
      </c>
      <c r="J2402" s="1838">
        <f>COUNTIF(Elan!$C$13:$F$25,Tablas!E2402)+COUNTIF(Elan!$U$13:$X$25,Tablas!E2402)</f>
        <v>0</v>
      </c>
      <c r="K2402" s="1837"/>
      <c r="L2402" s="5194" t="s">
        <v>8711</v>
      </c>
      <c r="M2402" s="5194"/>
      <c r="N2402" s="5194"/>
      <c r="O2402" s="5194"/>
      <c r="P2402" s="5194"/>
      <c r="Q2402" s="5195"/>
      <c r="R2402" s="2719">
        <f>IF(OR($J2402=0,$J2402="Aprendida"),0,SUM($J$2326:$J2402))</f>
        <v>0</v>
      </c>
      <c r="T2402" s="3030" t="s">
        <v>8795</v>
      </c>
      <c r="U2402" s="3031">
        <v>2</v>
      </c>
      <c r="V2402" s="3032"/>
      <c r="W2402" s="3031"/>
      <c r="X2402" s="3031"/>
      <c r="Y2402" s="3033"/>
      <c r="AB2402" s="413"/>
      <c r="AC2402" s="2795"/>
    </row>
    <row r="2403" spans="1:29" ht="12.75" customHeight="1" x14ac:dyDescent="0.2">
      <c r="A2403" s="2029">
        <v>211</v>
      </c>
      <c r="B2403" s="4995"/>
      <c r="E2403" s="2716" t="s">
        <v>8440</v>
      </c>
      <c r="F2403" s="1837"/>
      <c r="G2403" s="1837">
        <v>90</v>
      </c>
      <c r="H2403" s="1838">
        <v>1</v>
      </c>
      <c r="I2403" s="1838">
        <v>15</v>
      </c>
      <c r="J2403" s="1838">
        <f>COUNTIF(Elan!$C$13:$F$25,Tablas!E2403)+COUNTIF(Elan!$U$13:$X$25,Tablas!E2403)</f>
        <v>0</v>
      </c>
      <c r="K2403" s="1837"/>
      <c r="L2403" s="5194" t="s">
        <v>8712</v>
      </c>
      <c r="M2403" s="5194"/>
      <c r="N2403" s="5194"/>
      <c r="O2403" s="5194"/>
      <c r="P2403" s="5194"/>
      <c r="Q2403" s="5195"/>
      <c r="R2403" s="2719">
        <f>IF(OR($J2403=0,$J2403="Aprendida"),0,SUM($J$2326:$J2403))</f>
        <v>0</v>
      </c>
      <c r="T2403" s="3030" t="s">
        <v>8797</v>
      </c>
      <c r="U2403" s="3031">
        <v>2</v>
      </c>
      <c r="V2403" s="3032"/>
      <c r="W2403" s="3031"/>
      <c r="X2403" s="3031"/>
      <c r="Y2403" s="3033"/>
      <c r="AB2403" s="413"/>
      <c r="AC2403" s="2795"/>
    </row>
    <row r="2404" spans="1:29" ht="12.75" customHeight="1" x14ac:dyDescent="0.2">
      <c r="A2404" s="2029">
        <v>211</v>
      </c>
      <c r="B2404" s="4995"/>
      <c r="E2404" s="2716" t="s">
        <v>8441</v>
      </c>
      <c r="F2404" s="1837"/>
      <c r="G2404" s="1837">
        <v>100</v>
      </c>
      <c r="H2404" s="1838">
        <v>1</v>
      </c>
      <c r="I2404" s="1838">
        <v>10</v>
      </c>
      <c r="J2404" s="1838">
        <f>COUNTIF(Elan!$C$13:$F$25,Tablas!E2404)+COUNTIF(Elan!$U$13:$X$25,Tablas!E2404)</f>
        <v>0</v>
      </c>
      <c r="K2404" s="1837"/>
      <c r="L2404" s="5194" t="s">
        <v>8713</v>
      </c>
      <c r="M2404" s="5194"/>
      <c r="N2404" s="5194"/>
      <c r="O2404" s="5194"/>
      <c r="P2404" s="5194"/>
      <c r="Q2404" s="5195"/>
      <c r="R2404" s="2719">
        <f>IF(OR($J2404=0,$J2404="Aprendida"),0,SUM($J$2326:$J2404))</f>
        <v>0</v>
      </c>
      <c r="T2404" s="3034"/>
      <c r="U2404" s="3035"/>
      <c r="V2404" s="3035"/>
      <c r="W2404" s="3035"/>
      <c r="X2404" s="3035"/>
      <c r="Y2404" s="3036"/>
      <c r="AB2404" s="413"/>
      <c r="AC2404" s="2795"/>
    </row>
    <row r="2405" spans="1:29" ht="12.75" customHeight="1" x14ac:dyDescent="0.2">
      <c r="A2405" s="2029">
        <v>211</v>
      </c>
      <c r="B2405" s="4995"/>
      <c r="E2405" s="2715" t="s">
        <v>8366</v>
      </c>
      <c r="F2405" s="2707">
        <f>IF(Elan!$C$11=Tablas!$E2405,Elan!$G$11,IF(Elan!$U$11=Tablas!$E2405,Elan!$Y$11,0))</f>
        <v>0</v>
      </c>
      <c r="G2405" s="2708" t="s">
        <v>1133</v>
      </c>
      <c r="H2405" s="2708" t="s">
        <v>2159</v>
      </c>
      <c r="I2405" s="2708" t="s">
        <v>1804</v>
      </c>
      <c r="J2405" s="2708" t="s">
        <v>8374</v>
      </c>
      <c r="K2405" s="2708" t="s">
        <v>9175</v>
      </c>
      <c r="L2405" s="2708" t="s">
        <v>1866</v>
      </c>
      <c r="M2405" s="1839"/>
      <c r="N2405" s="1839"/>
      <c r="O2405" s="1839"/>
      <c r="P2405" s="1839"/>
      <c r="Q2405" s="2713"/>
      <c r="R2405" s="2719">
        <f>IF(OR($J2405=0,$J2405="Aprendida"),0,SUM($J$2326:$J2405))</f>
        <v>0</v>
      </c>
      <c r="T2405" s="3034"/>
      <c r="U2405" s="3035"/>
      <c r="V2405" s="3035"/>
      <c r="W2405" s="3035"/>
      <c r="X2405" s="3035"/>
      <c r="Y2405" s="3036"/>
      <c r="AB2405" s="413"/>
      <c r="AC2405" s="2795"/>
    </row>
    <row r="2406" spans="1:29" ht="12.75" customHeight="1" x14ac:dyDescent="0.2">
      <c r="A2406" s="2029">
        <v>211</v>
      </c>
      <c r="B2406" s="4995"/>
      <c r="E2406" s="2716" t="s">
        <v>8442</v>
      </c>
      <c r="F2406" s="1837"/>
      <c r="G2406" s="1837">
        <v>10</v>
      </c>
      <c r="H2406" s="1838">
        <v>1</v>
      </c>
      <c r="I2406" s="1838">
        <v>5</v>
      </c>
      <c r="J2406" s="1838">
        <f>COUNTIF(Elan!$C$13:$F$25,Tablas!E2406)+COUNTIF(Elan!$U$13:$X$25,Tablas!E2406)</f>
        <v>0</v>
      </c>
      <c r="K2406" s="1837">
        <f>F$2405*J2406</f>
        <v>0</v>
      </c>
      <c r="L2406" s="5194" t="s">
        <v>8714</v>
      </c>
      <c r="M2406" s="5194"/>
      <c r="N2406" s="5194"/>
      <c r="O2406" s="5194"/>
      <c r="P2406" s="5194"/>
      <c r="Q2406" s="5195"/>
      <c r="R2406" s="2719">
        <f>IF(OR($J2406=0,$J2406="Aprendida"),0,SUM($J$2326:$J2406))</f>
        <v>0</v>
      </c>
      <c r="T2406" s="3027" t="str">
        <f>E2456</f>
        <v>Barakiel</v>
      </c>
      <c r="U2406" s="3028"/>
      <c r="V2406" s="3037"/>
      <c r="W2406" s="3028"/>
      <c r="X2406" s="3028"/>
      <c r="Y2406" s="3029"/>
      <c r="AB2406" s="413"/>
      <c r="AC2406" s="2795"/>
    </row>
    <row r="2407" spans="1:29" ht="12.75" customHeight="1" x14ac:dyDescent="0.2">
      <c r="A2407" s="2029">
        <v>211</v>
      </c>
      <c r="B2407" s="4995"/>
      <c r="E2407" s="2716" t="s">
        <v>8443</v>
      </c>
      <c r="F2407" s="1837"/>
      <c r="G2407" s="1837">
        <v>20</v>
      </c>
      <c r="H2407" s="1838">
        <v>1</v>
      </c>
      <c r="I2407" s="1838">
        <v>5</v>
      </c>
      <c r="J2407" s="1838">
        <f>COUNTIF(Elan!$C$13:$F$25,Tablas!E2407)+COUNTIF(Elan!$U$13:$X$25,Tablas!E2407)</f>
        <v>0</v>
      </c>
      <c r="K2407" s="1837">
        <f>F$2405*J2407</f>
        <v>0</v>
      </c>
      <c r="L2407" s="5194" t="s">
        <v>8718</v>
      </c>
      <c r="M2407" s="5194"/>
      <c r="N2407" s="5194"/>
      <c r="O2407" s="5194"/>
      <c r="P2407" s="5194"/>
      <c r="Q2407" s="5195"/>
      <c r="R2407" s="2719">
        <f>IF(OR($J2407=0,$J2407="Aprendida"),0,SUM($J$2326:$J2407))</f>
        <v>0</v>
      </c>
      <c r="T2407" s="3030" t="s">
        <v>8805</v>
      </c>
      <c r="U2407" s="3031">
        <v>1</v>
      </c>
      <c r="V2407" s="3032" t="s">
        <v>8806</v>
      </c>
      <c r="W2407" s="3031">
        <v>2</v>
      </c>
      <c r="X2407" s="3031" t="s">
        <v>8807</v>
      </c>
      <c r="Y2407" s="3033">
        <v>-2</v>
      </c>
      <c r="AB2407" s="413"/>
      <c r="AC2407" s="2795"/>
    </row>
    <row r="2408" spans="1:29" ht="12.75" customHeight="1" x14ac:dyDescent="0.2">
      <c r="A2408" s="2029">
        <v>211</v>
      </c>
      <c r="B2408" s="4995"/>
      <c r="E2408" s="2716" t="s">
        <v>8444</v>
      </c>
      <c r="F2408" s="1837"/>
      <c r="G2408" s="1837">
        <v>20</v>
      </c>
      <c r="H2408" s="1838">
        <v>1</v>
      </c>
      <c r="I2408" s="1838">
        <v>10</v>
      </c>
      <c r="J2408" s="1838">
        <f>COUNTIF(Elan!$C$13:$F$25,Tablas!E2408)+COUNTIF(Elan!$U$13:$X$25,Tablas!E2408)</f>
        <v>0</v>
      </c>
      <c r="K2408" s="1837"/>
      <c r="L2408" s="5194" t="s">
        <v>8721</v>
      </c>
      <c r="M2408" s="5194"/>
      <c r="N2408" s="5194"/>
      <c r="O2408" s="5194"/>
      <c r="P2408" s="5194"/>
      <c r="Q2408" s="5195"/>
      <c r="R2408" s="2719">
        <f>IF(OR($J2408=0,$J2408="Aprendida"),0,SUM($J$2326:$J2408))</f>
        <v>0</v>
      </c>
      <c r="T2408" s="3030" t="s">
        <v>8809</v>
      </c>
      <c r="U2408" s="3031">
        <v>2</v>
      </c>
      <c r="V2408" s="3032" t="s">
        <v>8810</v>
      </c>
      <c r="W2408" s="3031">
        <v>3</v>
      </c>
      <c r="X2408" s="3031" t="s">
        <v>8811</v>
      </c>
      <c r="Y2408" s="3033">
        <v>-2</v>
      </c>
      <c r="AB2408" s="413"/>
      <c r="AC2408" s="2795"/>
    </row>
    <row r="2409" spans="1:29" ht="12.75" customHeight="1" x14ac:dyDescent="0.2">
      <c r="A2409" s="2029">
        <v>211</v>
      </c>
      <c r="B2409" s="4995"/>
      <c r="E2409" s="2716" t="s">
        <v>8445</v>
      </c>
      <c r="F2409" s="1837"/>
      <c r="G2409" s="1837">
        <v>30</v>
      </c>
      <c r="H2409" s="1838">
        <v>1</v>
      </c>
      <c r="I2409" s="1838">
        <v>5</v>
      </c>
      <c r="J2409" s="1838">
        <f>COUNTIF(Elan!$C$13:$F$25,Tablas!E2409)+COUNTIF(Elan!$U$13:$X$25,Tablas!E2409)</f>
        <v>0</v>
      </c>
      <c r="K2409" s="1837"/>
      <c r="L2409" s="5194" t="s">
        <v>8725</v>
      </c>
      <c r="M2409" s="5194"/>
      <c r="N2409" s="5194"/>
      <c r="O2409" s="5194"/>
      <c r="P2409" s="5194"/>
      <c r="Q2409" s="5195"/>
      <c r="R2409" s="2719">
        <f>IF(OR($J2409=0,$J2409="Aprendida"),0,SUM($J$2326:$J2409))</f>
        <v>0</v>
      </c>
      <c r="T2409" s="3030" t="s">
        <v>8813</v>
      </c>
      <c r="U2409" s="3031">
        <v>2</v>
      </c>
      <c r="V2409" s="3032" t="s">
        <v>8814</v>
      </c>
      <c r="W2409" s="3031">
        <v>1</v>
      </c>
      <c r="X2409" s="3031" t="s">
        <v>8815</v>
      </c>
      <c r="Y2409" s="3033">
        <v>-5</v>
      </c>
      <c r="AB2409" s="413"/>
      <c r="AC2409" s="2795"/>
    </row>
    <row r="2410" spans="1:29" ht="12.75" customHeight="1" x14ac:dyDescent="0.2">
      <c r="A2410" s="2029">
        <v>211</v>
      </c>
      <c r="B2410" s="4995"/>
      <c r="E2410" s="2716" t="s">
        <v>8446</v>
      </c>
      <c r="F2410" s="1837"/>
      <c r="G2410" s="1837">
        <v>40</v>
      </c>
      <c r="H2410" s="1838">
        <v>1</v>
      </c>
      <c r="I2410" s="1838">
        <v>10</v>
      </c>
      <c r="J2410" s="1838">
        <f>COUNTIF(Elan!$C$13:$F$25,Tablas!E2410)+COUNTIF(Elan!$U$13:$X$25,Tablas!E2410)</f>
        <v>0</v>
      </c>
      <c r="K2410" s="1837"/>
      <c r="L2410" s="5194" t="s">
        <v>8727</v>
      </c>
      <c r="M2410" s="5194"/>
      <c r="N2410" s="5194"/>
      <c r="O2410" s="5194"/>
      <c r="P2410" s="5194"/>
      <c r="Q2410" s="5195"/>
      <c r="R2410" s="2719">
        <f>IF(OR($J2410=0,$J2410="Aprendida"),0,SUM($J$2326:$J2410))</f>
        <v>0</v>
      </c>
      <c r="T2410" s="3030" t="s">
        <v>8817</v>
      </c>
      <c r="U2410" s="3031">
        <v>3</v>
      </c>
      <c r="V2410" s="3032"/>
      <c r="W2410" s="3031"/>
      <c r="X2410" s="3031" t="s">
        <v>8818</v>
      </c>
      <c r="Y2410" s="3033">
        <v>-10</v>
      </c>
      <c r="AB2410" s="413"/>
      <c r="AC2410" s="2795"/>
    </row>
    <row r="2411" spans="1:29" ht="12.75" customHeight="1" x14ac:dyDescent="0.2">
      <c r="A2411" s="2029">
        <v>211</v>
      </c>
      <c r="B2411" s="4995"/>
      <c r="E2411" s="2716" t="s">
        <v>8447</v>
      </c>
      <c r="F2411" s="1837"/>
      <c r="G2411" s="1837">
        <v>50</v>
      </c>
      <c r="H2411" s="1838">
        <v>1</v>
      </c>
      <c r="I2411" s="1838">
        <v>20</v>
      </c>
      <c r="J2411" s="1838">
        <f>COUNTIF(Elan!$C$13:$F$25,Tablas!E2411)+COUNTIF(Elan!$U$13:$X$25,Tablas!E2411)</f>
        <v>0</v>
      </c>
      <c r="K2411" s="1837"/>
      <c r="L2411" s="5194" t="s">
        <v>8729</v>
      </c>
      <c r="M2411" s="5194"/>
      <c r="N2411" s="5194"/>
      <c r="O2411" s="5194"/>
      <c r="P2411" s="5194"/>
      <c r="Q2411" s="5195"/>
      <c r="R2411" s="2719">
        <f>IF(OR($J2411=0,$J2411="Aprendida"),0,SUM($J$2326:$J2411))</f>
        <v>0</v>
      </c>
      <c r="T2411" s="3030" t="s">
        <v>8820</v>
      </c>
      <c r="U2411" s="3031">
        <v>5</v>
      </c>
      <c r="V2411" s="3032"/>
      <c r="W2411" s="3031"/>
      <c r="X2411" s="3031"/>
      <c r="Y2411" s="3033"/>
      <c r="AB2411" s="413"/>
      <c r="AC2411" s="2795"/>
    </row>
    <row r="2412" spans="1:29" ht="12.75" customHeight="1" x14ac:dyDescent="0.2">
      <c r="A2412" s="2029">
        <v>211</v>
      </c>
      <c r="B2412" s="4995"/>
      <c r="E2412" s="2716" t="s">
        <v>8448</v>
      </c>
      <c r="F2412" s="1837"/>
      <c r="G2412" s="1837">
        <v>50</v>
      </c>
      <c r="H2412" s="1838">
        <f>IF(J2408,1,0)</f>
        <v>0</v>
      </c>
      <c r="I2412" s="1838">
        <v>15</v>
      </c>
      <c r="J2412" s="1838">
        <f>COUNTIF(Elan!$C$13:$F$25,Tablas!E2412)+COUNTIF(Elan!$U$13:$X$25,Tablas!E2412)</f>
        <v>0</v>
      </c>
      <c r="K2412" s="1837"/>
      <c r="L2412" s="5194" t="s">
        <v>8730</v>
      </c>
      <c r="M2412" s="5194"/>
      <c r="N2412" s="5194"/>
      <c r="O2412" s="5194"/>
      <c r="P2412" s="5194"/>
      <c r="Q2412" s="5195"/>
      <c r="R2412" s="2719">
        <f>IF(OR($J2412=0,$J2412="Aprendida"),0,SUM($J$2326:$J2412))</f>
        <v>0</v>
      </c>
      <c r="T2412" s="3030" t="s">
        <v>8822</v>
      </c>
      <c r="U2412" s="3031">
        <v>2</v>
      </c>
      <c r="V2412" s="3032"/>
      <c r="W2412" s="3031"/>
      <c r="X2412" s="3031"/>
      <c r="Y2412" s="3033"/>
      <c r="AB2412" s="413"/>
      <c r="AC2412" s="2795"/>
    </row>
    <row r="2413" spans="1:29" ht="12.75" customHeight="1" x14ac:dyDescent="0.2">
      <c r="A2413" s="2029">
        <v>211</v>
      </c>
      <c r="B2413" s="4995"/>
      <c r="E2413" s="2716" t="s">
        <v>8449</v>
      </c>
      <c r="F2413" s="1837"/>
      <c r="G2413" s="1837">
        <v>60</v>
      </c>
      <c r="H2413" s="1838">
        <v>1</v>
      </c>
      <c r="I2413" s="1838">
        <v>10</v>
      </c>
      <c r="J2413" s="1838">
        <f>COUNTIF(Elan!$C$13:$F$25,Tablas!E2413)+COUNTIF(Elan!$U$13:$X$25,Tablas!E2413)</f>
        <v>0</v>
      </c>
      <c r="K2413" s="1837"/>
      <c r="L2413" s="5194" t="s">
        <v>8731</v>
      </c>
      <c r="M2413" s="5194"/>
      <c r="N2413" s="5194"/>
      <c r="O2413" s="5194"/>
      <c r="P2413" s="5194"/>
      <c r="Q2413" s="5195"/>
      <c r="R2413" s="2719">
        <f>IF(OR($J2413=0,$J2413="Aprendida"),0,SUM($J$2326:$J2413))</f>
        <v>0</v>
      </c>
      <c r="T2413" s="3034"/>
      <c r="U2413" s="3035"/>
      <c r="V2413" s="3035"/>
      <c r="W2413" s="3035"/>
      <c r="X2413" s="3035"/>
      <c r="Y2413" s="3036"/>
      <c r="AB2413" s="413"/>
      <c r="AC2413" s="2795"/>
    </row>
    <row r="2414" spans="1:29" ht="12.75" customHeight="1" x14ac:dyDescent="0.2">
      <c r="A2414" s="2029">
        <v>211</v>
      </c>
      <c r="B2414" s="4995"/>
      <c r="E2414" s="2716" t="s">
        <v>8450</v>
      </c>
      <c r="F2414" s="1837"/>
      <c r="G2414" s="1837">
        <v>60</v>
      </c>
      <c r="H2414" s="1838">
        <v>1</v>
      </c>
      <c r="I2414" s="1838">
        <v>10</v>
      </c>
      <c r="J2414" s="1838">
        <f>COUNTIF(Elan!$C$13:$F$25,Tablas!E2414)+COUNTIF(Elan!$U$13:$X$25,Tablas!E2414)</f>
        <v>0</v>
      </c>
      <c r="K2414" s="1837"/>
      <c r="L2414" s="5194" t="s">
        <v>8732</v>
      </c>
      <c r="M2414" s="5194"/>
      <c r="N2414" s="5194"/>
      <c r="O2414" s="5194"/>
      <c r="P2414" s="5194"/>
      <c r="Q2414" s="5195"/>
      <c r="R2414" s="2719">
        <f>IF(OR($J2414=0,$J2414="Aprendida"),0,SUM($J$2326:$J2414))</f>
        <v>0</v>
      </c>
      <c r="T2414" s="3027" t="str">
        <f>E2470</f>
        <v>Eriol</v>
      </c>
      <c r="U2414" s="3028"/>
      <c r="V2414" s="3037"/>
      <c r="W2414" s="3028"/>
      <c r="X2414" s="3028"/>
      <c r="Y2414" s="3029"/>
      <c r="AB2414" s="413"/>
      <c r="AC2414" s="2795"/>
    </row>
    <row r="2415" spans="1:29" ht="12.75" customHeight="1" x14ac:dyDescent="0.2">
      <c r="A2415" s="2029">
        <v>211</v>
      </c>
      <c r="B2415" s="4995"/>
      <c r="E2415" s="2716" t="s">
        <v>8451</v>
      </c>
      <c r="F2415" s="1837"/>
      <c r="G2415" s="1837">
        <v>70</v>
      </c>
      <c r="H2415" s="1838">
        <v>1</v>
      </c>
      <c r="I2415" s="1838">
        <v>10</v>
      </c>
      <c r="J2415" s="1838">
        <f>COUNTIF(Elan!$C$13:$F$25,Tablas!E2415)+COUNTIF(Elan!$U$13:$X$25,Tablas!E2415)</f>
        <v>0</v>
      </c>
      <c r="K2415" s="1837"/>
      <c r="L2415" s="5194" t="s">
        <v>8733</v>
      </c>
      <c r="M2415" s="5194"/>
      <c r="N2415" s="5194"/>
      <c r="O2415" s="5194"/>
      <c r="P2415" s="5194"/>
      <c r="Q2415" s="5195"/>
      <c r="R2415" s="2719">
        <f>IF(OR($J2415=0,$J2415="Aprendida"),0,SUM($J$2326:$J2415))</f>
        <v>0</v>
      </c>
      <c r="T2415" s="3030" t="s">
        <v>8831</v>
      </c>
      <c r="U2415" s="3031">
        <v>2</v>
      </c>
      <c r="V2415" s="3032" t="s">
        <v>8832</v>
      </c>
      <c r="W2415" s="3031">
        <v>2</v>
      </c>
      <c r="X2415" s="3031" t="s">
        <v>8833</v>
      </c>
      <c r="Y2415" s="3033">
        <v>-2</v>
      </c>
      <c r="AB2415" s="413"/>
      <c r="AC2415" s="2795"/>
    </row>
    <row r="2416" spans="1:29" ht="12.75" customHeight="1" x14ac:dyDescent="0.2">
      <c r="A2416" s="2029">
        <v>211</v>
      </c>
      <c r="B2416" s="4995"/>
      <c r="E2416" s="2716" t="s">
        <v>8452</v>
      </c>
      <c r="F2416" s="1837"/>
      <c r="G2416" s="1837">
        <v>80</v>
      </c>
      <c r="H2416" s="1838">
        <f>IF(J2415,1,0)</f>
        <v>0</v>
      </c>
      <c r="I2416" s="1838">
        <v>10</v>
      </c>
      <c r="J2416" s="1838">
        <f>COUNTIF(Elan!$C$13:$F$25,Tablas!E2416)+COUNTIF(Elan!$U$13:$X$25,Tablas!E2416)</f>
        <v>0</v>
      </c>
      <c r="K2416" s="1837"/>
      <c r="L2416" s="5194" t="s">
        <v>8734</v>
      </c>
      <c r="M2416" s="5194"/>
      <c r="N2416" s="5194"/>
      <c r="O2416" s="5194"/>
      <c r="P2416" s="5194"/>
      <c r="Q2416" s="5195"/>
      <c r="R2416" s="2719">
        <f>IF(OR($J2416=0,$J2416="Aprendida"),0,SUM($J$2326:$J2416))</f>
        <v>0</v>
      </c>
      <c r="T2416" s="3030" t="s">
        <v>8835</v>
      </c>
      <c r="U2416" s="3031">
        <v>2</v>
      </c>
      <c r="V2416" s="3032" t="s">
        <v>8836</v>
      </c>
      <c r="W2416" s="3031">
        <v>2</v>
      </c>
      <c r="X2416" s="3031" t="s">
        <v>8837</v>
      </c>
      <c r="Y2416" s="3033">
        <v>-3</v>
      </c>
      <c r="AB2416" s="413"/>
      <c r="AC2416" s="2795"/>
    </row>
    <row r="2417" spans="1:29" ht="12.75" customHeight="1" x14ac:dyDescent="0.2">
      <c r="A2417" s="2029">
        <v>211</v>
      </c>
      <c r="B2417" s="4995"/>
      <c r="E2417" s="2716" t="s">
        <v>8453</v>
      </c>
      <c r="F2417" s="1837"/>
      <c r="G2417" s="1837">
        <v>90</v>
      </c>
      <c r="H2417" s="1838">
        <f>IF(J2412,1,0)</f>
        <v>0</v>
      </c>
      <c r="I2417" s="1838">
        <v>20</v>
      </c>
      <c r="J2417" s="1838">
        <f>COUNTIF(Elan!$C$13:$F$25,Tablas!E2417)+COUNTIF(Elan!$U$13:$X$25,Tablas!E2417)</f>
        <v>0</v>
      </c>
      <c r="K2417" s="1837"/>
      <c r="L2417" s="5194" t="s">
        <v>8735</v>
      </c>
      <c r="M2417" s="5194"/>
      <c r="N2417" s="5194"/>
      <c r="O2417" s="5194"/>
      <c r="P2417" s="5194"/>
      <c r="Q2417" s="5195"/>
      <c r="R2417" s="2719">
        <f>IF(OR($J2417=0,$J2417="Aprendida"),0,SUM($J$2326:$J2417))</f>
        <v>0</v>
      </c>
      <c r="T2417" s="3030" t="s">
        <v>8839</v>
      </c>
      <c r="U2417" s="3031">
        <v>5</v>
      </c>
      <c r="V2417" s="3032" t="s">
        <v>8840</v>
      </c>
      <c r="W2417" s="3031">
        <v>1</v>
      </c>
      <c r="X2417" s="3031" t="s">
        <v>8841</v>
      </c>
      <c r="Y2417" s="3033">
        <v>-2</v>
      </c>
      <c r="AB2417" s="413"/>
      <c r="AC2417" s="2795"/>
    </row>
    <row r="2418" spans="1:29" ht="12.75" customHeight="1" x14ac:dyDescent="0.2">
      <c r="A2418" s="2029">
        <v>211</v>
      </c>
      <c r="B2418" s="4995"/>
      <c r="E2418" s="2716" t="s">
        <v>8454</v>
      </c>
      <c r="F2418" s="1837"/>
      <c r="G2418" s="1837">
        <v>100</v>
      </c>
      <c r="H2418" s="1838">
        <v>1</v>
      </c>
      <c r="I2418" s="1838">
        <v>10</v>
      </c>
      <c r="J2418" s="1838">
        <f>COUNTIF(Elan!$C$13:$F$25,Tablas!E2418)+COUNTIF(Elan!$U$13:$X$25,Tablas!E2418)</f>
        <v>0</v>
      </c>
      <c r="K2418" s="1837"/>
      <c r="L2418" s="5194" t="s">
        <v>8736</v>
      </c>
      <c r="M2418" s="5194"/>
      <c r="N2418" s="5194"/>
      <c r="O2418" s="5194"/>
      <c r="P2418" s="5194"/>
      <c r="Q2418" s="5195"/>
      <c r="R2418" s="2719">
        <f>IF(OR($J2418=0,$J2418="Aprendida"),0,SUM($J$2326:$J2418))</f>
        <v>0</v>
      </c>
      <c r="T2418" s="3030" t="s">
        <v>8843</v>
      </c>
      <c r="U2418" s="3031">
        <v>1</v>
      </c>
      <c r="V2418" s="3032"/>
      <c r="W2418" s="3031"/>
      <c r="X2418" s="3031"/>
      <c r="Y2418" s="3033"/>
      <c r="AB2418" s="413"/>
      <c r="AC2418" s="2795"/>
    </row>
    <row r="2419" spans="1:29" ht="12.75" customHeight="1" x14ac:dyDescent="0.2">
      <c r="A2419" s="2029">
        <v>211</v>
      </c>
      <c r="B2419" s="4995"/>
      <c r="E2419" s="2715" t="s">
        <v>8367</v>
      </c>
      <c r="F2419" s="2707">
        <f>IF(Elan!$C$11=Tablas!$E2419,Elan!$G$11,IF(Elan!$U$11=Tablas!$E2419,Elan!$Y$11,0))</f>
        <v>0</v>
      </c>
      <c r="G2419" s="2708" t="s">
        <v>1133</v>
      </c>
      <c r="H2419" s="2708" t="s">
        <v>2159</v>
      </c>
      <c r="I2419" s="2708" t="s">
        <v>1804</v>
      </c>
      <c r="J2419" s="2708" t="s">
        <v>8374</v>
      </c>
      <c r="K2419" s="2708" t="s">
        <v>9175</v>
      </c>
      <c r="L2419" s="2708" t="s">
        <v>1866</v>
      </c>
      <c r="M2419" s="1839"/>
      <c r="N2419" s="1839"/>
      <c r="O2419" s="1839"/>
      <c r="P2419" s="1839"/>
      <c r="Q2419" s="2713"/>
      <c r="R2419" s="2719">
        <f>IF(OR($J2419=0,$J2419="Aprendida"),0,SUM($J$2326:$J2419))</f>
        <v>0</v>
      </c>
      <c r="T2419" s="3030" t="s">
        <v>8845</v>
      </c>
      <c r="U2419" s="3031">
        <v>2</v>
      </c>
      <c r="V2419" s="3032"/>
      <c r="W2419" s="3031"/>
      <c r="X2419" s="3031"/>
      <c r="Y2419" s="3033"/>
      <c r="AB2419" s="413"/>
      <c r="AC2419" s="2795"/>
    </row>
    <row r="2420" spans="1:29" ht="12.75" customHeight="1" x14ac:dyDescent="0.2">
      <c r="A2420" s="2029">
        <v>211</v>
      </c>
      <c r="B2420" s="4995"/>
      <c r="E2420" s="2716" t="s">
        <v>8455</v>
      </c>
      <c r="F2420" s="1837"/>
      <c r="G2420" s="1837">
        <v>10</v>
      </c>
      <c r="H2420" s="1838">
        <v>1</v>
      </c>
      <c r="I2420" s="1838">
        <v>5</v>
      </c>
      <c r="J2420" s="1838">
        <f>COUNTIF(Elan!$C$13:$F$25,Tablas!E2420)+COUNTIF(Elan!$U$13:$X$25,Tablas!E2420)</f>
        <v>0</v>
      </c>
      <c r="K2420" s="1837">
        <f>F$2419*J2420</f>
        <v>0</v>
      </c>
      <c r="L2420" s="5194" t="s">
        <v>8737</v>
      </c>
      <c r="M2420" s="5194"/>
      <c r="N2420" s="5194"/>
      <c r="O2420" s="5194"/>
      <c r="P2420" s="5194"/>
      <c r="Q2420" s="5195"/>
      <c r="R2420" s="2719">
        <f>IF(OR($J2420=0,$J2420="Aprendida"),0,SUM($J$2326:$J2420))</f>
        <v>0</v>
      </c>
      <c r="T2420" s="3034"/>
      <c r="U2420" s="3035"/>
      <c r="V2420" s="3035"/>
      <c r="W2420" s="3035"/>
      <c r="X2420" s="3035"/>
      <c r="Y2420" s="3036"/>
      <c r="AB2420" s="413"/>
      <c r="AC2420" s="2795"/>
    </row>
    <row r="2421" spans="1:29" ht="12.75" customHeight="1" x14ac:dyDescent="0.2">
      <c r="A2421" s="2029">
        <v>211</v>
      </c>
      <c r="B2421" s="4995"/>
      <c r="E2421" s="2716" t="s">
        <v>8456</v>
      </c>
      <c r="F2421" s="1837"/>
      <c r="G2421" s="1837">
        <v>20</v>
      </c>
      <c r="H2421" s="1838">
        <v>1</v>
      </c>
      <c r="I2421" s="1838">
        <v>5</v>
      </c>
      <c r="J2421" s="1838">
        <f>COUNTIF(Elan!$C$13:$F$25,Tablas!E2421)+COUNTIF(Elan!$U$13:$X$25,Tablas!E2421)</f>
        <v>0</v>
      </c>
      <c r="K2421" s="1837">
        <f>F$2419*J2421</f>
        <v>0</v>
      </c>
      <c r="L2421" s="5194" t="s">
        <v>8741</v>
      </c>
      <c r="M2421" s="5194"/>
      <c r="N2421" s="5194"/>
      <c r="O2421" s="5194"/>
      <c r="P2421" s="5194"/>
      <c r="Q2421" s="5195"/>
      <c r="R2421" s="2719">
        <f>IF(OR($J2421=0,$J2421="Aprendida"),0,SUM($J$2326:$J2421))</f>
        <v>0</v>
      </c>
      <c r="T2421" s="3034"/>
      <c r="U2421" s="3035"/>
      <c r="V2421" s="3035"/>
      <c r="W2421" s="3035"/>
      <c r="X2421" s="3035"/>
      <c r="Y2421" s="3036"/>
      <c r="AB2421" s="413"/>
      <c r="AC2421" s="2795"/>
    </row>
    <row r="2422" spans="1:29" ht="12.75" customHeight="1" x14ac:dyDescent="0.2">
      <c r="A2422" s="2029">
        <v>211</v>
      </c>
      <c r="B2422" s="4995"/>
      <c r="E2422" s="2716" t="s">
        <v>8457</v>
      </c>
      <c r="F2422" s="1837"/>
      <c r="G2422" s="1837">
        <v>30</v>
      </c>
      <c r="H2422" s="1838">
        <v>1</v>
      </c>
      <c r="I2422" s="1838">
        <v>5</v>
      </c>
      <c r="J2422" s="1838">
        <f>COUNTIF(Elan!$C$13:$F$25,Tablas!E2422)+COUNTIF(Elan!$U$13:$X$25,Tablas!E2422)</f>
        <v>0</v>
      </c>
      <c r="K2422" s="1837"/>
      <c r="L2422" s="5194" t="s">
        <v>8745</v>
      </c>
      <c r="M2422" s="5194"/>
      <c r="N2422" s="5194"/>
      <c r="O2422" s="5194"/>
      <c r="P2422" s="5194"/>
      <c r="Q2422" s="5195"/>
      <c r="R2422" s="2719">
        <f>IF(OR($J2422=0,$J2422="Aprendida"),0,SUM($J$2326:$J2422))</f>
        <v>0</v>
      </c>
      <c r="T2422" s="3027" t="str">
        <f>E2482</f>
        <v>Edamiel</v>
      </c>
      <c r="U2422" s="3028"/>
      <c r="V2422" s="3037"/>
      <c r="W2422" s="3028"/>
      <c r="X2422" s="3028"/>
      <c r="Y2422" s="3029"/>
      <c r="AB2422" s="413"/>
      <c r="AC2422" s="2795"/>
    </row>
    <row r="2423" spans="1:29" ht="12.75" customHeight="1" x14ac:dyDescent="0.2">
      <c r="A2423" s="2029">
        <v>211</v>
      </c>
      <c r="B2423" s="4995"/>
      <c r="E2423" s="2716" t="s">
        <v>8458</v>
      </c>
      <c r="F2423" s="1837"/>
      <c r="G2423" s="1837">
        <v>40</v>
      </c>
      <c r="H2423" s="1838">
        <v>1</v>
      </c>
      <c r="I2423" s="1838">
        <v>10</v>
      </c>
      <c r="J2423" s="1838">
        <f>COUNTIF(Elan!$C$13:$F$25,Tablas!E2423)+COUNTIF(Elan!$U$13:$X$25,Tablas!E2423)</f>
        <v>0</v>
      </c>
      <c r="K2423" s="1837"/>
      <c r="L2423" s="5194" t="s">
        <v>8748</v>
      </c>
      <c r="M2423" s="5194"/>
      <c r="N2423" s="5194"/>
      <c r="O2423" s="5194"/>
      <c r="P2423" s="5194"/>
      <c r="Q2423" s="5195"/>
      <c r="R2423" s="2719">
        <f>IF(OR($J2423=0,$J2423="Aprendida"),0,SUM($J$2326:$J2423))</f>
        <v>0</v>
      </c>
      <c r="T2423" s="3030" t="s">
        <v>8853</v>
      </c>
      <c r="U2423" s="3031">
        <v>3</v>
      </c>
      <c r="V2423" s="3032" t="s">
        <v>8854</v>
      </c>
      <c r="W2423" s="3031">
        <v>2</v>
      </c>
      <c r="X2423" s="3031" t="s">
        <v>8855</v>
      </c>
      <c r="Y2423" s="3033">
        <v>-2</v>
      </c>
      <c r="AB2423" s="413"/>
      <c r="AC2423" s="2795"/>
    </row>
    <row r="2424" spans="1:29" ht="12.75" customHeight="1" x14ac:dyDescent="0.2">
      <c r="A2424" s="2029">
        <v>211</v>
      </c>
      <c r="B2424" s="4995"/>
      <c r="E2424" s="2716" t="s">
        <v>8459</v>
      </c>
      <c r="F2424" s="1837"/>
      <c r="G2424" s="1837">
        <v>50</v>
      </c>
      <c r="H2424" s="1838">
        <v>1</v>
      </c>
      <c r="I2424" s="1838">
        <v>15</v>
      </c>
      <c r="J2424" s="1838">
        <f>COUNTIF(Elan!$C$13:$F$25,Tablas!E2424)+COUNTIF(Elan!$U$13:$X$25,Tablas!E2424)</f>
        <v>0</v>
      </c>
      <c r="K2424" s="1837"/>
      <c r="L2424" s="5194" t="s">
        <v>8750</v>
      </c>
      <c r="M2424" s="5194"/>
      <c r="N2424" s="5194"/>
      <c r="O2424" s="5194"/>
      <c r="P2424" s="5194"/>
      <c r="Q2424" s="5195"/>
      <c r="R2424" s="2719">
        <f>IF(OR($J2424=0,$J2424="Aprendida"),0,SUM($J$2326:$J2424))</f>
        <v>0</v>
      </c>
      <c r="T2424" s="3030" t="s">
        <v>8857</v>
      </c>
      <c r="U2424" s="3031">
        <v>3</v>
      </c>
      <c r="V2424" s="3032" t="s">
        <v>8858</v>
      </c>
      <c r="W2424" s="3031">
        <v>3</v>
      </c>
      <c r="X2424" s="3031" t="s">
        <v>8859</v>
      </c>
      <c r="Y2424" s="3033">
        <v>-2</v>
      </c>
      <c r="AB2424" s="413"/>
      <c r="AC2424" s="2795"/>
    </row>
    <row r="2425" spans="1:29" ht="12.75" customHeight="1" x14ac:dyDescent="0.2">
      <c r="A2425" s="2029">
        <v>211</v>
      </c>
      <c r="B2425" s="4995"/>
      <c r="E2425" s="2716" t="s">
        <v>8460</v>
      </c>
      <c r="F2425" s="1837"/>
      <c r="G2425" s="1837">
        <v>60</v>
      </c>
      <c r="H2425" s="1838">
        <v>1</v>
      </c>
      <c r="I2425" s="1838">
        <v>10</v>
      </c>
      <c r="J2425" s="1838">
        <f>COUNTIF(Elan!$C$13:$F$25,Tablas!E2425)+COUNTIF(Elan!$U$13:$X$25,Tablas!E2425)</f>
        <v>0</v>
      </c>
      <c r="K2425" s="1837"/>
      <c r="L2425" s="5194" t="s">
        <v>8752</v>
      </c>
      <c r="M2425" s="5194"/>
      <c r="N2425" s="5194"/>
      <c r="O2425" s="5194"/>
      <c r="P2425" s="5194"/>
      <c r="Q2425" s="5195"/>
      <c r="R2425" s="2719">
        <f>IF(OR($J2425=0,$J2425="Aprendida"),0,SUM($J$2326:$J2425))</f>
        <v>0</v>
      </c>
      <c r="T2425" s="3030" t="s">
        <v>8861</v>
      </c>
      <c r="U2425" s="3031">
        <v>2</v>
      </c>
      <c r="V2425" s="3032" t="s">
        <v>8862</v>
      </c>
      <c r="W2425" s="3031">
        <v>1</v>
      </c>
      <c r="X2425" s="3031"/>
      <c r="Y2425" s="3033"/>
      <c r="AB2425" s="413"/>
      <c r="AC2425" s="2795"/>
    </row>
    <row r="2426" spans="1:29" ht="12.75" customHeight="1" x14ac:dyDescent="0.2">
      <c r="A2426" s="2029">
        <v>211</v>
      </c>
      <c r="B2426" s="4995"/>
      <c r="E2426" s="2716" t="s">
        <v>8461</v>
      </c>
      <c r="F2426" s="1837"/>
      <c r="G2426" s="1837">
        <v>60</v>
      </c>
      <c r="H2426" s="1838">
        <v>1</v>
      </c>
      <c r="I2426" s="1838">
        <v>10</v>
      </c>
      <c r="J2426" s="1838">
        <f>COUNTIF(Elan!$C$13:$F$25,Tablas!E2426)+COUNTIF(Elan!$U$13:$X$25,Tablas!E2426)</f>
        <v>0</v>
      </c>
      <c r="K2426" s="1837"/>
      <c r="L2426" s="5194" t="s">
        <v>8754</v>
      </c>
      <c r="M2426" s="5194"/>
      <c r="N2426" s="5194"/>
      <c r="O2426" s="5194"/>
      <c r="P2426" s="5194"/>
      <c r="Q2426" s="5195"/>
      <c r="R2426" s="2719">
        <f>IF(OR($J2426=0,$J2426="Aprendida"),0,SUM($J$2326:$J2426))</f>
        <v>0</v>
      </c>
      <c r="T2426" s="3030" t="s">
        <v>8864</v>
      </c>
      <c r="U2426" s="3031">
        <v>5</v>
      </c>
      <c r="V2426" s="3032" t="s">
        <v>8865</v>
      </c>
      <c r="W2426" s="3031">
        <v>4</v>
      </c>
      <c r="X2426" s="3031"/>
      <c r="Y2426" s="3033"/>
      <c r="AB2426" s="413"/>
      <c r="AC2426" s="2795"/>
    </row>
    <row r="2427" spans="1:29" ht="12.75" customHeight="1" x14ac:dyDescent="0.2">
      <c r="A2427" s="2029">
        <v>211</v>
      </c>
      <c r="B2427" s="4995"/>
      <c r="E2427" s="2716" t="s">
        <v>8462</v>
      </c>
      <c r="F2427" s="1837"/>
      <c r="G2427" s="1837">
        <v>70</v>
      </c>
      <c r="H2427" s="1838">
        <v>1</v>
      </c>
      <c r="I2427" s="1838">
        <v>20</v>
      </c>
      <c r="J2427" s="1838">
        <f>COUNTIF(Elan!$C$13:$F$25,Tablas!E2427)+COUNTIF(Elan!$U$13:$X$25,Tablas!E2427)</f>
        <v>0</v>
      </c>
      <c r="K2427" s="1837"/>
      <c r="L2427" s="5194" t="s">
        <v>8755</v>
      </c>
      <c r="M2427" s="5194"/>
      <c r="N2427" s="5194"/>
      <c r="O2427" s="5194"/>
      <c r="P2427" s="5194"/>
      <c r="Q2427" s="5195"/>
      <c r="R2427" s="2719">
        <f>IF(OR($J2427=0,$J2427="Aprendida"),0,SUM($J$2326:$J2427))</f>
        <v>0</v>
      </c>
      <c r="T2427" s="3030" t="s">
        <v>8867</v>
      </c>
      <c r="U2427" s="3031">
        <v>4</v>
      </c>
      <c r="V2427" s="3032"/>
      <c r="W2427" s="3031"/>
      <c r="X2427" s="3031"/>
      <c r="Y2427" s="3033"/>
      <c r="AB2427" s="413"/>
      <c r="AC2427" s="2795"/>
    </row>
    <row r="2428" spans="1:29" ht="12.75" customHeight="1" x14ac:dyDescent="0.2">
      <c r="A2428" s="2029">
        <v>211</v>
      </c>
      <c r="B2428" s="4995"/>
      <c r="E2428" s="2716" t="s">
        <v>8463</v>
      </c>
      <c r="F2428" s="1837"/>
      <c r="G2428" s="1837">
        <v>80</v>
      </c>
      <c r="H2428" s="1838">
        <v>1</v>
      </c>
      <c r="I2428" s="1838">
        <v>15</v>
      </c>
      <c r="J2428" s="1838">
        <f>COUNTIF(Elan!$C$13:$F$25,Tablas!E2428)+COUNTIF(Elan!$U$13:$X$25,Tablas!E2428)</f>
        <v>0</v>
      </c>
      <c r="K2428" s="1837"/>
      <c r="L2428" s="5194" t="s">
        <v>8756</v>
      </c>
      <c r="M2428" s="5194"/>
      <c r="N2428" s="5194"/>
      <c r="O2428" s="5194"/>
      <c r="P2428" s="5194"/>
      <c r="Q2428" s="5195"/>
      <c r="R2428" s="2719">
        <f>IF(OR($J2428=0,$J2428="Aprendida"),0,SUM($J$2326:$J2428))</f>
        <v>0</v>
      </c>
      <c r="T2428" s="3034"/>
      <c r="U2428" s="3035"/>
      <c r="V2428" s="3035"/>
      <c r="W2428" s="3035"/>
      <c r="X2428" s="3035"/>
      <c r="Y2428" s="3036"/>
      <c r="AB2428" s="413"/>
      <c r="AC2428" s="2795"/>
    </row>
    <row r="2429" spans="1:29" ht="12.75" customHeight="1" x14ac:dyDescent="0.2">
      <c r="A2429" s="2029">
        <v>211</v>
      </c>
      <c r="B2429" s="4995"/>
      <c r="E2429" s="2716" t="s">
        <v>8464</v>
      </c>
      <c r="F2429" s="1837"/>
      <c r="G2429" s="1837">
        <v>90</v>
      </c>
      <c r="H2429" s="1838">
        <f>IF(J2427,1,0)</f>
        <v>0</v>
      </c>
      <c r="I2429" s="1838">
        <v>10</v>
      </c>
      <c r="J2429" s="1838">
        <f>COUNTIF(Elan!$C$13:$F$25,Tablas!E2429)+COUNTIF(Elan!$U$13:$X$25,Tablas!E2429)</f>
        <v>0</v>
      </c>
      <c r="K2429" s="1837"/>
      <c r="L2429" s="5194" t="s">
        <v>8757</v>
      </c>
      <c r="M2429" s="5194"/>
      <c r="N2429" s="5194"/>
      <c r="O2429" s="5194"/>
      <c r="P2429" s="5194"/>
      <c r="Q2429" s="5195"/>
      <c r="R2429" s="2719">
        <f>IF(OR($J2429=0,$J2429="Aprendida"),0,SUM($J$2326:$J2429))</f>
        <v>0</v>
      </c>
      <c r="T2429" s="3034"/>
      <c r="U2429" s="3035"/>
      <c r="V2429" s="3035"/>
      <c r="W2429" s="3035"/>
      <c r="X2429" s="3035"/>
      <c r="Y2429" s="3036"/>
      <c r="AB2429" s="413"/>
      <c r="AC2429" s="2795"/>
    </row>
    <row r="2430" spans="1:29" ht="12.75" customHeight="1" x14ac:dyDescent="0.2">
      <c r="A2430" s="2029">
        <v>211</v>
      </c>
      <c r="B2430" s="4995"/>
      <c r="E2430" s="2716" t="s">
        <v>8465</v>
      </c>
      <c r="F2430" s="1837"/>
      <c r="G2430" s="1837">
        <v>100</v>
      </c>
      <c r="H2430" s="1838">
        <v>1</v>
      </c>
      <c r="I2430" s="1838">
        <v>10</v>
      </c>
      <c r="J2430" s="1838">
        <f>COUNTIF(Elan!$C$13:$F$25,Tablas!E2430)+COUNTIF(Elan!$U$13:$X$25,Tablas!E2430)</f>
        <v>0</v>
      </c>
      <c r="K2430" s="1837"/>
      <c r="L2430" s="5194" t="s">
        <v>8758</v>
      </c>
      <c r="M2430" s="5194"/>
      <c r="N2430" s="5194"/>
      <c r="O2430" s="5194"/>
      <c r="P2430" s="5194"/>
      <c r="Q2430" s="5195"/>
      <c r="R2430" s="2719">
        <f>IF(OR($J2430=0,$J2430="Aprendida"),0,SUM($J$2326:$J2430))</f>
        <v>0</v>
      </c>
      <c r="T2430" s="3027" t="str">
        <f>E2494</f>
        <v>Meseguis</v>
      </c>
      <c r="U2430" s="3028"/>
      <c r="V2430" s="3037"/>
      <c r="W2430" s="3028"/>
      <c r="X2430" s="3028"/>
      <c r="Y2430" s="3029"/>
      <c r="AB2430" s="413"/>
      <c r="AC2430" s="2795"/>
    </row>
    <row r="2431" spans="1:29" ht="12.75" customHeight="1" x14ac:dyDescent="0.2">
      <c r="A2431" s="2029">
        <v>211</v>
      </c>
      <c r="B2431" s="4995"/>
      <c r="E2431" s="2715" t="s">
        <v>8368</v>
      </c>
      <c r="F2431" s="2707">
        <f>IF(Elan!$C$11=Tablas!$E2431,Elan!$G$11,IF(Elan!$U$11=Tablas!$E2431,Elan!$Y$11,0))</f>
        <v>0</v>
      </c>
      <c r="G2431" s="2708" t="s">
        <v>1133</v>
      </c>
      <c r="H2431" s="2708" t="s">
        <v>2159</v>
      </c>
      <c r="I2431" s="2708" t="s">
        <v>1804</v>
      </c>
      <c r="J2431" s="2708" t="s">
        <v>8374</v>
      </c>
      <c r="K2431" s="2708" t="s">
        <v>9175</v>
      </c>
      <c r="L2431" s="2708" t="s">
        <v>1866</v>
      </c>
      <c r="M2431" s="1839"/>
      <c r="N2431" s="1839"/>
      <c r="O2431" s="1839"/>
      <c r="P2431" s="1839"/>
      <c r="Q2431" s="2713"/>
      <c r="R2431" s="2719">
        <f>IF(OR($J2431=0,$J2431="Aprendida"),0,SUM($J$2326:$J2431))</f>
        <v>0</v>
      </c>
      <c r="T2431" s="3030" t="s">
        <v>8875</v>
      </c>
      <c r="U2431" s="3031">
        <v>8</v>
      </c>
      <c r="V2431" s="3032" t="s">
        <v>8876</v>
      </c>
      <c r="W2431" s="3031">
        <v>2</v>
      </c>
      <c r="X2431" s="3031" t="s">
        <v>8877</v>
      </c>
      <c r="Y2431" s="3033">
        <v>-3</v>
      </c>
      <c r="AB2431" s="413"/>
      <c r="AC2431" s="2795"/>
    </row>
    <row r="2432" spans="1:29" ht="12.75" customHeight="1" x14ac:dyDescent="0.2">
      <c r="A2432" s="2029">
        <v>211</v>
      </c>
      <c r="B2432" s="4995"/>
      <c r="E2432" s="2716" t="s">
        <v>8466</v>
      </c>
      <c r="F2432" s="1837"/>
      <c r="G2432" s="1837">
        <v>10</v>
      </c>
      <c r="H2432" s="1838">
        <v>1</v>
      </c>
      <c r="I2432" s="1838">
        <v>5</v>
      </c>
      <c r="J2432" s="1838">
        <f>COUNTIF(Elan!$C$13:$F$25,Tablas!E2432)+COUNTIF(Elan!$U$13:$X$25,Tablas!E2432)</f>
        <v>0</v>
      </c>
      <c r="K2432" s="1837">
        <f>F$2431*J2432</f>
        <v>0</v>
      </c>
      <c r="L2432" s="5194" t="s">
        <v>8759</v>
      </c>
      <c r="M2432" s="5194"/>
      <c r="N2432" s="5194"/>
      <c r="O2432" s="5194"/>
      <c r="P2432" s="5194"/>
      <c r="Q2432" s="5195"/>
      <c r="R2432" s="2719">
        <f>IF(OR($J2432=0,$J2432="Aprendida"),0,SUM($J$2326:$J2432))</f>
        <v>0</v>
      </c>
      <c r="T2432" s="3030" t="s">
        <v>8879</v>
      </c>
      <c r="U2432" s="3031">
        <v>8</v>
      </c>
      <c r="V2432" s="3032" t="s">
        <v>8880</v>
      </c>
      <c r="W2432" s="3031">
        <v>1</v>
      </c>
      <c r="X2432" s="3031" t="s">
        <v>8881</v>
      </c>
      <c r="Y2432" s="3033">
        <v>-4</v>
      </c>
      <c r="AB2432" s="413"/>
      <c r="AC2432" s="2795"/>
    </row>
    <row r="2433" spans="1:29" ht="12.75" customHeight="1" x14ac:dyDescent="0.2">
      <c r="A2433" s="2029">
        <v>211</v>
      </c>
      <c r="B2433" s="4995"/>
      <c r="E2433" s="2716" t="s">
        <v>8467</v>
      </c>
      <c r="F2433" s="1837"/>
      <c r="G2433" s="1837">
        <v>20</v>
      </c>
      <c r="H2433" s="1838">
        <v>1</v>
      </c>
      <c r="I2433" s="1838">
        <v>5</v>
      </c>
      <c r="J2433" s="1838">
        <f>COUNTIF(Elan!$C$13:$F$25,Tablas!E2433)+COUNTIF(Elan!$U$13:$X$25,Tablas!E2433)</f>
        <v>0</v>
      </c>
      <c r="K2433" s="1837">
        <f>F$2431*J2433</f>
        <v>0</v>
      </c>
      <c r="L2433" s="5194" t="s">
        <v>8763</v>
      </c>
      <c r="M2433" s="5194"/>
      <c r="N2433" s="5194"/>
      <c r="O2433" s="5194"/>
      <c r="P2433" s="5194"/>
      <c r="Q2433" s="5195"/>
      <c r="R2433" s="2719">
        <f>IF(OR($J2433=0,$J2433="Aprendida"),0,SUM($J$2326:$J2433))</f>
        <v>0</v>
      </c>
      <c r="T2433" s="3030"/>
      <c r="U2433" s="3031"/>
      <c r="V2433" s="3032" t="s">
        <v>8883</v>
      </c>
      <c r="W2433" s="3031">
        <v>4</v>
      </c>
      <c r="X2433" s="3031"/>
      <c r="Y2433" s="3033"/>
      <c r="AB2433" s="413"/>
      <c r="AC2433" s="2795"/>
    </row>
    <row r="2434" spans="1:29" ht="12.75" customHeight="1" x14ac:dyDescent="0.2">
      <c r="A2434" s="2029">
        <v>211</v>
      </c>
      <c r="B2434" s="4995"/>
      <c r="E2434" s="2716" t="s">
        <v>8468</v>
      </c>
      <c r="F2434" s="1837"/>
      <c r="G2434" s="1837">
        <v>30</v>
      </c>
      <c r="H2434" s="1838">
        <v>1</v>
      </c>
      <c r="I2434" s="1838">
        <v>10</v>
      </c>
      <c r="J2434" s="1838">
        <f>COUNTIF(Elan!$C$13:$F$25,Tablas!E2434)+COUNTIF(Elan!$U$13:$X$25,Tablas!E2434)</f>
        <v>0</v>
      </c>
      <c r="K2434" s="1837"/>
      <c r="L2434" s="5194" t="s">
        <v>8767</v>
      </c>
      <c r="M2434" s="5194"/>
      <c r="N2434" s="5194"/>
      <c r="O2434" s="5194"/>
      <c r="P2434" s="5194"/>
      <c r="Q2434" s="5195"/>
      <c r="R2434" s="2719">
        <f>IF(OR($J2434=0,$J2434="Aprendida"),0,SUM($J$2326:$J2434))</f>
        <v>0</v>
      </c>
      <c r="T2434" s="3034"/>
      <c r="U2434" s="3035"/>
      <c r="V2434" s="3035"/>
      <c r="W2434" s="3035"/>
      <c r="X2434" s="3035"/>
      <c r="Y2434" s="3036"/>
      <c r="AB2434" s="413"/>
      <c r="AC2434" s="2795"/>
    </row>
    <row r="2435" spans="1:29" ht="12.75" customHeight="1" x14ac:dyDescent="0.2">
      <c r="A2435" s="2029">
        <v>211</v>
      </c>
      <c r="B2435" s="4995"/>
      <c r="E2435" s="2716" t="s">
        <v>8469</v>
      </c>
      <c r="F2435" s="1837"/>
      <c r="G2435" s="1837">
        <v>40</v>
      </c>
      <c r="H2435" s="1838">
        <v>1</v>
      </c>
      <c r="I2435" s="1838">
        <v>10</v>
      </c>
      <c r="J2435" s="1838">
        <f>COUNTIF(Elan!$C$13:$F$25,Tablas!E2435)+COUNTIF(Elan!$U$13:$X$25,Tablas!E2435)</f>
        <v>0</v>
      </c>
      <c r="K2435" s="1837"/>
      <c r="L2435" s="5194" t="s">
        <v>8771</v>
      </c>
      <c r="M2435" s="5194"/>
      <c r="N2435" s="5194"/>
      <c r="O2435" s="5194"/>
      <c r="P2435" s="5194"/>
      <c r="Q2435" s="5195"/>
      <c r="R2435" s="2719">
        <f>IF(OR($J2435=0,$J2435="Aprendida"),0,SUM($J$2326:$J2435))</f>
        <v>0</v>
      </c>
      <c r="T2435" s="3034"/>
      <c r="U2435" s="3035"/>
      <c r="V2435" s="3035"/>
      <c r="W2435" s="3035"/>
      <c r="X2435" s="3035"/>
      <c r="Y2435" s="3036"/>
      <c r="AB2435" s="413"/>
      <c r="AC2435" s="2795"/>
    </row>
    <row r="2436" spans="1:29" ht="12.75" customHeight="1" x14ac:dyDescent="0.2">
      <c r="A2436" s="2029">
        <v>211</v>
      </c>
      <c r="B2436" s="4995"/>
      <c r="E2436" s="2716" t="s">
        <v>8470</v>
      </c>
      <c r="F2436" s="1837"/>
      <c r="G2436" s="1837">
        <v>50</v>
      </c>
      <c r="H2436" s="1838">
        <v>1</v>
      </c>
      <c r="I2436" s="1838">
        <v>5</v>
      </c>
      <c r="J2436" s="1838">
        <f>COUNTIF(Elan!$C$13:$F$25,Tablas!E2436)+COUNTIF(Elan!$U$13:$X$25,Tablas!E2436)</f>
        <v>0</v>
      </c>
      <c r="K2436" s="1837"/>
      <c r="L2436" s="5194" t="s">
        <v>8774</v>
      </c>
      <c r="M2436" s="5194"/>
      <c r="N2436" s="5194"/>
      <c r="O2436" s="5194"/>
      <c r="P2436" s="5194"/>
      <c r="Q2436" s="5195"/>
      <c r="R2436" s="2719">
        <f>IF(OR($J2436=0,$J2436="Aprendida"),0,SUM($J$2326:$J2436))</f>
        <v>0</v>
      </c>
      <c r="T2436" s="3034"/>
      <c r="U2436" s="3035"/>
      <c r="V2436" s="3035"/>
      <c r="W2436" s="3035"/>
      <c r="X2436" s="3035"/>
      <c r="Y2436" s="3036"/>
      <c r="AB2436" s="413"/>
      <c r="AC2436" s="2795"/>
    </row>
    <row r="2437" spans="1:29" ht="12.75" customHeight="1" x14ac:dyDescent="0.2">
      <c r="A2437" s="2029">
        <v>211</v>
      </c>
      <c r="B2437" s="4995"/>
      <c r="E2437" s="2716" t="s">
        <v>8471</v>
      </c>
      <c r="F2437" s="1837"/>
      <c r="G2437" s="1837">
        <v>60</v>
      </c>
      <c r="H2437" s="1838">
        <f>IF(J2436,1,0)</f>
        <v>0</v>
      </c>
      <c r="I2437" s="1838">
        <v>10</v>
      </c>
      <c r="J2437" s="1838">
        <f>COUNTIF(Elan!$C$13:$F$25,Tablas!E2437)+COUNTIF(Elan!$U$13:$X$25,Tablas!E2437)</f>
        <v>0</v>
      </c>
      <c r="K2437" s="1837"/>
      <c r="L2437" s="5194" t="s">
        <v>8776</v>
      </c>
      <c r="M2437" s="5194"/>
      <c r="N2437" s="5194"/>
      <c r="O2437" s="5194"/>
      <c r="P2437" s="5194"/>
      <c r="Q2437" s="5195"/>
      <c r="R2437" s="2719">
        <f>IF(OR($J2437=0,$J2437="Aprendida"),0,SUM($J$2326:$J2437))</f>
        <v>0</v>
      </c>
      <c r="T2437" s="3034"/>
      <c r="U2437" s="3035"/>
      <c r="V2437" s="3035"/>
      <c r="W2437" s="3035"/>
      <c r="X2437" s="3035"/>
      <c r="Y2437" s="3036"/>
      <c r="AB2437" s="413"/>
      <c r="AC2437" s="2795"/>
    </row>
    <row r="2438" spans="1:29" ht="12.75" customHeight="1" x14ac:dyDescent="0.2">
      <c r="A2438" s="2029">
        <v>211</v>
      </c>
      <c r="B2438" s="4995"/>
      <c r="E2438" s="2716" t="s">
        <v>1579</v>
      </c>
      <c r="F2438" s="1837"/>
      <c r="G2438" s="1837">
        <v>60</v>
      </c>
      <c r="H2438" s="1838">
        <v>1</v>
      </c>
      <c r="I2438" s="1838">
        <v>15</v>
      </c>
      <c r="J2438" s="1838">
        <f>COUNTIF(Elan!$C$13:$F$25,Tablas!E2438)+COUNTIF(Elan!$U$13:$X$25,Tablas!E2438)</f>
        <v>0</v>
      </c>
      <c r="K2438" s="1837"/>
      <c r="L2438" s="5194" t="s">
        <v>8778</v>
      </c>
      <c r="M2438" s="5194"/>
      <c r="N2438" s="5194"/>
      <c r="O2438" s="5194"/>
      <c r="P2438" s="5194"/>
      <c r="Q2438" s="5195"/>
      <c r="R2438" s="2719">
        <f>IF(OR($J2438=0,$J2438="Aprendida"),0,SUM($J$2326:$J2438))</f>
        <v>0</v>
      </c>
      <c r="T2438" s="3038" t="str">
        <f>E2508</f>
        <v>ElanPersonalizado</v>
      </c>
      <c r="U2438" s="3028"/>
      <c r="V2438" s="3037"/>
      <c r="W2438" s="3028"/>
      <c r="X2438" s="3028"/>
      <c r="Y2438" s="3029"/>
      <c r="AB2438" s="413"/>
      <c r="AC2438" s="2795"/>
    </row>
    <row r="2439" spans="1:29" ht="12.75" customHeight="1" x14ac:dyDescent="0.2">
      <c r="A2439" s="2029">
        <v>211</v>
      </c>
      <c r="B2439" s="4995"/>
      <c r="E2439" s="2716" t="s">
        <v>8472</v>
      </c>
      <c r="F2439" s="1837"/>
      <c r="G2439" s="1837">
        <v>70</v>
      </c>
      <c r="H2439" s="1838">
        <v>1</v>
      </c>
      <c r="I2439" s="1838">
        <v>15</v>
      </c>
      <c r="J2439" s="1838">
        <f>COUNTIF(Elan!$C$13:$F$25,Tablas!E2439)+COUNTIF(Elan!$U$13:$X$25,Tablas!E2439)</f>
        <v>0</v>
      </c>
      <c r="K2439" s="1837"/>
      <c r="L2439" s="5194" t="s">
        <v>8780</v>
      </c>
      <c r="M2439" s="5194"/>
      <c r="N2439" s="5194"/>
      <c r="O2439" s="5194"/>
      <c r="P2439" s="5194"/>
      <c r="Q2439" s="5195"/>
      <c r="R2439" s="2719">
        <f>IF(OR($J2439=0,$J2439="Aprendida"),0,SUM($J$2326:$J2439))</f>
        <v>0</v>
      </c>
      <c r="T2439" s="3030">
        <f>Personalización!E56</f>
        <v>0</v>
      </c>
      <c r="U2439" s="3031">
        <f>Personalización!K56</f>
        <v>0</v>
      </c>
      <c r="V2439" s="3032">
        <f>Personalización!E64</f>
        <v>0</v>
      </c>
      <c r="W2439" s="3031">
        <f>Personalización!K64</f>
        <v>0</v>
      </c>
      <c r="X2439" s="3031">
        <f>Personalización!L56</f>
        <v>0</v>
      </c>
      <c r="Y2439" s="3033">
        <f>Personalización!O56</f>
        <v>0</v>
      </c>
      <c r="AB2439" s="413"/>
      <c r="AC2439" s="2795"/>
    </row>
    <row r="2440" spans="1:29" ht="12.75" customHeight="1" x14ac:dyDescent="0.2">
      <c r="A2440" s="2029">
        <v>211</v>
      </c>
      <c r="B2440" s="4995"/>
      <c r="E2440" s="2716" t="s">
        <v>8473</v>
      </c>
      <c r="F2440" s="1837"/>
      <c r="G2440" s="1837">
        <v>70</v>
      </c>
      <c r="H2440" s="1838">
        <v>1</v>
      </c>
      <c r="I2440" s="1838">
        <v>20</v>
      </c>
      <c r="J2440" s="1838">
        <f>COUNTIF(Elan!$C$13:$F$25,Tablas!E2440)+COUNTIF(Elan!$U$13:$X$25,Tablas!E2440)</f>
        <v>0</v>
      </c>
      <c r="K2440" s="1837"/>
      <c r="L2440" s="5194" t="s">
        <v>8781</v>
      </c>
      <c r="M2440" s="5194"/>
      <c r="N2440" s="5194"/>
      <c r="O2440" s="5194"/>
      <c r="P2440" s="5194"/>
      <c r="Q2440" s="5195"/>
      <c r="R2440" s="2719">
        <f>IF(OR($J2440=0,$J2440="Aprendida"),0,SUM($J$2326:$J2440))</f>
        <v>0</v>
      </c>
      <c r="T2440" s="3030">
        <f>Personalización!E57</f>
        <v>0</v>
      </c>
      <c r="U2440" s="3031">
        <f>Personalización!K57</f>
        <v>0</v>
      </c>
      <c r="V2440" s="3032">
        <f>Personalización!E65</f>
        <v>0</v>
      </c>
      <c r="W2440" s="3031">
        <f>Personalización!K65</f>
        <v>0</v>
      </c>
      <c r="X2440" s="3031">
        <f>Personalización!L59</f>
        <v>0</v>
      </c>
      <c r="Y2440" s="3033">
        <f>Personalización!O59</f>
        <v>0</v>
      </c>
      <c r="AB2440" s="413"/>
      <c r="AC2440" s="2795"/>
    </row>
    <row r="2441" spans="1:29" ht="12.75" customHeight="1" x14ac:dyDescent="0.2">
      <c r="A2441" s="2029">
        <v>211</v>
      </c>
      <c r="B2441" s="4995"/>
      <c r="E2441" s="2716" t="s">
        <v>8474</v>
      </c>
      <c r="F2441" s="1837"/>
      <c r="G2441" s="1837">
        <v>80</v>
      </c>
      <c r="H2441" s="1838">
        <v>1</v>
      </c>
      <c r="I2441" s="1838">
        <v>10</v>
      </c>
      <c r="J2441" s="1838">
        <f>COUNTIF(Elan!$C$13:$F$25,Tablas!E2441)+COUNTIF(Elan!$U$13:$X$25,Tablas!E2441)</f>
        <v>0</v>
      </c>
      <c r="K2441" s="1837">
        <f>IF(J2441&gt;0,1,0)</f>
        <v>0</v>
      </c>
      <c r="L2441" s="5194" t="s">
        <v>8782</v>
      </c>
      <c r="M2441" s="5194"/>
      <c r="N2441" s="5194"/>
      <c r="O2441" s="5194"/>
      <c r="P2441" s="5194"/>
      <c r="Q2441" s="5195"/>
      <c r="R2441" s="2719">
        <f>IF(OR($J2441=0,$J2441="Aprendida"),0,SUM($J$2326:$J2441))</f>
        <v>0</v>
      </c>
      <c r="T2441" s="3030">
        <f>Personalización!E58</f>
        <v>0</v>
      </c>
      <c r="U2441" s="3031">
        <f>Personalización!K58</f>
        <v>0</v>
      </c>
      <c r="V2441" s="3032">
        <f>Personalización!E66</f>
        <v>0</v>
      </c>
      <c r="W2441" s="3031">
        <f>Personalización!K66</f>
        <v>0</v>
      </c>
      <c r="X2441" s="3031">
        <f>Personalización!L62</f>
        <v>0</v>
      </c>
      <c r="Y2441" s="3033">
        <f>Personalización!O62</f>
        <v>0</v>
      </c>
      <c r="AB2441" s="413"/>
      <c r="AC2441" s="2795"/>
    </row>
    <row r="2442" spans="1:29" ht="12.75" customHeight="1" x14ac:dyDescent="0.2">
      <c r="A2442" s="2029">
        <v>211</v>
      </c>
      <c r="B2442" s="4995"/>
      <c r="E2442" s="2716" t="s">
        <v>8475</v>
      </c>
      <c r="F2442" s="1837"/>
      <c r="G2442" s="1837">
        <v>90</v>
      </c>
      <c r="H2442" s="1838">
        <f>IF(J2437,1,0)</f>
        <v>0</v>
      </c>
      <c r="I2442" s="1838">
        <v>15</v>
      </c>
      <c r="J2442" s="1838">
        <f>COUNTIF(Elan!$C$13:$F$25,Tablas!E2442)+COUNTIF(Elan!$U$13:$X$25,Tablas!E2442)</f>
        <v>0</v>
      </c>
      <c r="K2442" s="1837"/>
      <c r="L2442" s="5194" t="s">
        <v>8783</v>
      </c>
      <c r="M2442" s="5194"/>
      <c r="N2442" s="5194"/>
      <c r="O2442" s="5194"/>
      <c r="P2442" s="5194"/>
      <c r="Q2442" s="5195"/>
      <c r="R2442" s="2719">
        <f>IF(OR($J2442=0,$J2442="Aprendida"),0,SUM($J$2326:$J2442))</f>
        <v>0</v>
      </c>
      <c r="T2442" s="3030">
        <f>Personalización!E59</f>
        <v>0</v>
      </c>
      <c r="U2442" s="3031">
        <f>Personalización!K59</f>
        <v>0</v>
      </c>
      <c r="V2442" s="3032">
        <f>Personalización!E67</f>
        <v>0</v>
      </c>
      <c r="W2442" s="3031">
        <f>Personalización!K67</f>
        <v>0</v>
      </c>
      <c r="X2442" s="3031">
        <f>Personalización!L65</f>
        <v>0</v>
      </c>
      <c r="Y2442" s="3033">
        <f>Personalización!O65</f>
        <v>0</v>
      </c>
      <c r="AB2442" s="413"/>
      <c r="AC2442" s="2795"/>
    </row>
    <row r="2443" spans="1:29" ht="12.75" customHeight="1" x14ac:dyDescent="0.2">
      <c r="A2443" s="2029">
        <v>211</v>
      </c>
      <c r="B2443" s="4995"/>
      <c r="E2443" s="2716" t="s">
        <v>8476</v>
      </c>
      <c r="F2443" s="1837"/>
      <c r="G2443" s="1837">
        <v>100</v>
      </c>
      <c r="H2443" s="1838">
        <v>1</v>
      </c>
      <c r="I2443" s="1838">
        <v>10</v>
      </c>
      <c r="J2443" s="1838">
        <f>COUNTIF(Elan!$C$13:$F$25,Tablas!E2443)+COUNTIF(Elan!$U$13:$X$25,Tablas!E2443)</f>
        <v>0</v>
      </c>
      <c r="K2443" s="1837"/>
      <c r="L2443" s="5194" t="s">
        <v>8784</v>
      </c>
      <c r="M2443" s="5194"/>
      <c r="N2443" s="5194"/>
      <c r="O2443" s="5194"/>
      <c r="P2443" s="5194"/>
      <c r="Q2443" s="5195"/>
      <c r="R2443" s="2719">
        <f>IF(OR($J2443=0,$J2443="Aprendida"),0,SUM($J$2326:$J2443))</f>
        <v>0</v>
      </c>
      <c r="T2443" s="3030">
        <f>Personalización!E60</f>
        <v>0</v>
      </c>
      <c r="U2443" s="3031">
        <f>Personalización!K60</f>
        <v>0</v>
      </c>
      <c r="V2443" s="3032">
        <f>Personalización!E68</f>
        <v>0</v>
      </c>
      <c r="W2443" s="3031">
        <f>Personalización!K68</f>
        <v>0</v>
      </c>
      <c r="X2443" s="3031">
        <f>Personalización!L68</f>
        <v>0</v>
      </c>
      <c r="Y2443" s="3033">
        <f>Personalización!O68</f>
        <v>0</v>
      </c>
      <c r="AB2443" s="413"/>
      <c r="AC2443" s="2795"/>
    </row>
    <row r="2444" spans="1:29" ht="12.75" customHeight="1" x14ac:dyDescent="0.2">
      <c r="A2444" s="2029">
        <v>211</v>
      </c>
      <c r="B2444" s="4995"/>
      <c r="E2444" s="2715" t="s">
        <v>8369</v>
      </c>
      <c r="F2444" s="2707">
        <f>IF(Elan!$C$11=Tablas!$E2444,Elan!$G$11,IF(Elan!$U$11=Tablas!$E2444,Elan!$Y$11,0))</f>
        <v>0</v>
      </c>
      <c r="G2444" s="2708" t="s">
        <v>1133</v>
      </c>
      <c r="H2444" s="2708" t="s">
        <v>2159</v>
      </c>
      <c r="I2444" s="2708" t="s">
        <v>1804</v>
      </c>
      <c r="J2444" s="2708" t="s">
        <v>8374</v>
      </c>
      <c r="K2444" s="2708" t="s">
        <v>9175</v>
      </c>
      <c r="L2444" s="2708" t="s">
        <v>1866</v>
      </c>
      <c r="M2444" s="1839"/>
      <c r="N2444" s="1839"/>
      <c r="O2444" s="1839"/>
      <c r="P2444" s="1839"/>
      <c r="Q2444" s="2713"/>
      <c r="R2444" s="2719">
        <f>IF(OR($J2444=0,$J2444="Aprendida"),0,SUM($J$2326:$J2444))</f>
        <v>0</v>
      </c>
      <c r="T2444" s="3030">
        <f>Personalización!E61</f>
        <v>0</v>
      </c>
      <c r="U2444" s="3031">
        <f>Personalización!K61</f>
        <v>0</v>
      </c>
      <c r="V2444" s="3032">
        <f>Personalización!E69</f>
        <v>0</v>
      </c>
      <c r="W2444" s="3031">
        <f>Personalización!K69</f>
        <v>0</v>
      </c>
      <c r="X2444" s="3031"/>
      <c r="Y2444" s="3033"/>
      <c r="AB2444" s="413"/>
      <c r="AC2444" s="2795"/>
    </row>
    <row r="2445" spans="1:29" ht="12.75" customHeight="1" thickBot="1" x14ac:dyDescent="0.25">
      <c r="A2445" s="2029">
        <v>211</v>
      </c>
      <c r="B2445" s="4995"/>
      <c r="E2445" s="2716" t="s">
        <v>8477</v>
      </c>
      <c r="F2445" s="1837"/>
      <c r="G2445" s="1837">
        <v>10</v>
      </c>
      <c r="H2445" s="1838">
        <v>1</v>
      </c>
      <c r="I2445" s="1838">
        <v>10</v>
      </c>
      <c r="J2445" s="1838">
        <f>COUNTIF(Elan!$C$13:$F$25,Tablas!E2445)+COUNTIF(Elan!$U$13:$X$25,Tablas!E2445)</f>
        <v>0</v>
      </c>
      <c r="K2445" s="1837"/>
      <c r="L2445" s="5194" t="s">
        <v>8785</v>
      </c>
      <c r="M2445" s="5194"/>
      <c r="N2445" s="5194"/>
      <c r="O2445" s="5194"/>
      <c r="P2445" s="5194"/>
      <c r="Q2445" s="5195"/>
      <c r="R2445" s="2719">
        <f>IF(OR($J2445=0,$J2445="Aprendida"),0,SUM($J$2326:$J2445))</f>
        <v>0</v>
      </c>
      <c r="T2445" s="3039">
        <f>Personalización!E62</f>
        <v>0</v>
      </c>
      <c r="U2445" s="3040">
        <f>Personalización!K62</f>
        <v>0</v>
      </c>
      <c r="V2445" s="3041">
        <f>Personalización!E70</f>
        <v>0</v>
      </c>
      <c r="W2445" s="3040">
        <f>Personalización!K70</f>
        <v>0</v>
      </c>
      <c r="X2445" s="3040"/>
      <c r="Y2445" s="3042"/>
      <c r="AB2445" s="413"/>
      <c r="AC2445" s="2795"/>
    </row>
    <row r="2446" spans="1:29" ht="12.75" customHeight="1" x14ac:dyDescent="0.2">
      <c r="A2446" s="2029">
        <v>211</v>
      </c>
      <c r="B2446" s="4995"/>
      <c r="E2446" s="2716" t="s">
        <v>8478</v>
      </c>
      <c r="F2446" s="1837"/>
      <c r="G2446" s="1837">
        <v>20</v>
      </c>
      <c r="H2446" s="1838">
        <v>1</v>
      </c>
      <c r="I2446" s="1838">
        <v>5</v>
      </c>
      <c r="J2446" s="1838">
        <f>COUNTIF(Elan!$C$13:$F$25,Tablas!E2446)+COUNTIF(Elan!$U$13:$X$25,Tablas!E2446)</f>
        <v>0</v>
      </c>
      <c r="K2446" s="1837"/>
      <c r="L2446" s="5194" t="s">
        <v>8788</v>
      </c>
      <c r="M2446" s="5194"/>
      <c r="N2446" s="5194"/>
      <c r="O2446" s="5194"/>
      <c r="P2446" s="5194"/>
      <c r="Q2446" s="5195"/>
      <c r="R2446" s="2719">
        <f>IF(OR($J2446=0,$J2446="Aprendida"),0,SUM($J$2326:$J2446))</f>
        <v>0</v>
      </c>
      <c r="AB2446" s="413"/>
      <c r="AC2446" s="2795"/>
    </row>
    <row r="2447" spans="1:29" ht="12.75" customHeight="1" x14ac:dyDescent="0.2">
      <c r="A2447" s="2029">
        <v>211</v>
      </c>
      <c r="B2447" s="4995"/>
      <c r="E2447" s="2716" t="s">
        <v>8479</v>
      </c>
      <c r="F2447" s="1837"/>
      <c r="G2447" s="1837">
        <v>30</v>
      </c>
      <c r="H2447" s="1838">
        <v>1</v>
      </c>
      <c r="I2447" s="1838">
        <v>10</v>
      </c>
      <c r="J2447" s="1838">
        <f>COUNTIF(Elan!$C$13:$F$25,Tablas!E2447)+COUNTIF(Elan!$U$13:$X$25,Tablas!E2447)</f>
        <v>0</v>
      </c>
      <c r="K2447" s="1837"/>
      <c r="L2447" s="5194" t="s">
        <v>8792</v>
      </c>
      <c r="M2447" s="5194"/>
      <c r="N2447" s="5194"/>
      <c r="O2447" s="5194"/>
      <c r="P2447" s="5194"/>
      <c r="Q2447" s="5195"/>
      <c r="R2447" s="2719">
        <f>IF(OR($J2447=0,$J2447="Aprendida"),0,SUM($J$2326:$J2447))</f>
        <v>0</v>
      </c>
      <c r="AB2447" s="413"/>
      <c r="AC2447" s="2795"/>
    </row>
    <row r="2448" spans="1:29" ht="12.75" customHeight="1" x14ac:dyDescent="0.2">
      <c r="A2448" s="2029">
        <v>211</v>
      </c>
      <c r="B2448" s="4995"/>
      <c r="E2448" s="2716" t="s">
        <v>8480</v>
      </c>
      <c r="F2448" s="1837"/>
      <c r="G2448" s="1837">
        <v>40</v>
      </c>
      <c r="H2448" s="1838">
        <v>1</v>
      </c>
      <c r="I2448" s="1838">
        <v>5</v>
      </c>
      <c r="J2448" s="1838">
        <f>COUNTIF(Elan!$C$13:$F$25,Tablas!E2448)+COUNTIF(Elan!$U$13:$X$25,Tablas!E2448)</f>
        <v>0</v>
      </c>
      <c r="K2448" s="1837"/>
      <c r="L2448" s="5194" t="s">
        <v>8794</v>
      </c>
      <c r="M2448" s="5194"/>
      <c r="N2448" s="5194"/>
      <c r="O2448" s="5194"/>
      <c r="P2448" s="5194"/>
      <c r="Q2448" s="5195"/>
      <c r="R2448" s="2719">
        <f>IF(OR($J2448=0,$J2448="Aprendida"),0,SUM($J$2326:$J2448))</f>
        <v>0</v>
      </c>
      <c r="AB2448" s="413"/>
      <c r="AC2448" s="2795"/>
    </row>
    <row r="2449" spans="1:29" ht="12.75" customHeight="1" x14ac:dyDescent="0.2">
      <c r="A2449" s="2029">
        <v>211</v>
      </c>
      <c r="B2449" s="4995"/>
      <c r="E2449" s="2716" t="s">
        <v>8481</v>
      </c>
      <c r="F2449" s="1837"/>
      <c r="G2449" s="1837">
        <v>50</v>
      </c>
      <c r="H2449" s="1838">
        <v>1</v>
      </c>
      <c r="I2449" s="1838">
        <v>15</v>
      </c>
      <c r="J2449" s="1838">
        <f>COUNTIF(Elan!$C$13:$F$25,Tablas!E2449)+COUNTIF(Elan!$U$13:$X$25,Tablas!E2449)</f>
        <v>0</v>
      </c>
      <c r="K2449" s="1837"/>
      <c r="L2449" s="5194" t="s">
        <v>8796</v>
      </c>
      <c r="M2449" s="5194"/>
      <c r="N2449" s="5194"/>
      <c r="O2449" s="5194"/>
      <c r="P2449" s="5194"/>
      <c r="Q2449" s="5195"/>
      <c r="R2449" s="2719">
        <f>IF(OR($J2449=0,$J2449="Aprendida"),0,SUM($J$2326:$J2449))</f>
        <v>0</v>
      </c>
      <c r="AB2449" s="413"/>
      <c r="AC2449" s="2795"/>
    </row>
    <row r="2450" spans="1:29" ht="12.75" customHeight="1" x14ac:dyDescent="0.2">
      <c r="A2450" s="2029">
        <v>211</v>
      </c>
      <c r="B2450" s="4995"/>
      <c r="E2450" s="2716" t="s">
        <v>8482</v>
      </c>
      <c r="F2450" s="1837"/>
      <c r="G2450" s="1837">
        <v>60</v>
      </c>
      <c r="H2450" s="1838">
        <f>IF(J2448,1,0)</f>
        <v>0</v>
      </c>
      <c r="I2450" s="1838">
        <v>10</v>
      </c>
      <c r="J2450" s="1838">
        <f>COUNTIF(Elan!$C$13:$F$25,Tablas!E2450)+COUNTIF(Elan!$U$13:$X$25,Tablas!E2450)</f>
        <v>0</v>
      </c>
      <c r="K2450" s="1837"/>
      <c r="L2450" s="5194" t="s">
        <v>8798</v>
      </c>
      <c r="M2450" s="5194"/>
      <c r="N2450" s="5194"/>
      <c r="O2450" s="5194"/>
      <c r="P2450" s="5194"/>
      <c r="Q2450" s="5195"/>
      <c r="R2450" s="2719">
        <f>IF(OR($J2450=0,$J2450="Aprendida"),0,SUM($J$2326:$J2450))</f>
        <v>0</v>
      </c>
      <c r="AB2450" s="413"/>
      <c r="AC2450" s="2795"/>
    </row>
    <row r="2451" spans="1:29" ht="12.75" customHeight="1" x14ac:dyDescent="0.2">
      <c r="A2451" s="2029">
        <v>211</v>
      </c>
      <c r="B2451" s="4995"/>
      <c r="E2451" s="2716" t="s">
        <v>8483</v>
      </c>
      <c r="F2451" s="1837"/>
      <c r="G2451" s="1837">
        <v>70</v>
      </c>
      <c r="H2451" s="1838">
        <v>1</v>
      </c>
      <c r="I2451" s="1838">
        <v>15</v>
      </c>
      <c r="J2451" s="1838">
        <f>COUNTIF(Elan!$C$13:$F$25,Tablas!E2451)+COUNTIF(Elan!$U$13:$X$25,Tablas!E2451)</f>
        <v>0</v>
      </c>
      <c r="K2451" s="1837"/>
      <c r="L2451" s="5194" t="s">
        <v>8799</v>
      </c>
      <c r="M2451" s="5194"/>
      <c r="N2451" s="5194"/>
      <c r="O2451" s="5194"/>
      <c r="P2451" s="5194"/>
      <c r="Q2451" s="5195"/>
      <c r="R2451" s="2719">
        <f>IF(OR($J2451=0,$J2451="Aprendida"),0,SUM($J$2326:$J2451))</f>
        <v>0</v>
      </c>
      <c r="AB2451" s="413"/>
      <c r="AC2451" s="2795"/>
    </row>
    <row r="2452" spans="1:29" ht="12.75" customHeight="1" x14ac:dyDescent="0.2">
      <c r="A2452" s="2029">
        <v>211</v>
      </c>
      <c r="B2452" s="4995"/>
      <c r="E2452" s="2716" t="s">
        <v>8484</v>
      </c>
      <c r="F2452" s="1837"/>
      <c r="G2452" s="1837">
        <v>80</v>
      </c>
      <c r="H2452" s="1838">
        <f>IF(J2448,1,0)</f>
        <v>0</v>
      </c>
      <c r="I2452" s="1838">
        <v>10</v>
      </c>
      <c r="J2452" s="1838">
        <f>COUNTIF(Elan!$C$13:$F$25,Tablas!E2452)+COUNTIF(Elan!$U$13:$X$25,Tablas!E2452)</f>
        <v>0</v>
      </c>
      <c r="K2452" s="1837"/>
      <c r="L2452" s="5194" t="s">
        <v>8800</v>
      </c>
      <c r="M2452" s="5194"/>
      <c r="N2452" s="5194"/>
      <c r="O2452" s="5194"/>
      <c r="P2452" s="5194"/>
      <c r="Q2452" s="5195"/>
      <c r="R2452" s="2719">
        <f>IF(OR($J2452=0,$J2452="Aprendida"),0,SUM($J$2326:$J2452))</f>
        <v>0</v>
      </c>
      <c r="AB2452" s="413"/>
      <c r="AC2452" s="2795"/>
    </row>
    <row r="2453" spans="1:29" ht="12.75" customHeight="1" x14ac:dyDescent="0.2">
      <c r="A2453" s="2029">
        <v>211</v>
      </c>
      <c r="B2453" s="4995"/>
      <c r="E2453" s="2716" t="s">
        <v>8485</v>
      </c>
      <c r="F2453" s="1837"/>
      <c r="G2453" s="1837">
        <v>80</v>
      </c>
      <c r="H2453" s="1838">
        <v>1</v>
      </c>
      <c r="I2453" s="1838">
        <v>15</v>
      </c>
      <c r="J2453" s="1838">
        <f>COUNTIF(Elan!$C$13:$F$25,Tablas!E2453)+COUNTIF(Elan!$U$13:$X$25,Tablas!E2453)</f>
        <v>0</v>
      </c>
      <c r="K2453" s="1837"/>
      <c r="L2453" s="5194" t="s">
        <v>8801</v>
      </c>
      <c r="M2453" s="5194"/>
      <c r="N2453" s="5194"/>
      <c r="O2453" s="5194"/>
      <c r="P2453" s="5194"/>
      <c r="Q2453" s="5195"/>
      <c r="R2453" s="2719">
        <f>IF(OR($J2453=0,$J2453="Aprendida"),0,SUM($J$2326:$J2453))</f>
        <v>0</v>
      </c>
      <c r="AB2453" s="413"/>
      <c r="AC2453" s="2795"/>
    </row>
    <row r="2454" spans="1:29" ht="12.75" customHeight="1" x14ac:dyDescent="0.2">
      <c r="A2454" s="2029">
        <v>211</v>
      </c>
      <c r="B2454" s="4995"/>
      <c r="E2454" s="2716" t="s">
        <v>8486</v>
      </c>
      <c r="F2454" s="1837"/>
      <c r="G2454" s="1837">
        <v>90</v>
      </c>
      <c r="H2454" s="1838">
        <v>1</v>
      </c>
      <c r="I2454" s="1838">
        <v>15</v>
      </c>
      <c r="J2454" s="1838">
        <f>COUNTIF(Elan!$C$13:$F$25,Tablas!E2454)+COUNTIF(Elan!$U$13:$X$25,Tablas!E2454)</f>
        <v>0</v>
      </c>
      <c r="K2454" s="1837"/>
      <c r="L2454" s="5194" t="s">
        <v>8802</v>
      </c>
      <c r="M2454" s="5194"/>
      <c r="N2454" s="5194"/>
      <c r="O2454" s="5194"/>
      <c r="P2454" s="5194"/>
      <c r="Q2454" s="5195"/>
      <c r="R2454" s="2719">
        <f>IF(OR($J2454=0,$J2454="Aprendida"),0,SUM($J$2326:$J2454))</f>
        <v>0</v>
      </c>
      <c r="AB2454" s="413"/>
      <c r="AC2454" s="2795"/>
    </row>
    <row r="2455" spans="1:29" ht="12.75" customHeight="1" x14ac:dyDescent="0.2">
      <c r="A2455" s="2029">
        <v>211</v>
      </c>
      <c r="B2455" s="4995"/>
      <c r="E2455" s="2716" t="s">
        <v>8487</v>
      </c>
      <c r="F2455" s="1837"/>
      <c r="G2455" s="1837">
        <v>100</v>
      </c>
      <c r="H2455" s="1838">
        <v>1</v>
      </c>
      <c r="I2455" s="1838">
        <v>10</v>
      </c>
      <c r="J2455" s="1838">
        <f>COUNTIF(Elan!$C$13:$F$25,Tablas!E2455)+COUNTIF(Elan!$U$13:$X$25,Tablas!E2455)</f>
        <v>0</v>
      </c>
      <c r="K2455" s="1837"/>
      <c r="L2455" s="5194" t="s">
        <v>8803</v>
      </c>
      <c r="M2455" s="5194"/>
      <c r="N2455" s="5194"/>
      <c r="O2455" s="5194"/>
      <c r="P2455" s="5194"/>
      <c r="Q2455" s="5195"/>
      <c r="R2455" s="2719">
        <f>IF(OR($J2455=0,$J2455="Aprendida"),0,SUM($J$2326:$J2455))</f>
        <v>0</v>
      </c>
      <c r="AB2455" s="413"/>
      <c r="AC2455" s="2795"/>
    </row>
    <row r="2456" spans="1:29" ht="12.75" customHeight="1" x14ac:dyDescent="0.2">
      <c r="A2456" s="2029">
        <v>211</v>
      </c>
      <c r="B2456" s="4995"/>
      <c r="E2456" s="2715" t="s">
        <v>8370</v>
      </c>
      <c r="F2456" s="2707">
        <f>IF(Elan!$C$11=Tablas!$E2456,Elan!$G$11,IF(Elan!$U$11=Tablas!$E2456,Elan!$Y$11,0))</f>
        <v>0</v>
      </c>
      <c r="G2456" s="2708" t="s">
        <v>1133</v>
      </c>
      <c r="H2456" s="2708" t="s">
        <v>2159</v>
      </c>
      <c r="I2456" s="2708" t="s">
        <v>1804</v>
      </c>
      <c r="J2456" s="2708" t="s">
        <v>8374</v>
      </c>
      <c r="K2456" s="2708" t="s">
        <v>9175</v>
      </c>
      <c r="L2456" s="2708" t="s">
        <v>1866</v>
      </c>
      <c r="M2456" s="1839"/>
      <c r="N2456" s="1839"/>
      <c r="O2456" s="1839"/>
      <c r="P2456" s="1839"/>
      <c r="Q2456" s="2713"/>
      <c r="R2456" s="2719">
        <f>IF(OR($J2456=0,$J2456="Aprendida"),0,SUM($J$2326:$J2456))</f>
        <v>0</v>
      </c>
      <c r="AB2456" s="413"/>
      <c r="AC2456" s="2795"/>
    </row>
    <row r="2457" spans="1:29" ht="12.75" customHeight="1" x14ac:dyDescent="0.2">
      <c r="A2457" s="2029">
        <v>211</v>
      </c>
      <c r="B2457" s="4995"/>
      <c r="E2457" s="2716" t="s">
        <v>8488</v>
      </c>
      <c r="F2457" s="1837"/>
      <c r="G2457" s="1837">
        <v>10</v>
      </c>
      <c r="H2457" s="1838">
        <v>1</v>
      </c>
      <c r="I2457" s="1838">
        <v>5</v>
      </c>
      <c r="J2457" s="1838">
        <f>COUNTIF(Elan!$C$13:$F$25,Tablas!E2457)+COUNTIF(Elan!$U$13:$X$25,Tablas!E2457)</f>
        <v>0</v>
      </c>
      <c r="K2457" s="1837">
        <f>F$2456*J2457</f>
        <v>0</v>
      </c>
      <c r="L2457" s="5194" t="s">
        <v>8804</v>
      </c>
      <c r="M2457" s="5194"/>
      <c r="N2457" s="5194"/>
      <c r="O2457" s="5194"/>
      <c r="P2457" s="5194"/>
      <c r="Q2457" s="5195"/>
      <c r="R2457" s="2719">
        <f>IF(OR($J2457=0,$J2457="Aprendida"),0,SUM($J$2326:$J2457))</f>
        <v>0</v>
      </c>
      <c r="AB2457" s="413"/>
      <c r="AC2457" s="2795"/>
    </row>
    <row r="2458" spans="1:29" ht="12.75" customHeight="1" x14ac:dyDescent="0.2">
      <c r="A2458" s="2029">
        <v>211</v>
      </c>
      <c r="B2458" s="4995"/>
      <c r="E2458" s="2716" t="s">
        <v>8489</v>
      </c>
      <c r="F2458" s="1837"/>
      <c r="G2458" s="1837">
        <v>20</v>
      </c>
      <c r="H2458" s="1838">
        <v>1</v>
      </c>
      <c r="I2458" s="1838">
        <v>10</v>
      </c>
      <c r="J2458" s="1838">
        <f>COUNTIF(Elan!$C$13:$F$25,Tablas!E2458)+COUNTIF(Elan!$U$13:$X$25,Tablas!E2458)</f>
        <v>0</v>
      </c>
      <c r="K2458" s="1837"/>
      <c r="L2458" s="5194" t="s">
        <v>8808</v>
      </c>
      <c r="M2458" s="5194"/>
      <c r="N2458" s="5194"/>
      <c r="O2458" s="5194"/>
      <c r="P2458" s="5194"/>
      <c r="Q2458" s="5195"/>
      <c r="R2458" s="2719">
        <f>IF(OR($J2458=0,$J2458="Aprendida"),0,SUM($J$2326:$J2458))</f>
        <v>0</v>
      </c>
      <c r="AB2458" s="413"/>
      <c r="AC2458" s="2795"/>
    </row>
    <row r="2459" spans="1:29" ht="12.75" customHeight="1" x14ac:dyDescent="0.2">
      <c r="A2459" s="2029">
        <v>211</v>
      </c>
      <c r="B2459" s="4995"/>
      <c r="E2459" s="2716" t="s">
        <v>8490</v>
      </c>
      <c r="F2459" s="1837"/>
      <c r="G2459" s="1837">
        <v>30</v>
      </c>
      <c r="H2459" s="1838">
        <v>1</v>
      </c>
      <c r="I2459" s="1838">
        <v>10</v>
      </c>
      <c r="J2459" s="1838">
        <f>COUNTIF(Elan!$C$13:$F$25,Tablas!E2459)+COUNTIF(Elan!$U$13:$X$25,Tablas!E2459)</f>
        <v>0</v>
      </c>
      <c r="K2459" s="1837">
        <f>F$2456*J2459</f>
        <v>0</v>
      </c>
      <c r="L2459" s="5194" t="s">
        <v>8812</v>
      </c>
      <c r="M2459" s="5194"/>
      <c r="N2459" s="5194"/>
      <c r="O2459" s="5194"/>
      <c r="P2459" s="5194"/>
      <c r="Q2459" s="5195"/>
      <c r="R2459" s="2719">
        <f>IF(OR($J2459=0,$J2459="Aprendida"),0,SUM($J$2326:$J2459))</f>
        <v>0</v>
      </c>
      <c r="AB2459" s="413"/>
      <c r="AC2459" s="2795"/>
    </row>
    <row r="2460" spans="1:29" ht="12.75" customHeight="1" x14ac:dyDescent="0.2">
      <c r="A2460" s="2029">
        <v>211</v>
      </c>
      <c r="B2460" s="4995"/>
      <c r="E2460" s="2716" t="s">
        <v>8491</v>
      </c>
      <c r="F2460" s="1837"/>
      <c r="G2460" s="1837">
        <v>40</v>
      </c>
      <c r="H2460" s="1838">
        <v>1</v>
      </c>
      <c r="I2460" s="1838">
        <v>10</v>
      </c>
      <c r="J2460" s="1838">
        <f>COUNTIF(Elan!$C$13:$F$25,Tablas!E2460)+COUNTIF(Elan!$U$13:$X$25,Tablas!E2460)</f>
        <v>0</v>
      </c>
      <c r="K2460" s="1837"/>
      <c r="L2460" s="5194" t="s">
        <v>8816</v>
      </c>
      <c r="M2460" s="5194"/>
      <c r="N2460" s="5194"/>
      <c r="O2460" s="5194"/>
      <c r="P2460" s="5194"/>
      <c r="Q2460" s="5195"/>
      <c r="R2460" s="2719">
        <f>IF(OR($J2460=0,$J2460="Aprendida"),0,SUM($J$2326:$J2460))</f>
        <v>0</v>
      </c>
      <c r="AB2460" s="413"/>
      <c r="AC2460" s="2795"/>
    </row>
    <row r="2461" spans="1:29" ht="12.75" customHeight="1" x14ac:dyDescent="0.2">
      <c r="A2461" s="2029">
        <v>211</v>
      </c>
      <c r="B2461" s="4995"/>
      <c r="E2461" s="2716" t="s">
        <v>8492</v>
      </c>
      <c r="F2461" s="1837"/>
      <c r="G2461" s="1837">
        <v>40</v>
      </c>
      <c r="H2461" s="1838">
        <v>1</v>
      </c>
      <c r="I2461" s="1838">
        <v>5</v>
      </c>
      <c r="J2461" s="1838">
        <f>COUNTIF(Elan!$C$13:$F$25,Tablas!E2461)+COUNTIF(Elan!$U$13:$X$25,Tablas!E2461)</f>
        <v>0</v>
      </c>
      <c r="K2461" s="1837"/>
      <c r="L2461" s="5194" t="s">
        <v>8819</v>
      </c>
      <c r="M2461" s="5194"/>
      <c r="N2461" s="5194"/>
      <c r="O2461" s="5194"/>
      <c r="P2461" s="5194"/>
      <c r="Q2461" s="5195"/>
      <c r="R2461" s="2719">
        <f>IF(OR($J2461=0,$J2461="Aprendida"),0,SUM($J$2326:$J2461))</f>
        <v>0</v>
      </c>
      <c r="AB2461" s="413"/>
      <c r="AC2461" s="2795"/>
    </row>
    <row r="2462" spans="1:29" ht="12.75" customHeight="1" x14ac:dyDescent="0.2">
      <c r="A2462" s="2029">
        <v>211</v>
      </c>
      <c r="B2462" s="4995"/>
      <c r="D2462" s="2134"/>
      <c r="E2462" s="2716" t="s">
        <v>8493</v>
      </c>
      <c r="F2462" s="1837"/>
      <c r="G2462" s="1837">
        <v>50</v>
      </c>
      <c r="H2462" s="1838">
        <f>IF(J2463,1,0)</f>
        <v>0</v>
      </c>
      <c r="I2462" s="1838">
        <v>15</v>
      </c>
      <c r="J2462" s="1838">
        <f>COUNTIF(Elan!$C$13:$F$25,Tablas!E2462)+COUNTIF(Elan!$U$13:$X$25,Tablas!E2462)</f>
        <v>0</v>
      </c>
      <c r="K2462" s="1837"/>
      <c r="L2462" s="5194" t="s">
        <v>8821</v>
      </c>
      <c r="M2462" s="5194"/>
      <c r="N2462" s="5194"/>
      <c r="O2462" s="5194"/>
      <c r="P2462" s="5194"/>
      <c r="Q2462" s="5195"/>
      <c r="R2462" s="2719">
        <f>IF(OR($J2462=0,$J2462="Aprendida"),0,SUM($J$2326:$J2462))</f>
        <v>0</v>
      </c>
      <c r="AB2462" s="413"/>
      <c r="AC2462" s="2795"/>
    </row>
    <row r="2463" spans="1:29" ht="12.75" customHeight="1" x14ac:dyDescent="0.2">
      <c r="A2463" s="2029">
        <v>211</v>
      </c>
      <c r="B2463" s="4995"/>
      <c r="E2463" s="2716" t="s">
        <v>8494</v>
      </c>
      <c r="F2463" s="1837"/>
      <c r="G2463" s="1837">
        <v>50</v>
      </c>
      <c r="H2463" s="1838">
        <v>1</v>
      </c>
      <c r="I2463" s="1838">
        <v>5</v>
      </c>
      <c r="J2463" s="1838">
        <f>COUNTIF(Elan!$C$13:$F$25,Tablas!E2463)+COUNTIF(Elan!$U$13:$X$25,Tablas!E2463)</f>
        <v>0</v>
      </c>
      <c r="K2463" s="1837"/>
      <c r="L2463" s="5194" t="s">
        <v>8823</v>
      </c>
      <c r="M2463" s="5194"/>
      <c r="N2463" s="5194"/>
      <c r="O2463" s="5194"/>
      <c r="P2463" s="5194"/>
      <c r="Q2463" s="5195"/>
      <c r="R2463" s="2719">
        <f>IF(OR($J2463=0,$J2463="Aprendida"),0,SUM($J$2326:$J2463))</f>
        <v>0</v>
      </c>
      <c r="AB2463" s="413"/>
      <c r="AC2463" s="2795"/>
    </row>
    <row r="2464" spans="1:29" ht="12.75" customHeight="1" x14ac:dyDescent="0.2">
      <c r="A2464" s="2029">
        <v>211</v>
      </c>
      <c r="B2464" s="4995"/>
      <c r="E2464" s="2716" t="s">
        <v>8495</v>
      </c>
      <c r="F2464" s="1837"/>
      <c r="G2464" s="1837">
        <v>60</v>
      </c>
      <c r="H2464" s="1838">
        <v>1</v>
      </c>
      <c r="I2464" s="1838">
        <v>10</v>
      </c>
      <c r="J2464" s="1838">
        <f>COUNTIF(Elan!$C$13:$F$25,Tablas!E2464)+COUNTIF(Elan!$U$13:$X$25,Tablas!E2464)</f>
        <v>0</v>
      </c>
      <c r="K2464" s="1837"/>
      <c r="L2464" s="5194" t="s">
        <v>8824</v>
      </c>
      <c r="M2464" s="5194"/>
      <c r="N2464" s="5194"/>
      <c r="O2464" s="5194"/>
      <c r="P2464" s="5194"/>
      <c r="Q2464" s="5195"/>
      <c r="R2464" s="2719">
        <f>IF(OR($J2464=0,$J2464="Aprendida"),0,SUM($J$2326:$J2464))</f>
        <v>0</v>
      </c>
      <c r="AB2464" s="413"/>
      <c r="AC2464" s="2795"/>
    </row>
    <row r="2465" spans="1:29" ht="12.75" customHeight="1" x14ac:dyDescent="0.2">
      <c r="A2465" s="2029">
        <v>211</v>
      </c>
      <c r="B2465" s="4995"/>
      <c r="E2465" s="2716" t="s">
        <v>8496</v>
      </c>
      <c r="F2465" s="1837"/>
      <c r="G2465" s="1837">
        <v>70</v>
      </c>
      <c r="H2465" s="1838">
        <v>1</v>
      </c>
      <c r="I2465" s="1838">
        <v>20</v>
      </c>
      <c r="J2465" s="1838">
        <f>COUNTIF(Elan!$C$13:$F$25,Tablas!E2465)+COUNTIF(Elan!$U$13:$X$25,Tablas!E2465)</f>
        <v>0</v>
      </c>
      <c r="K2465" s="1837"/>
      <c r="L2465" s="5194" t="s">
        <v>8825</v>
      </c>
      <c r="M2465" s="5194"/>
      <c r="N2465" s="5194"/>
      <c r="O2465" s="5194"/>
      <c r="P2465" s="5194"/>
      <c r="Q2465" s="5195"/>
      <c r="R2465" s="2719">
        <f>IF(OR($J2465=0,$J2465="Aprendida"),0,SUM($J$2326:$J2465))</f>
        <v>0</v>
      </c>
      <c r="AB2465" s="413"/>
      <c r="AC2465" s="2795"/>
    </row>
    <row r="2466" spans="1:29" ht="12.75" customHeight="1" x14ac:dyDescent="0.2">
      <c r="A2466" s="2029">
        <v>211</v>
      </c>
      <c r="B2466" s="4995"/>
      <c r="E2466" s="2716" t="s">
        <v>8497</v>
      </c>
      <c r="F2466" s="1837"/>
      <c r="G2466" s="1837">
        <v>70</v>
      </c>
      <c r="H2466" s="1838">
        <v>1</v>
      </c>
      <c r="I2466" s="1838">
        <v>10</v>
      </c>
      <c r="J2466" s="1838">
        <f>COUNTIF(Elan!$C$13:$F$25,Tablas!E2466)+COUNTIF(Elan!$U$13:$X$25,Tablas!E2466)</f>
        <v>0</v>
      </c>
      <c r="K2466" s="1837"/>
      <c r="L2466" s="5194" t="s">
        <v>8826</v>
      </c>
      <c r="M2466" s="5194"/>
      <c r="N2466" s="5194"/>
      <c r="O2466" s="5194"/>
      <c r="P2466" s="5194"/>
      <c r="Q2466" s="5195"/>
      <c r="R2466" s="2719">
        <f>IF(OR($J2466=0,$J2466="Aprendida"),0,SUM($J$2326:$J2466))</f>
        <v>0</v>
      </c>
      <c r="AB2466" s="413"/>
      <c r="AC2466" s="2795"/>
    </row>
    <row r="2467" spans="1:29" ht="12.75" customHeight="1" x14ac:dyDescent="0.2">
      <c r="A2467" s="2029">
        <v>211</v>
      </c>
      <c r="B2467" s="4995"/>
      <c r="E2467" s="2716" t="s">
        <v>8498</v>
      </c>
      <c r="F2467" s="1837"/>
      <c r="G2467" s="1837">
        <v>80</v>
      </c>
      <c r="H2467" s="1838">
        <f>IF(J2462,1,0)</f>
        <v>0</v>
      </c>
      <c r="I2467" s="1838">
        <v>20</v>
      </c>
      <c r="J2467" s="1838">
        <f>COUNTIF(Elan!$C$13:$F$25,Tablas!E2467)+COUNTIF(Elan!$U$13:$X$25,Tablas!E2467)</f>
        <v>0</v>
      </c>
      <c r="K2467" s="1837"/>
      <c r="L2467" s="5194" t="s">
        <v>8827</v>
      </c>
      <c r="M2467" s="5194"/>
      <c r="N2467" s="5194"/>
      <c r="O2467" s="5194"/>
      <c r="P2467" s="5194"/>
      <c r="Q2467" s="5195"/>
      <c r="R2467" s="2719">
        <f>IF(OR($J2467=0,$J2467="Aprendida"),0,SUM($J$2326:$J2467))</f>
        <v>0</v>
      </c>
      <c r="AB2467" s="413"/>
      <c r="AC2467" s="2795"/>
    </row>
    <row r="2468" spans="1:29" ht="12.75" customHeight="1" x14ac:dyDescent="0.2">
      <c r="A2468" s="2029">
        <v>211</v>
      </c>
      <c r="B2468" s="4995"/>
      <c r="E2468" s="2716" t="s">
        <v>739</v>
      </c>
      <c r="F2468" s="1837"/>
      <c r="G2468" s="1837">
        <v>90</v>
      </c>
      <c r="H2468" s="1838">
        <f>IF(J2462,1,0)</f>
        <v>0</v>
      </c>
      <c r="I2468" s="1838">
        <v>10</v>
      </c>
      <c r="J2468" s="1838">
        <f>COUNTIF(Elan!$C$13:$F$25,Tablas!E2468)+COUNTIF(Elan!$U$13:$X$25,Tablas!E2468)</f>
        <v>0</v>
      </c>
      <c r="K2468" s="1837"/>
      <c r="L2468" s="5194" t="s">
        <v>8828</v>
      </c>
      <c r="M2468" s="5194"/>
      <c r="N2468" s="5194"/>
      <c r="O2468" s="5194"/>
      <c r="P2468" s="5194"/>
      <c r="Q2468" s="5195"/>
      <c r="R2468" s="2719">
        <f>IF(OR($J2468=0,$J2468="Aprendida"),0,SUM($J$2326:$J2468))</f>
        <v>0</v>
      </c>
      <c r="AB2468" s="413"/>
      <c r="AC2468" s="2795"/>
    </row>
    <row r="2469" spans="1:29" ht="12.75" customHeight="1" x14ac:dyDescent="0.2">
      <c r="A2469" s="2029">
        <v>211</v>
      </c>
      <c r="B2469" s="4995"/>
      <c r="E2469" s="2716" t="s">
        <v>8499</v>
      </c>
      <c r="F2469" s="1837"/>
      <c r="G2469" s="1837">
        <v>100</v>
      </c>
      <c r="H2469" s="1838">
        <v>1</v>
      </c>
      <c r="I2469" s="1838">
        <v>10</v>
      </c>
      <c r="J2469" s="1838">
        <f>COUNTIF(Elan!$C$13:$F$25,Tablas!E2469)+COUNTIF(Elan!$U$13:$X$25,Tablas!E2469)</f>
        <v>0</v>
      </c>
      <c r="K2469" s="1837"/>
      <c r="L2469" s="5194" t="s">
        <v>8829</v>
      </c>
      <c r="M2469" s="5194"/>
      <c r="N2469" s="5194"/>
      <c r="O2469" s="5194"/>
      <c r="P2469" s="5194"/>
      <c r="Q2469" s="5195"/>
      <c r="R2469" s="2719">
        <f>IF(OR($J2469=0,$J2469="Aprendida"),0,SUM($J$2326:$J2469))</f>
        <v>0</v>
      </c>
      <c r="AB2469" s="413"/>
      <c r="AC2469" s="2795"/>
    </row>
    <row r="2470" spans="1:29" ht="12.75" customHeight="1" x14ac:dyDescent="0.2">
      <c r="A2470" s="2029">
        <v>211</v>
      </c>
      <c r="B2470" s="4995"/>
      <c r="E2470" s="2715" t="s">
        <v>8371</v>
      </c>
      <c r="F2470" s="2707">
        <f>IF(Elan!$C$11=Tablas!$E2470,Elan!$G$11,IF(Elan!$U$11=Tablas!$E2470,Elan!$Y$11,0))</f>
        <v>0</v>
      </c>
      <c r="G2470" s="2708" t="s">
        <v>1133</v>
      </c>
      <c r="H2470" s="2708" t="s">
        <v>2159</v>
      </c>
      <c r="I2470" s="2708" t="s">
        <v>1804</v>
      </c>
      <c r="J2470" s="2708" t="s">
        <v>8374</v>
      </c>
      <c r="K2470" s="2708" t="s">
        <v>9175</v>
      </c>
      <c r="L2470" s="2708" t="s">
        <v>1866</v>
      </c>
      <c r="M2470" s="1839"/>
      <c r="N2470" s="1839"/>
      <c r="O2470" s="1839"/>
      <c r="P2470" s="1839"/>
      <c r="Q2470" s="2713"/>
      <c r="R2470" s="2719">
        <f>IF(OR($J2470=0,$J2470="Aprendida"),0,SUM($J$2326:$J2470))</f>
        <v>0</v>
      </c>
      <c r="AB2470" s="413"/>
      <c r="AC2470" s="2795"/>
    </row>
    <row r="2471" spans="1:29" ht="12.75" customHeight="1" x14ac:dyDescent="0.2">
      <c r="A2471" s="2029">
        <v>211</v>
      </c>
      <c r="B2471" s="4995"/>
      <c r="E2471" s="2716" t="s">
        <v>8500</v>
      </c>
      <c r="F2471" s="1837"/>
      <c r="G2471" s="1837">
        <v>10</v>
      </c>
      <c r="H2471" s="1838">
        <v>1</v>
      </c>
      <c r="I2471" s="1838">
        <v>10</v>
      </c>
      <c r="J2471" s="1838">
        <f>COUNTIF(Elan!$C$13:$F$25,Tablas!E2471)+COUNTIF(Elan!$U$13:$X$25,Tablas!E2471)</f>
        <v>0</v>
      </c>
      <c r="K2471" s="1837"/>
      <c r="L2471" s="5194" t="s">
        <v>8830</v>
      </c>
      <c r="M2471" s="5194"/>
      <c r="N2471" s="5194"/>
      <c r="O2471" s="5194"/>
      <c r="P2471" s="5194"/>
      <c r="Q2471" s="5195"/>
      <c r="R2471" s="2719">
        <f>IF(OR($J2471=0,$J2471="Aprendida"),0,SUM($J$2326:$J2471))</f>
        <v>0</v>
      </c>
      <c r="AB2471" s="413"/>
      <c r="AC2471" s="2795"/>
    </row>
    <row r="2472" spans="1:29" ht="12.75" customHeight="1" x14ac:dyDescent="0.2">
      <c r="A2472" s="2029">
        <v>211</v>
      </c>
      <c r="B2472" s="4995"/>
      <c r="E2472" s="2716" t="s">
        <v>8501</v>
      </c>
      <c r="F2472" s="1837"/>
      <c r="G2472" s="1837">
        <v>20</v>
      </c>
      <c r="H2472" s="1838">
        <v>1</v>
      </c>
      <c r="I2472" s="1838">
        <v>5</v>
      </c>
      <c r="J2472" s="1838">
        <f>COUNTIF(Elan!$C$13:$F$25,Tablas!E2472)+COUNTIF(Elan!$U$13:$X$25,Tablas!E2472)</f>
        <v>0</v>
      </c>
      <c r="K2472" s="1837"/>
      <c r="L2472" s="5194" t="s">
        <v>8834</v>
      </c>
      <c r="M2472" s="5194"/>
      <c r="N2472" s="5194"/>
      <c r="O2472" s="5194"/>
      <c r="P2472" s="5194"/>
      <c r="Q2472" s="5195"/>
      <c r="R2472" s="2719">
        <f>IF(OR($J2472=0,$J2472="Aprendida"),0,SUM($J$2326:$J2472))</f>
        <v>0</v>
      </c>
      <c r="AB2472" s="413"/>
      <c r="AC2472" s="2795"/>
    </row>
    <row r="2473" spans="1:29" ht="12.75" customHeight="1" x14ac:dyDescent="0.2">
      <c r="A2473" s="2029">
        <v>211</v>
      </c>
      <c r="B2473" s="4995"/>
      <c r="E2473" s="2716" t="s">
        <v>8502</v>
      </c>
      <c r="F2473" s="1837"/>
      <c r="G2473" s="1837">
        <v>30</v>
      </c>
      <c r="H2473" s="1838">
        <v>1</v>
      </c>
      <c r="I2473" s="1838">
        <v>5</v>
      </c>
      <c r="J2473" s="1838">
        <f>COUNTIF(Elan!$C$13:$F$25,Tablas!E2473)+COUNTIF(Elan!$U$13:$X$25,Tablas!E2473)</f>
        <v>0</v>
      </c>
      <c r="K2473" s="1837"/>
      <c r="L2473" s="5194" t="s">
        <v>8838</v>
      </c>
      <c r="M2473" s="5194"/>
      <c r="N2473" s="5194"/>
      <c r="O2473" s="5194"/>
      <c r="P2473" s="5194"/>
      <c r="Q2473" s="5195"/>
      <c r="R2473" s="2719">
        <f>IF(OR($J2473=0,$J2473="Aprendida"),0,SUM($J$2326:$J2473))</f>
        <v>0</v>
      </c>
      <c r="AB2473" s="413"/>
      <c r="AC2473" s="2795"/>
    </row>
    <row r="2474" spans="1:29" ht="12.75" customHeight="1" x14ac:dyDescent="0.2">
      <c r="A2474" s="2029">
        <v>211</v>
      </c>
      <c r="B2474" s="4995"/>
      <c r="E2474" s="2716" t="s">
        <v>8503</v>
      </c>
      <c r="F2474" s="1837"/>
      <c r="G2474" s="1837">
        <v>40</v>
      </c>
      <c r="H2474" s="1838">
        <v>1</v>
      </c>
      <c r="I2474" s="1838">
        <v>10</v>
      </c>
      <c r="J2474" s="1838">
        <f>COUNTIF(Elan!$C$13:$F$25,Tablas!E2474)+COUNTIF(Elan!$U$13:$X$25,Tablas!E2474)</f>
        <v>0</v>
      </c>
      <c r="K2474" s="1837"/>
      <c r="L2474" s="5194" t="s">
        <v>8842</v>
      </c>
      <c r="M2474" s="5194"/>
      <c r="N2474" s="5194"/>
      <c r="O2474" s="5194"/>
      <c r="P2474" s="5194"/>
      <c r="Q2474" s="5195"/>
      <c r="R2474" s="2719">
        <f>IF(OR($J2474=0,$J2474="Aprendida"),0,SUM($J$2326:$J2474))</f>
        <v>0</v>
      </c>
      <c r="AB2474" s="413"/>
      <c r="AC2474" s="2795"/>
    </row>
    <row r="2475" spans="1:29" ht="12.75" customHeight="1" x14ac:dyDescent="0.2">
      <c r="A2475" s="2029">
        <v>211</v>
      </c>
      <c r="B2475" s="4995"/>
      <c r="E2475" s="2716" t="s">
        <v>8504</v>
      </c>
      <c r="F2475" s="1837"/>
      <c r="G2475" s="1837">
        <v>50</v>
      </c>
      <c r="H2475" s="1838">
        <v>1</v>
      </c>
      <c r="I2475" s="1838">
        <v>10</v>
      </c>
      <c r="J2475" s="1838">
        <f>COUNTIF(Elan!$C$13:$F$25,Tablas!E2475)+COUNTIF(Elan!$U$13:$X$25,Tablas!E2475)</f>
        <v>0</v>
      </c>
      <c r="K2475" s="1837"/>
      <c r="L2475" s="5194" t="s">
        <v>8844</v>
      </c>
      <c r="M2475" s="5194"/>
      <c r="N2475" s="5194"/>
      <c r="O2475" s="5194"/>
      <c r="P2475" s="5194"/>
      <c r="Q2475" s="5195"/>
      <c r="R2475" s="2719">
        <f>IF(OR($J2475=0,$J2475="Aprendida"),0,SUM($J$2326:$J2475))</f>
        <v>0</v>
      </c>
      <c r="AB2475" s="413"/>
      <c r="AC2475" s="2795"/>
    </row>
    <row r="2476" spans="1:29" ht="12.75" customHeight="1" x14ac:dyDescent="0.2">
      <c r="A2476" s="2029">
        <v>211</v>
      </c>
      <c r="B2476" s="4995"/>
      <c r="E2476" s="2716" t="s">
        <v>8505</v>
      </c>
      <c r="F2476" s="1837"/>
      <c r="G2476" s="1837">
        <v>50</v>
      </c>
      <c r="H2476" s="1838">
        <v>1</v>
      </c>
      <c r="I2476" s="1838">
        <v>15</v>
      </c>
      <c r="J2476" s="1838">
        <f>COUNTIF(Elan!$C$13:$F$25,Tablas!E2476)+COUNTIF(Elan!$U$13:$X$25,Tablas!E2476)</f>
        <v>0</v>
      </c>
      <c r="K2476" s="1837"/>
      <c r="L2476" s="5194" t="s">
        <v>8846</v>
      </c>
      <c r="M2476" s="5194"/>
      <c r="N2476" s="5194"/>
      <c r="O2476" s="5194"/>
      <c r="P2476" s="5194"/>
      <c r="Q2476" s="5195"/>
      <c r="R2476" s="2719">
        <f>IF(OR($J2476=0,$J2476="Aprendida"),0,SUM($J$2326:$J2476))</f>
        <v>0</v>
      </c>
      <c r="AB2476" s="413"/>
      <c r="AC2476" s="2795"/>
    </row>
    <row r="2477" spans="1:29" ht="12.75" customHeight="1" x14ac:dyDescent="0.2">
      <c r="A2477" s="2029">
        <v>211</v>
      </c>
      <c r="B2477" s="4995"/>
      <c r="E2477" s="2716" t="s">
        <v>764</v>
      </c>
      <c r="F2477" s="1837"/>
      <c r="G2477" s="1837">
        <v>60</v>
      </c>
      <c r="H2477" s="1838">
        <v>1</v>
      </c>
      <c r="I2477" s="1838">
        <v>10</v>
      </c>
      <c r="J2477" s="1838">
        <f>COUNTIF(Elan!$C$13:$F$25,Tablas!E2477)+COUNTIF(Elan!$U$13:$X$25,Tablas!E2477)</f>
        <v>0</v>
      </c>
      <c r="K2477" s="1837"/>
      <c r="L2477" s="5194" t="s">
        <v>8847</v>
      </c>
      <c r="M2477" s="5194"/>
      <c r="N2477" s="5194"/>
      <c r="O2477" s="5194"/>
      <c r="P2477" s="5194"/>
      <c r="Q2477" s="5195"/>
      <c r="R2477" s="2719">
        <f>IF(OR($J2477=0,$J2477="Aprendida"),0,SUM($J$2326:$J2477))</f>
        <v>0</v>
      </c>
      <c r="AB2477" s="413"/>
      <c r="AC2477" s="2795"/>
    </row>
    <row r="2478" spans="1:29" ht="12.75" customHeight="1" x14ac:dyDescent="0.2">
      <c r="A2478" s="2029">
        <v>211</v>
      </c>
      <c r="B2478" s="4995"/>
      <c r="E2478" s="2716" t="s">
        <v>8506</v>
      </c>
      <c r="F2478" s="1837"/>
      <c r="G2478" s="1837">
        <v>70</v>
      </c>
      <c r="H2478" s="1838">
        <f>IF(J2475,1,0)</f>
        <v>0</v>
      </c>
      <c r="I2478" s="1838">
        <v>15</v>
      </c>
      <c r="J2478" s="1838">
        <f>COUNTIF(Elan!$C$13:$F$25,Tablas!E2478)+COUNTIF(Elan!$U$13:$X$25,Tablas!E2478)</f>
        <v>0</v>
      </c>
      <c r="K2478" s="1837"/>
      <c r="L2478" s="5194" t="s">
        <v>8848</v>
      </c>
      <c r="M2478" s="5194"/>
      <c r="N2478" s="5194"/>
      <c r="O2478" s="5194"/>
      <c r="P2478" s="5194"/>
      <c r="Q2478" s="5195"/>
      <c r="R2478" s="2719">
        <f>IF(OR($J2478=0,$J2478="Aprendida"),0,SUM($J$2326:$J2478))</f>
        <v>0</v>
      </c>
      <c r="AB2478" s="413"/>
      <c r="AC2478" s="2795"/>
    </row>
    <row r="2479" spans="1:29" ht="12.75" customHeight="1" x14ac:dyDescent="0.2">
      <c r="A2479" s="2029">
        <v>211</v>
      </c>
      <c r="B2479" s="4995"/>
      <c r="E2479" s="2716" t="s">
        <v>8507</v>
      </c>
      <c r="F2479" s="1837"/>
      <c r="G2479" s="1837">
        <v>80</v>
      </c>
      <c r="H2479" s="1838">
        <v>1</v>
      </c>
      <c r="I2479" s="1838">
        <v>15</v>
      </c>
      <c r="J2479" s="1838">
        <f>COUNTIF(Elan!$C$13:$F$25,Tablas!E2479)+COUNTIF(Elan!$U$13:$X$25,Tablas!E2479)</f>
        <v>0</v>
      </c>
      <c r="K2479" s="1837"/>
      <c r="L2479" s="5194" t="s">
        <v>8849</v>
      </c>
      <c r="M2479" s="5194"/>
      <c r="N2479" s="5194"/>
      <c r="O2479" s="5194"/>
      <c r="P2479" s="5194"/>
      <c r="Q2479" s="5195"/>
      <c r="R2479" s="2719">
        <f>IF(OR($J2479=0,$J2479="Aprendida"),0,SUM($J$2326:$J2479))</f>
        <v>0</v>
      </c>
      <c r="AB2479" s="413"/>
      <c r="AC2479" s="2795"/>
    </row>
    <row r="2480" spans="1:29" ht="12.75" customHeight="1" x14ac:dyDescent="0.2">
      <c r="A2480" s="2029">
        <v>211</v>
      </c>
      <c r="B2480" s="4995"/>
      <c r="E2480" s="2716" t="s">
        <v>8508</v>
      </c>
      <c r="F2480" s="1837"/>
      <c r="G2480" s="1837">
        <v>90</v>
      </c>
      <c r="H2480" s="1838">
        <v>1</v>
      </c>
      <c r="I2480" s="1838">
        <v>15</v>
      </c>
      <c r="J2480" s="1838">
        <f>COUNTIF(Elan!$C$13:$F$25,Tablas!E2480)+COUNTIF(Elan!$U$13:$X$25,Tablas!E2480)</f>
        <v>0</v>
      </c>
      <c r="K2480" s="1837"/>
      <c r="L2480" s="5194" t="s">
        <v>8850</v>
      </c>
      <c r="M2480" s="5194"/>
      <c r="N2480" s="5194"/>
      <c r="O2480" s="5194"/>
      <c r="P2480" s="5194"/>
      <c r="Q2480" s="5195"/>
      <c r="R2480" s="2719">
        <f>IF(OR($J2480=0,$J2480="Aprendida"),0,SUM($J$2326:$J2480))</f>
        <v>0</v>
      </c>
      <c r="AB2480" s="413"/>
      <c r="AC2480" s="2795"/>
    </row>
    <row r="2481" spans="1:29" ht="12.75" customHeight="1" x14ac:dyDescent="0.2">
      <c r="A2481" s="2029">
        <v>211</v>
      </c>
      <c r="B2481" s="4995"/>
      <c r="E2481" s="2716" t="s">
        <v>8509</v>
      </c>
      <c r="F2481" s="1837"/>
      <c r="G2481" s="1837">
        <v>100</v>
      </c>
      <c r="H2481" s="1838">
        <f>IF(J2477,1,0)</f>
        <v>0</v>
      </c>
      <c r="I2481" s="1838">
        <v>10</v>
      </c>
      <c r="J2481" s="1838">
        <f>COUNTIF(Elan!$C$13:$F$25,Tablas!E2481)+COUNTIF(Elan!$U$13:$X$25,Tablas!E2481)</f>
        <v>0</v>
      </c>
      <c r="K2481" s="1837"/>
      <c r="L2481" s="5194" t="s">
        <v>8851</v>
      </c>
      <c r="M2481" s="5194"/>
      <c r="N2481" s="5194"/>
      <c r="O2481" s="5194"/>
      <c r="P2481" s="5194"/>
      <c r="Q2481" s="5195"/>
      <c r="R2481" s="2719">
        <f>IF(OR($J2481=0,$J2481="Aprendida"),0,SUM($J$2326:$J2481))</f>
        <v>0</v>
      </c>
      <c r="AB2481" s="413"/>
      <c r="AC2481" s="2795"/>
    </row>
    <row r="2482" spans="1:29" ht="12.75" customHeight="1" x14ac:dyDescent="0.2">
      <c r="A2482" s="2029">
        <v>211</v>
      </c>
      <c r="B2482" s="4995"/>
      <c r="E2482" s="2715" t="s">
        <v>8372</v>
      </c>
      <c r="F2482" s="2707">
        <f>IF(Elan!$C$11=Tablas!$E2482,Elan!$G$11,IF(Elan!$U$11=Tablas!$E2482,Elan!$Y$11,0))</f>
        <v>0</v>
      </c>
      <c r="G2482" s="2708" t="s">
        <v>1133</v>
      </c>
      <c r="H2482" s="2708" t="s">
        <v>2159</v>
      </c>
      <c r="I2482" s="2708" t="s">
        <v>1804</v>
      </c>
      <c r="J2482" s="2708" t="s">
        <v>8374</v>
      </c>
      <c r="K2482" s="2708" t="s">
        <v>9175</v>
      </c>
      <c r="L2482" s="2708" t="s">
        <v>1866</v>
      </c>
      <c r="M2482" s="1839"/>
      <c r="N2482" s="1839"/>
      <c r="O2482" s="1839"/>
      <c r="P2482" s="1839"/>
      <c r="Q2482" s="2713"/>
      <c r="R2482" s="2719">
        <f>IF(OR($J2482=0,$J2482="Aprendida"),0,SUM($J$2326:$J2482))</f>
        <v>0</v>
      </c>
      <c r="AB2482" s="413"/>
      <c r="AC2482" s="2795"/>
    </row>
    <row r="2483" spans="1:29" ht="12.75" customHeight="1" x14ac:dyDescent="0.2">
      <c r="A2483" s="2029">
        <v>211</v>
      </c>
      <c r="B2483" s="4995"/>
      <c r="E2483" s="2716" t="s">
        <v>8510</v>
      </c>
      <c r="F2483" s="1837"/>
      <c r="G2483" s="1837">
        <v>10</v>
      </c>
      <c r="H2483" s="1838">
        <v>1</v>
      </c>
      <c r="I2483" s="1838">
        <v>5</v>
      </c>
      <c r="J2483" s="1838">
        <f>COUNTIF(Elan!$C$13:$F$25,Tablas!E2483)+COUNTIF(Elan!$U$13:$X$25,Tablas!E2483)</f>
        <v>0</v>
      </c>
      <c r="K2483" s="1837"/>
      <c r="L2483" s="5194" t="s">
        <v>8852</v>
      </c>
      <c r="M2483" s="5194"/>
      <c r="N2483" s="5194"/>
      <c r="O2483" s="5194"/>
      <c r="P2483" s="5194"/>
      <c r="Q2483" s="5195"/>
      <c r="R2483" s="2719">
        <f>IF(OR($J2483=0,$J2483="Aprendida"),0,SUM($J$2326:$J2483))</f>
        <v>0</v>
      </c>
      <c r="AB2483" s="413"/>
      <c r="AC2483" s="2795"/>
    </row>
    <row r="2484" spans="1:29" ht="12.75" customHeight="1" x14ac:dyDescent="0.2">
      <c r="A2484" s="2029">
        <v>211</v>
      </c>
      <c r="B2484" s="4995"/>
      <c r="E2484" s="2716" t="s">
        <v>8511</v>
      </c>
      <c r="F2484" s="1837"/>
      <c r="G2484" s="1837">
        <v>20</v>
      </c>
      <c r="H2484" s="1838">
        <v>1</v>
      </c>
      <c r="I2484" s="1838">
        <v>5</v>
      </c>
      <c r="J2484" s="1838">
        <f>COUNTIF(Elan!$C$13:$F$25,Tablas!E2484)+COUNTIF(Elan!$U$13:$X$25,Tablas!E2484)</f>
        <v>0</v>
      </c>
      <c r="K2484" s="1837"/>
      <c r="L2484" s="5194" t="s">
        <v>8856</v>
      </c>
      <c r="M2484" s="5194"/>
      <c r="N2484" s="5194"/>
      <c r="O2484" s="5194"/>
      <c r="P2484" s="5194"/>
      <c r="Q2484" s="5195"/>
      <c r="R2484" s="2719">
        <f>IF(OR($J2484=0,$J2484="Aprendida"),0,SUM($J$2326:$J2484))</f>
        <v>0</v>
      </c>
      <c r="AB2484" s="413"/>
      <c r="AC2484" s="2795"/>
    </row>
    <row r="2485" spans="1:29" ht="12.75" customHeight="1" x14ac:dyDescent="0.2">
      <c r="A2485" s="2029">
        <v>211</v>
      </c>
      <c r="B2485" s="4995"/>
      <c r="E2485" s="2716" t="s">
        <v>8512</v>
      </c>
      <c r="F2485" s="1837"/>
      <c r="G2485" s="1837">
        <v>30</v>
      </c>
      <c r="H2485" s="1838">
        <v>1</v>
      </c>
      <c r="I2485" s="1838">
        <v>5</v>
      </c>
      <c r="J2485" s="1838">
        <f>COUNTIF(Elan!$C$13:$F$25,Tablas!E2485)+COUNTIF(Elan!$U$13:$X$25,Tablas!E2485)</f>
        <v>0</v>
      </c>
      <c r="K2485" s="1837">
        <f>F2482*J2485</f>
        <v>0</v>
      </c>
      <c r="L2485" s="5194" t="s">
        <v>8860</v>
      </c>
      <c r="M2485" s="5194"/>
      <c r="N2485" s="5194"/>
      <c r="O2485" s="5194"/>
      <c r="P2485" s="5194"/>
      <c r="Q2485" s="5195"/>
      <c r="R2485" s="2719">
        <f>IF(OR($J2485=0,$J2485="Aprendida"),0,SUM($J$2326:$J2485))</f>
        <v>0</v>
      </c>
      <c r="AB2485" s="413"/>
      <c r="AC2485" s="2795"/>
    </row>
    <row r="2486" spans="1:29" ht="12.75" customHeight="1" x14ac:dyDescent="0.2">
      <c r="A2486" s="2029">
        <v>211</v>
      </c>
      <c r="B2486" s="4995"/>
      <c r="E2486" s="2716" t="s">
        <v>8513</v>
      </c>
      <c r="F2486" s="1837"/>
      <c r="G2486" s="1837">
        <v>40</v>
      </c>
      <c r="H2486" s="1838">
        <v>1</v>
      </c>
      <c r="I2486" s="1838">
        <v>10</v>
      </c>
      <c r="J2486" s="1838">
        <f>COUNTIF(Elan!$C$13:$F$25,Tablas!E2486)+COUNTIF(Elan!$U$13:$X$25,Tablas!E2486)</f>
        <v>0</v>
      </c>
      <c r="K2486" s="1837"/>
      <c r="L2486" s="5194" t="s">
        <v>8863</v>
      </c>
      <c r="M2486" s="5194"/>
      <c r="N2486" s="5194"/>
      <c r="O2486" s="5194"/>
      <c r="P2486" s="5194"/>
      <c r="Q2486" s="5195"/>
      <c r="R2486" s="2719">
        <f>IF(OR($J2486=0,$J2486="Aprendida"),0,SUM($J$2326:$J2486))</f>
        <v>0</v>
      </c>
      <c r="AB2486" s="413"/>
      <c r="AC2486" s="2795"/>
    </row>
    <row r="2487" spans="1:29" ht="12.75" customHeight="1" x14ac:dyDescent="0.2">
      <c r="A2487" s="2029">
        <v>211</v>
      </c>
      <c r="B2487" s="4995"/>
      <c r="E2487" s="2716" t="s">
        <v>1579</v>
      </c>
      <c r="F2487" s="1837"/>
      <c r="G2487" s="1837">
        <v>50</v>
      </c>
      <c r="H2487" s="1838">
        <v>1</v>
      </c>
      <c r="I2487" s="1838">
        <v>10</v>
      </c>
      <c r="J2487" s="1838">
        <f>COUNTIF(Elan!$C$13:$F$25,Tablas!E2487)+COUNTIF(Elan!$U$13:$X$25,Tablas!E2487)</f>
        <v>0</v>
      </c>
      <c r="K2487" s="1837"/>
      <c r="L2487" s="5194" t="s">
        <v>8866</v>
      </c>
      <c r="M2487" s="5194"/>
      <c r="N2487" s="5194"/>
      <c r="O2487" s="5194"/>
      <c r="P2487" s="5194"/>
      <c r="Q2487" s="5195"/>
      <c r="R2487" s="2719">
        <f>IF(OR($J2487=0,$J2487="Aprendida"),0,SUM($J$2326:$J2487))</f>
        <v>0</v>
      </c>
      <c r="AB2487" s="413"/>
      <c r="AC2487" s="2795"/>
    </row>
    <row r="2488" spans="1:29" ht="12.75" customHeight="1" x14ac:dyDescent="0.2">
      <c r="A2488" s="2029">
        <v>211</v>
      </c>
      <c r="B2488" s="4995"/>
      <c r="E2488" s="2716" t="s">
        <v>8514</v>
      </c>
      <c r="F2488" s="1837"/>
      <c r="G2488" s="1837">
        <v>60</v>
      </c>
      <c r="H2488" s="1838">
        <v>1</v>
      </c>
      <c r="I2488" s="1838">
        <v>10</v>
      </c>
      <c r="J2488" s="1838">
        <f>COUNTIF(Elan!$C$13:$F$25,Tablas!E2488)+COUNTIF(Elan!$U$13:$X$25,Tablas!E2488)</f>
        <v>0</v>
      </c>
      <c r="K2488" s="1837"/>
      <c r="L2488" s="5194" t="s">
        <v>8868</v>
      </c>
      <c r="M2488" s="5194"/>
      <c r="N2488" s="5194"/>
      <c r="O2488" s="5194"/>
      <c r="P2488" s="5194"/>
      <c r="Q2488" s="5195"/>
      <c r="R2488" s="2719">
        <f>IF(OR($J2488=0,$J2488="Aprendida"),0,SUM($J$2326:$J2488))</f>
        <v>0</v>
      </c>
      <c r="AB2488" s="413"/>
      <c r="AC2488" s="2795"/>
    </row>
    <row r="2489" spans="1:29" ht="12.75" customHeight="1" x14ac:dyDescent="0.2">
      <c r="A2489" s="2029">
        <v>211</v>
      </c>
      <c r="B2489" s="4995"/>
      <c r="E2489" s="2716" t="s">
        <v>8515</v>
      </c>
      <c r="F2489" s="1837"/>
      <c r="G2489" s="1837">
        <v>60</v>
      </c>
      <c r="H2489" s="1838">
        <v>1</v>
      </c>
      <c r="I2489" s="1838">
        <v>15</v>
      </c>
      <c r="J2489" s="1838">
        <f>COUNTIF(Elan!$C$13:$F$25,Tablas!E2489)+COUNTIF(Elan!$U$13:$X$25,Tablas!E2489)</f>
        <v>0</v>
      </c>
      <c r="K2489" s="1837"/>
      <c r="L2489" s="5194" t="s">
        <v>8869</v>
      </c>
      <c r="M2489" s="5194"/>
      <c r="N2489" s="5194"/>
      <c r="O2489" s="5194"/>
      <c r="P2489" s="5194"/>
      <c r="Q2489" s="5195"/>
      <c r="R2489" s="2719">
        <f>IF(OR($J2489=0,$J2489="Aprendida"),0,SUM($J$2326:$J2489))</f>
        <v>0</v>
      </c>
      <c r="AB2489" s="413"/>
      <c r="AC2489" s="2795"/>
    </row>
    <row r="2490" spans="1:29" ht="12.75" customHeight="1" x14ac:dyDescent="0.2">
      <c r="A2490" s="2029">
        <v>211</v>
      </c>
      <c r="B2490" s="4995"/>
      <c r="E2490" s="2716" t="s">
        <v>8516</v>
      </c>
      <c r="F2490" s="1837"/>
      <c r="G2490" s="1837">
        <v>70</v>
      </c>
      <c r="H2490" s="1838">
        <f>IF(J2488,1,0)</f>
        <v>0</v>
      </c>
      <c r="I2490" s="1838">
        <v>15</v>
      </c>
      <c r="J2490" s="1838">
        <f>COUNTIF(Elan!$C$13:$F$25,Tablas!E2490)+COUNTIF(Elan!$U$13:$X$25,Tablas!E2490)</f>
        <v>0</v>
      </c>
      <c r="K2490" s="1837"/>
      <c r="L2490" s="5194" t="s">
        <v>8870</v>
      </c>
      <c r="M2490" s="5194"/>
      <c r="N2490" s="5194"/>
      <c r="O2490" s="5194"/>
      <c r="P2490" s="5194"/>
      <c r="Q2490" s="5195"/>
      <c r="R2490" s="2719">
        <f>IF(OR($J2490=0,$J2490="Aprendida"),0,SUM($J$2326:$J2490))</f>
        <v>0</v>
      </c>
      <c r="AB2490" s="413"/>
      <c r="AC2490" s="2795"/>
    </row>
    <row r="2491" spans="1:29" ht="12.75" customHeight="1" x14ac:dyDescent="0.2">
      <c r="A2491" s="2029">
        <v>211</v>
      </c>
      <c r="B2491" s="4995"/>
      <c r="E2491" s="2716" t="s">
        <v>8517</v>
      </c>
      <c r="F2491" s="1837"/>
      <c r="G2491" s="1837">
        <v>80</v>
      </c>
      <c r="H2491" s="1838">
        <v>1</v>
      </c>
      <c r="I2491" s="1838">
        <v>15</v>
      </c>
      <c r="J2491" s="1838">
        <f>COUNTIF(Elan!$C$13:$F$25,Tablas!E2491)+COUNTIF(Elan!$U$13:$X$25,Tablas!E2491)</f>
        <v>0</v>
      </c>
      <c r="K2491" s="1837"/>
      <c r="L2491" s="5194" t="s">
        <v>8871</v>
      </c>
      <c r="M2491" s="5194"/>
      <c r="N2491" s="5194"/>
      <c r="O2491" s="5194"/>
      <c r="P2491" s="5194"/>
      <c r="Q2491" s="5195"/>
      <c r="R2491" s="2719">
        <f>IF(OR($J2491=0,$J2491="Aprendida"),0,SUM($J$2326:$J2491))</f>
        <v>0</v>
      </c>
      <c r="AB2491" s="413"/>
      <c r="AC2491" s="2795"/>
    </row>
    <row r="2492" spans="1:29" ht="12.75" customHeight="1" x14ac:dyDescent="0.2">
      <c r="A2492" s="2029">
        <v>211</v>
      </c>
      <c r="B2492" s="4995"/>
      <c r="E2492" s="2716" t="s">
        <v>8518</v>
      </c>
      <c r="F2492" s="1837"/>
      <c r="G2492" s="1837">
        <v>90</v>
      </c>
      <c r="H2492" s="1838">
        <v>1</v>
      </c>
      <c r="I2492" s="1838">
        <v>25</v>
      </c>
      <c r="J2492" s="1838">
        <f>COUNTIF(Elan!$C$13:$F$25,Tablas!E2492)+COUNTIF(Elan!$U$13:$X$25,Tablas!E2492)</f>
        <v>0</v>
      </c>
      <c r="K2492" s="1837"/>
      <c r="L2492" s="5194" t="s">
        <v>8872</v>
      </c>
      <c r="M2492" s="5194"/>
      <c r="N2492" s="5194"/>
      <c r="O2492" s="5194"/>
      <c r="P2492" s="5194"/>
      <c r="Q2492" s="5195"/>
      <c r="R2492" s="2719">
        <f>IF(OR($J2492=0,$J2492="Aprendida"),0,SUM($J$2326:$J2492))</f>
        <v>0</v>
      </c>
      <c r="AB2492" s="413"/>
      <c r="AC2492" s="2795"/>
    </row>
    <row r="2493" spans="1:29" ht="12.75" customHeight="1" x14ac:dyDescent="0.2">
      <c r="A2493" s="2029">
        <v>211</v>
      </c>
      <c r="B2493" s="4995"/>
      <c r="E2493" s="2716" t="s">
        <v>8519</v>
      </c>
      <c r="F2493" s="1837"/>
      <c r="G2493" s="1837">
        <v>100</v>
      </c>
      <c r="H2493" s="1838">
        <v>1</v>
      </c>
      <c r="I2493" s="1838">
        <v>10</v>
      </c>
      <c r="J2493" s="1838">
        <f>COUNTIF(Elan!$C$13:$F$25,Tablas!E2493)+COUNTIF(Elan!$U$13:$X$25,Tablas!E2493)</f>
        <v>0</v>
      </c>
      <c r="K2493" s="1837"/>
      <c r="L2493" s="5194" t="s">
        <v>8873</v>
      </c>
      <c r="M2493" s="5194"/>
      <c r="N2493" s="5194"/>
      <c r="O2493" s="5194"/>
      <c r="P2493" s="5194"/>
      <c r="Q2493" s="5195"/>
      <c r="R2493" s="2719">
        <f>IF(OR($J2493=0,$J2493="Aprendida"),0,SUM($J$2326:$J2493))</f>
        <v>0</v>
      </c>
      <c r="AB2493" s="413"/>
      <c r="AC2493" s="2795"/>
    </row>
    <row r="2494" spans="1:29" ht="12.75" customHeight="1" x14ac:dyDescent="0.2">
      <c r="A2494" s="2029">
        <v>211</v>
      </c>
      <c r="B2494" s="4995"/>
      <c r="E2494" s="2732" t="s">
        <v>8373</v>
      </c>
      <c r="F2494" s="2707">
        <f>IF(Elan!$C$11=Tablas!$E2494,Elan!$G$11,IF(Elan!$U$11=Tablas!$E2494,Elan!$Y$11,0))</f>
        <v>0</v>
      </c>
      <c r="G2494" s="2708" t="s">
        <v>1133</v>
      </c>
      <c r="H2494" s="2708" t="s">
        <v>2159</v>
      </c>
      <c r="I2494" s="2708" t="s">
        <v>1804</v>
      </c>
      <c r="J2494" s="2708" t="s">
        <v>8374</v>
      </c>
      <c r="K2494" s="2708" t="s">
        <v>9175</v>
      </c>
      <c r="L2494" s="2708" t="s">
        <v>1866</v>
      </c>
      <c r="M2494" s="1839"/>
      <c r="N2494" s="1839"/>
      <c r="O2494" s="1839"/>
      <c r="P2494" s="1839"/>
      <c r="Q2494" s="2713"/>
      <c r="R2494" s="2719">
        <f>IF(OR($J2494=0,$J2494="Aprendida"),0,SUM($J$2326:$J2494))</f>
        <v>0</v>
      </c>
      <c r="AB2494" s="413"/>
      <c r="AC2494" s="2795"/>
    </row>
    <row r="2495" spans="1:29" ht="12.75" customHeight="1" x14ac:dyDescent="0.2">
      <c r="A2495" s="2029">
        <v>211</v>
      </c>
      <c r="B2495" s="4995"/>
      <c r="E2495" s="2716" t="s">
        <v>8520</v>
      </c>
      <c r="F2495" s="1837"/>
      <c r="G2495" s="1837">
        <v>10</v>
      </c>
      <c r="H2495" s="1838">
        <v>1</v>
      </c>
      <c r="I2495" s="1838">
        <v>5</v>
      </c>
      <c r="J2495" s="1838">
        <f>COUNTIF(Elan!$C$13:$F$25,Tablas!E2495)+COUNTIF(Elan!$U$13:$X$25,Tablas!E2495)</f>
        <v>0</v>
      </c>
      <c r="K2495" s="1837">
        <f>F2494*J2495</f>
        <v>0</v>
      </c>
      <c r="L2495" s="5194" t="s">
        <v>8874</v>
      </c>
      <c r="M2495" s="5194"/>
      <c r="N2495" s="5194"/>
      <c r="O2495" s="5194"/>
      <c r="P2495" s="5194"/>
      <c r="Q2495" s="5195"/>
      <c r="R2495" s="2719">
        <f>IF(OR($J2495=0,$J2495="Aprendida"),0,SUM($J$2326:$J2495))</f>
        <v>0</v>
      </c>
      <c r="AB2495" s="413"/>
      <c r="AC2495" s="2795"/>
    </row>
    <row r="2496" spans="1:29" ht="12.75" customHeight="1" x14ac:dyDescent="0.2">
      <c r="A2496" s="2029">
        <v>211</v>
      </c>
      <c r="B2496" s="4995"/>
      <c r="E2496" s="2716" t="s">
        <v>8521</v>
      </c>
      <c r="F2496" s="1837"/>
      <c r="G2496" s="1837">
        <v>20</v>
      </c>
      <c r="H2496" s="1838">
        <v>1</v>
      </c>
      <c r="I2496" s="1838">
        <v>5</v>
      </c>
      <c r="J2496" s="1838">
        <f>COUNTIF(Elan!$C$13:$F$25,Tablas!E2496)+COUNTIF(Elan!$U$13:$X$25,Tablas!E2496)</f>
        <v>0</v>
      </c>
      <c r="K2496" s="1837"/>
      <c r="L2496" s="5194" t="s">
        <v>8878</v>
      </c>
      <c r="M2496" s="5194"/>
      <c r="N2496" s="5194"/>
      <c r="O2496" s="5194"/>
      <c r="P2496" s="5194"/>
      <c r="Q2496" s="5195"/>
      <c r="R2496" s="2719">
        <f>IF(OR($J2496=0,$J2496="Aprendida"),0,SUM($J$2326:$J2496))</f>
        <v>0</v>
      </c>
      <c r="AB2496" s="413"/>
      <c r="AC2496" s="2795"/>
    </row>
    <row r="2497" spans="1:29" ht="12.75" customHeight="1" x14ac:dyDescent="0.2">
      <c r="A2497" s="2029">
        <v>211</v>
      </c>
      <c r="B2497" s="4995"/>
      <c r="E2497" s="2716" t="s">
        <v>8522</v>
      </c>
      <c r="F2497" s="1837"/>
      <c r="G2497" s="1837">
        <v>30</v>
      </c>
      <c r="H2497" s="1838">
        <v>1</v>
      </c>
      <c r="I2497" s="1838">
        <v>10</v>
      </c>
      <c r="J2497" s="1838">
        <f>COUNTIF(Elan!$C$13:$F$25,Tablas!E2497)+COUNTIF(Elan!$U$13:$X$25,Tablas!E2497)</f>
        <v>0</v>
      </c>
      <c r="K2497" s="1837"/>
      <c r="L2497" s="5194" t="s">
        <v>8882</v>
      </c>
      <c r="M2497" s="5194"/>
      <c r="N2497" s="5194"/>
      <c r="O2497" s="5194"/>
      <c r="P2497" s="5194"/>
      <c r="Q2497" s="5195"/>
      <c r="R2497" s="2719">
        <f>IF(OR($J2497=0,$J2497="Aprendida"),0,SUM($J$2326:$J2497))</f>
        <v>0</v>
      </c>
      <c r="AB2497" s="413"/>
      <c r="AC2497" s="2795"/>
    </row>
    <row r="2498" spans="1:29" ht="12.75" customHeight="1" x14ac:dyDescent="0.2">
      <c r="A2498" s="2029">
        <v>211</v>
      </c>
      <c r="B2498" s="4995"/>
      <c r="E2498" s="2716" t="s">
        <v>8523</v>
      </c>
      <c r="F2498" s="1837"/>
      <c r="G2498" s="1837">
        <v>30</v>
      </c>
      <c r="H2498" s="1838">
        <v>1</v>
      </c>
      <c r="I2498" s="1838">
        <v>5</v>
      </c>
      <c r="J2498" s="1838">
        <f>COUNTIF(Elan!$C$13:$F$25,Tablas!E2498)+COUNTIF(Elan!$U$13:$X$25,Tablas!E2498)</f>
        <v>0</v>
      </c>
      <c r="K2498" s="1837"/>
      <c r="L2498" s="5194" t="s">
        <v>8884</v>
      </c>
      <c r="M2498" s="5194"/>
      <c r="N2498" s="5194"/>
      <c r="O2498" s="5194"/>
      <c r="P2498" s="5194"/>
      <c r="Q2498" s="5195"/>
      <c r="R2498" s="2719">
        <f>IF(OR($J2498=0,$J2498="Aprendida"),0,SUM($J$2326:$J2498))</f>
        <v>0</v>
      </c>
      <c r="AB2498" s="413"/>
      <c r="AC2498" s="2795"/>
    </row>
    <row r="2499" spans="1:29" ht="12.75" customHeight="1" x14ac:dyDescent="0.2">
      <c r="A2499" s="2029">
        <v>211</v>
      </c>
      <c r="B2499" s="4995"/>
      <c r="E2499" s="2716" t="s">
        <v>8524</v>
      </c>
      <c r="F2499" s="1837"/>
      <c r="G2499" s="1837">
        <v>40</v>
      </c>
      <c r="H2499" s="1838">
        <v>1</v>
      </c>
      <c r="I2499" s="1838">
        <v>10</v>
      </c>
      <c r="J2499" s="1838">
        <f>COUNTIF(Elan!$C$13:$F$25,Tablas!E2499)+COUNTIF(Elan!$U$13:$X$25,Tablas!E2499)</f>
        <v>0</v>
      </c>
      <c r="K2499" s="1837"/>
      <c r="L2499" s="5194" t="s">
        <v>8885</v>
      </c>
      <c r="M2499" s="5194"/>
      <c r="N2499" s="5194"/>
      <c r="O2499" s="5194"/>
      <c r="P2499" s="5194"/>
      <c r="Q2499" s="5195"/>
      <c r="R2499" s="2719">
        <f>IF(OR($J2499=0,$J2499="Aprendida"),0,SUM($J$2326:$J2499))</f>
        <v>0</v>
      </c>
      <c r="AB2499" s="413"/>
      <c r="AC2499" s="2795"/>
    </row>
    <row r="2500" spans="1:29" ht="12.75" customHeight="1" x14ac:dyDescent="0.2">
      <c r="A2500" s="2029">
        <v>211</v>
      </c>
      <c r="B2500" s="4995"/>
      <c r="E2500" s="2716" t="s">
        <v>8525</v>
      </c>
      <c r="F2500" s="1837"/>
      <c r="G2500" s="1837">
        <v>40</v>
      </c>
      <c r="H2500" s="1838">
        <v>1</v>
      </c>
      <c r="I2500" s="1838">
        <v>10</v>
      </c>
      <c r="J2500" s="1838">
        <f>COUNTIF(Elan!$C$13:$F$25,Tablas!E2500)+COUNTIF(Elan!$U$13:$X$25,Tablas!E2500)</f>
        <v>0</v>
      </c>
      <c r="K2500" s="1837"/>
      <c r="L2500" s="5194" t="s">
        <v>8886</v>
      </c>
      <c r="M2500" s="5194"/>
      <c r="N2500" s="5194"/>
      <c r="O2500" s="5194"/>
      <c r="P2500" s="5194"/>
      <c r="Q2500" s="5195"/>
      <c r="R2500" s="2719">
        <f>IF(OR($J2500=0,$J2500="Aprendida"),0,SUM($J$2326:$J2500))</f>
        <v>0</v>
      </c>
      <c r="AB2500" s="413"/>
      <c r="AC2500" s="2795"/>
    </row>
    <row r="2501" spans="1:29" ht="12.75" customHeight="1" x14ac:dyDescent="0.2">
      <c r="A2501" s="2029">
        <v>211</v>
      </c>
      <c r="B2501" s="4995"/>
      <c r="E2501" s="2716" t="s">
        <v>8526</v>
      </c>
      <c r="F2501" s="1837"/>
      <c r="G2501" s="1837">
        <v>50</v>
      </c>
      <c r="H2501" s="1838">
        <v>1</v>
      </c>
      <c r="I2501" s="1838">
        <v>10</v>
      </c>
      <c r="J2501" s="1838">
        <f>COUNTIF(Elan!$C$13:$F$25,Tablas!E2501)+COUNTIF(Elan!$U$13:$X$25,Tablas!E2501)</f>
        <v>0</v>
      </c>
      <c r="K2501" s="1837"/>
      <c r="L2501" s="5194" t="s">
        <v>8887</v>
      </c>
      <c r="M2501" s="5194"/>
      <c r="N2501" s="5194"/>
      <c r="O2501" s="5194"/>
      <c r="P2501" s="5194"/>
      <c r="Q2501" s="5195"/>
      <c r="R2501" s="2719">
        <f>IF(OR($J2501=0,$J2501="Aprendida"),0,SUM($J$2326:$J2501))</f>
        <v>0</v>
      </c>
      <c r="AB2501" s="413"/>
      <c r="AC2501" s="2795"/>
    </row>
    <row r="2502" spans="1:29" ht="12.75" customHeight="1" x14ac:dyDescent="0.2">
      <c r="A2502" s="2029">
        <v>211</v>
      </c>
      <c r="B2502" s="4995"/>
      <c r="E2502" s="2716" t="s">
        <v>8527</v>
      </c>
      <c r="F2502" s="1837"/>
      <c r="G2502" s="1837">
        <v>60</v>
      </c>
      <c r="H2502" s="1838">
        <v>1</v>
      </c>
      <c r="I2502" s="1838">
        <v>10</v>
      </c>
      <c r="J2502" s="1838">
        <f>COUNTIF(Elan!$C$13:$F$25,Tablas!E2502)+COUNTIF(Elan!$U$13:$X$25,Tablas!E2502)</f>
        <v>0</v>
      </c>
      <c r="K2502" s="1837"/>
      <c r="L2502" s="5194" t="s">
        <v>8888</v>
      </c>
      <c r="M2502" s="5194"/>
      <c r="N2502" s="5194"/>
      <c r="O2502" s="5194"/>
      <c r="P2502" s="5194"/>
      <c r="Q2502" s="5195"/>
      <c r="R2502" s="2719">
        <f>IF(OR($J2502=0,$J2502="Aprendida"),0,SUM($J$2326:$J2502))</f>
        <v>0</v>
      </c>
      <c r="AB2502" s="413"/>
      <c r="AC2502" s="2795"/>
    </row>
    <row r="2503" spans="1:29" ht="12.75" customHeight="1" x14ac:dyDescent="0.2">
      <c r="A2503" s="2029">
        <v>211</v>
      </c>
      <c r="B2503" s="4995"/>
      <c r="E2503" s="2716" t="s">
        <v>8528</v>
      </c>
      <c r="F2503" s="1837"/>
      <c r="G2503" s="1837">
        <v>60</v>
      </c>
      <c r="H2503" s="1838">
        <f>IF(J2499,1,0)</f>
        <v>0</v>
      </c>
      <c r="I2503" s="1838">
        <v>15</v>
      </c>
      <c r="J2503" s="1838">
        <f>COUNTIF(Elan!$C$13:$F$25,Tablas!E2503)+COUNTIF(Elan!$U$13:$X$25,Tablas!E2503)</f>
        <v>0</v>
      </c>
      <c r="K2503" s="1837"/>
      <c r="L2503" s="5194" t="s">
        <v>8889</v>
      </c>
      <c r="M2503" s="5194"/>
      <c r="N2503" s="5194"/>
      <c r="O2503" s="5194"/>
      <c r="P2503" s="5194"/>
      <c r="Q2503" s="5195"/>
      <c r="R2503" s="2719">
        <f>IF(OR($J2503=0,$J2503="Aprendida"),0,SUM($J$2326:$J2503))</f>
        <v>0</v>
      </c>
      <c r="AB2503" s="413"/>
      <c r="AC2503" s="2795"/>
    </row>
    <row r="2504" spans="1:29" ht="12.75" customHeight="1" x14ac:dyDescent="0.2">
      <c r="A2504" s="2029">
        <v>211</v>
      </c>
      <c r="B2504" s="4995"/>
      <c r="E2504" s="2716" t="s">
        <v>8529</v>
      </c>
      <c r="F2504" s="1837"/>
      <c r="G2504" s="1837">
        <v>70</v>
      </c>
      <c r="H2504" s="1838">
        <v>1</v>
      </c>
      <c r="I2504" s="1838">
        <v>10</v>
      </c>
      <c r="J2504" s="1838">
        <f>COUNTIF(Elan!$C$13:$F$25,Tablas!E2504)+COUNTIF(Elan!$U$13:$X$25,Tablas!E2504)</f>
        <v>0</v>
      </c>
      <c r="K2504" s="1837"/>
      <c r="L2504" s="5194" t="s">
        <v>8890</v>
      </c>
      <c r="M2504" s="5194"/>
      <c r="N2504" s="5194"/>
      <c r="O2504" s="5194"/>
      <c r="P2504" s="5194"/>
      <c r="Q2504" s="5195"/>
      <c r="R2504" s="2719">
        <f>IF(OR($J2504=0,$J2504="Aprendida"),0,SUM($J$2326:$J2504))</f>
        <v>0</v>
      </c>
      <c r="AB2504" s="413"/>
      <c r="AC2504" s="2795"/>
    </row>
    <row r="2505" spans="1:29" ht="12.75" customHeight="1" x14ac:dyDescent="0.2">
      <c r="A2505" s="2029">
        <v>211</v>
      </c>
      <c r="B2505" s="4995"/>
      <c r="E2505" s="2716" t="s">
        <v>8530</v>
      </c>
      <c r="F2505" s="1837"/>
      <c r="G2505" s="1837">
        <v>80</v>
      </c>
      <c r="H2505" s="1838">
        <f>IF(J2502,1,0)</f>
        <v>0</v>
      </c>
      <c r="I2505" s="1838">
        <v>10</v>
      </c>
      <c r="J2505" s="1838">
        <f>COUNTIF(Elan!$C$13:$F$25,Tablas!E2505)+COUNTIF(Elan!$U$13:$X$25,Tablas!E2505)</f>
        <v>0</v>
      </c>
      <c r="K2505" s="1837"/>
      <c r="L2505" s="5194" t="s">
        <v>8891</v>
      </c>
      <c r="M2505" s="5194"/>
      <c r="N2505" s="5194"/>
      <c r="O2505" s="5194"/>
      <c r="P2505" s="5194"/>
      <c r="Q2505" s="5195"/>
      <c r="R2505" s="2719">
        <f>IF(OR($J2505=0,$J2505="Aprendida"),0,SUM($J$2326:$J2505))</f>
        <v>0</v>
      </c>
      <c r="AB2505" s="413"/>
      <c r="AC2505" s="2795"/>
    </row>
    <row r="2506" spans="1:29" ht="12.75" customHeight="1" x14ac:dyDescent="0.2">
      <c r="A2506" s="2029">
        <v>211</v>
      </c>
      <c r="B2506" s="4995"/>
      <c r="E2506" s="2716" t="s">
        <v>8531</v>
      </c>
      <c r="F2506" s="1837"/>
      <c r="G2506" s="1837">
        <v>90</v>
      </c>
      <c r="H2506" s="1838">
        <v>1</v>
      </c>
      <c r="I2506" s="1838">
        <v>15</v>
      </c>
      <c r="J2506" s="1838">
        <f>COUNTIF(Elan!$C$13:$F$25,Tablas!E2506)+COUNTIF(Elan!$U$13:$X$25,Tablas!E2506)</f>
        <v>0</v>
      </c>
      <c r="K2506" s="1837"/>
      <c r="L2506" s="5194" t="s">
        <v>8892</v>
      </c>
      <c r="M2506" s="5194"/>
      <c r="N2506" s="5194"/>
      <c r="O2506" s="5194"/>
      <c r="P2506" s="5194"/>
      <c r="Q2506" s="5195"/>
      <c r="R2506" s="2719">
        <f>IF(OR($J2506=0,$J2506="Aprendida"),0,SUM($J$2326:$J2506))</f>
        <v>0</v>
      </c>
      <c r="AB2506" s="413"/>
      <c r="AC2506" s="2795"/>
    </row>
    <row r="2507" spans="1:29" ht="12.75" customHeight="1" thickBot="1" x14ac:dyDescent="0.25">
      <c r="A2507" s="2029">
        <v>211</v>
      </c>
      <c r="B2507" s="4995"/>
      <c r="E2507" s="2716" t="s">
        <v>8532</v>
      </c>
      <c r="F2507" s="1842"/>
      <c r="G2507" s="1842">
        <v>100</v>
      </c>
      <c r="H2507" s="1843">
        <f>IF(J2501,1,0)</f>
        <v>0</v>
      </c>
      <c r="I2507" s="1843">
        <v>10</v>
      </c>
      <c r="J2507" s="1842">
        <f>COUNTIF(Elan!$C$13:$F$25,Tablas!E2507)+COUNTIF(Elan!$U$13:$X$25,Tablas!E2507)</f>
        <v>0</v>
      </c>
      <c r="K2507" s="1842"/>
      <c r="L2507" s="5194" t="s">
        <v>8893</v>
      </c>
      <c r="M2507" s="5194"/>
      <c r="N2507" s="5194"/>
      <c r="O2507" s="5194"/>
      <c r="P2507" s="5194"/>
      <c r="Q2507" s="5195"/>
      <c r="R2507" s="2719">
        <f>IF(OR($J2507=0,$J2507="Aprendida"),0,SUM($J$2326:$J2507))</f>
        <v>0</v>
      </c>
      <c r="AB2507" s="413"/>
      <c r="AC2507" s="2795"/>
    </row>
    <row r="2508" spans="1:29" ht="12.75" customHeight="1" x14ac:dyDescent="0.2">
      <c r="A2508" s="2029">
        <v>211</v>
      </c>
      <c r="B2508" s="4995"/>
      <c r="E2508" s="2717" t="str">
        <f>IF(Personalización!$F$43=0,"ElanPersonalizado",Personalización!$F$43)</f>
        <v>ElanPersonalizado</v>
      </c>
      <c r="F2508" s="2707">
        <f>IF(Elan!$C$11=Tablas!$E2508,Elan!$G$11,IF(Elan!$U$11=Tablas!$E2508,Elan!$Y$11,0))</f>
        <v>0</v>
      </c>
      <c r="G2508" s="2708" t="s">
        <v>1133</v>
      </c>
      <c r="H2508" s="2708" t="s">
        <v>2159</v>
      </c>
      <c r="I2508" s="2708" t="s">
        <v>1804</v>
      </c>
      <c r="J2508" s="2708" t="s">
        <v>8374</v>
      </c>
      <c r="K2508" s="2708" t="s">
        <v>9175</v>
      </c>
      <c r="L2508" s="2708" t="s">
        <v>1866</v>
      </c>
      <c r="M2508" s="1839"/>
      <c r="N2508" s="1839"/>
      <c r="O2508" s="1839"/>
      <c r="P2508" s="1839"/>
      <c r="Q2508" s="2713"/>
      <c r="R2508" s="2719">
        <f>IF(OR($J2508=0,$J2508="Aprendida"),0,SUM($J$2326:$J2508))</f>
        <v>0</v>
      </c>
      <c r="AB2508" s="413"/>
      <c r="AC2508" s="2795"/>
    </row>
    <row r="2509" spans="1:29" ht="12.75" customHeight="1" x14ac:dyDescent="0.2">
      <c r="A2509" s="2029">
        <v>211</v>
      </c>
      <c r="B2509" s="4995"/>
      <c r="E2509" s="2716"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194">
        <f>IF(E2509="Poder no definido",0,VLOOKUP(E2509,Personalización!$D$45:$Q$54,6,FALSE))</f>
        <v>0</v>
      </c>
      <c r="M2509" s="5194"/>
      <c r="N2509" s="5194"/>
      <c r="O2509" s="5194"/>
      <c r="P2509" s="5194"/>
      <c r="Q2509" s="5195"/>
      <c r="R2509" s="2719">
        <f>IF(OR($J2509=0,$J2509="Aprendida"),0,SUM($J$2326:$J2509))</f>
        <v>0</v>
      </c>
      <c r="AB2509" s="413"/>
      <c r="AC2509" s="2795"/>
    </row>
    <row r="2510" spans="1:29" ht="12.75" customHeight="1" x14ac:dyDescent="0.2">
      <c r="A2510" s="2029">
        <v>211</v>
      </c>
      <c r="B2510" s="4995"/>
      <c r="E2510" s="2716"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194">
        <f>IF(E2510="Poder no definido",0,VLOOKUP(E2510,Personalización!$D$45:$Q$54,6,FALSE))</f>
        <v>0</v>
      </c>
      <c r="M2510" s="5194"/>
      <c r="N2510" s="5194"/>
      <c r="O2510" s="5194"/>
      <c r="P2510" s="5194"/>
      <c r="Q2510" s="5195"/>
      <c r="R2510" s="2719">
        <f>IF(OR($J2510=0,$J2510="Aprendida"),0,SUM($J$2326:$J2510))</f>
        <v>0</v>
      </c>
      <c r="AB2510" s="413"/>
      <c r="AC2510" s="2795"/>
    </row>
    <row r="2511" spans="1:29" ht="12.75" customHeight="1" x14ac:dyDescent="0.2">
      <c r="A2511" s="2029">
        <v>211</v>
      </c>
      <c r="B2511" s="4995"/>
      <c r="E2511" s="2716"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194">
        <f>IF(E2511="Poder no definido",0,VLOOKUP(E2511,Personalización!$D$45:$Q$54,6,FALSE))</f>
        <v>0</v>
      </c>
      <c r="M2511" s="5194"/>
      <c r="N2511" s="5194"/>
      <c r="O2511" s="5194"/>
      <c r="P2511" s="5194"/>
      <c r="Q2511" s="5195"/>
      <c r="R2511" s="2719">
        <f>IF(OR($J2511=0,$J2511="Aprendida"),0,SUM($J$2326:$J2511))</f>
        <v>0</v>
      </c>
      <c r="AB2511" s="413"/>
      <c r="AC2511" s="2795"/>
    </row>
    <row r="2512" spans="1:29" ht="12.75" customHeight="1" x14ac:dyDescent="0.2">
      <c r="A2512" s="2029">
        <v>211</v>
      </c>
      <c r="B2512" s="4995"/>
      <c r="E2512" s="2716"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194">
        <f>IF(E2512="Poder no definido",0,VLOOKUP(E2512,Personalización!$D$45:$Q$54,6,FALSE))</f>
        <v>0</v>
      </c>
      <c r="M2512" s="5194"/>
      <c r="N2512" s="5194"/>
      <c r="O2512" s="5194"/>
      <c r="P2512" s="5194"/>
      <c r="Q2512" s="5195"/>
      <c r="R2512" s="2719">
        <f>IF(OR($J2512=0,$J2512="Aprendida"),0,SUM($J$2326:$J2512))</f>
        <v>0</v>
      </c>
      <c r="AB2512" s="413"/>
      <c r="AC2512" s="2795"/>
    </row>
    <row r="2513" spans="1:31" ht="12.75" customHeight="1" x14ac:dyDescent="0.2">
      <c r="A2513" s="2029">
        <v>211</v>
      </c>
      <c r="B2513" s="4995"/>
      <c r="E2513" s="2716"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194">
        <f>IF(E2513="Poder no definido",0,VLOOKUP(E2513,Personalización!$D$45:$Q$54,6,FALSE))</f>
        <v>0</v>
      </c>
      <c r="M2513" s="5194"/>
      <c r="N2513" s="5194"/>
      <c r="O2513" s="5194"/>
      <c r="P2513" s="5194"/>
      <c r="Q2513" s="5195"/>
      <c r="R2513" s="2719">
        <f>IF(OR($J2513=0,$J2513="Aprendida"),0,SUM($J$2326:$J2513))</f>
        <v>0</v>
      </c>
      <c r="AB2513" s="413"/>
      <c r="AC2513" s="2795"/>
    </row>
    <row r="2514" spans="1:31" ht="12.75" customHeight="1" x14ac:dyDescent="0.2">
      <c r="A2514" s="2029">
        <v>211</v>
      </c>
      <c r="B2514" s="4995"/>
      <c r="E2514" s="2716"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194">
        <f>IF(E2514="Poder no definido",0,VLOOKUP(E2514,Personalización!$D$45:$Q$54,6,FALSE))</f>
        <v>0</v>
      </c>
      <c r="M2514" s="5194"/>
      <c r="N2514" s="5194"/>
      <c r="O2514" s="5194"/>
      <c r="P2514" s="5194"/>
      <c r="Q2514" s="5195"/>
      <c r="R2514" s="2719">
        <f>IF(OR($J2514=0,$J2514="Aprendida"),0,SUM($J$2326:$J2514))</f>
        <v>0</v>
      </c>
      <c r="AB2514" s="413"/>
      <c r="AC2514" s="2795"/>
    </row>
    <row r="2515" spans="1:31" ht="12.75" customHeight="1" x14ac:dyDescent="0.2">
      <c r="A2515" s="2029">
        <v>211</v>
      </c>
      <c r="B2515" s="4995"/>
      <c r="E2515" s="2716"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194">
        <f>IF(E2515="Poder no definido",0,VLOOKUP(E2515,Personalización!$D$45:$Q$54,6,FALSE))</f>
        <v>0</v>
      </c>
      <c r="M2515" s="5194"/>
      <c r="N2515" s="5194"/>
      <c r="O2515" s="5194"/>
      <c r="P2515" s="5194"/>
      <c r="Q2515" s="5195"/>
      <c r="R2515" s="2719">
        <f>IF(OR($J2515=0,$J2515="Aprendida"),0,SUM($J$2326:$J2515))</f>
        <v>0</v>
      </c>
      <c r="AB2515" s="413"/>
      <c r="AC2515" s="2795"/>
    </row>
    <row r="2516" spans="1:31" ht="12.75" customHeight="1" x14ac:dyDescent="0.2">
      <c r="A2516" s="2029">
        <v>211</v>
      </c>
      <c r="B2516" s="4995"/>
      <c r="E2516" s="2716"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194">
        <f>IF(E2516="Poder no definido",0,VLOOKUP(E2516,Personalización!$D$45:$Q$54,6,FALSE))</f>
        <v>0</v>
      </c>
      <c r="M2516" s="5194"/>
      <c r="N2516" s="5194"/>
      <c r="O2516" s="5194"/>
      <c r="P2516" s="5194"/>
      <c r="Q2516" s="5195"/>
      <c r="R2516" s="2719">
        <f>IF(OR($J2516=0,$J2516="Aprendida"),0,SUM($J$2326:$J2516))</f>
        <v>0</v>
      </c>
      <c r="AB2516" s="413"/>
      <c r="AC2516" s="2795"/>
    </row>
    <row r="2517" spans="1:31" ht="12.75" customHeight="1" x14ac:dyDescent="0.2">
      <c r="A2517" s="2029">
        <v>211</v>
      </c>
      <c r="B2517" s="4995"/>
      <c r="E2517" s="2716"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194">
        <f>IF(E2517="Poder no definido",0,VLOOKUP(E2517,Personalización!$D$45:$Q$54,6,FALSE))</f>
        <v>0</v>
      </c>
      <c r="M2517" s="5194"/>
      <c r="N2517" s="5194"/>
      <c r="O2517" s="5194"/>
      <c r="P2517" s="5194"/>
      <c r="Q2517" s="5195"/>
      <c r="R2517" s="2719">
        <f>IF(OR($J2517=0,$J2517="Aprendida"),0,SUM($J$2326:$J2517))</f>
        <v>0</v>
      </c>
      <c r="AB2517" s="413"/>
      <c r="AC2517" s="2795"/>
    </row>
    <row r="2518" spans="1:31" ht="12.75" customHeight="1" thickBot="1" x14ac:dyDescent="0.25">
      <c r="A2518" s="2029">
        <v>211</v>
      </c>
      <c r="B2518" s="4995"/>
      <c r="E2518" s="2718"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205">
        <f>IF(E2518="Poder no definido",0,VLOOKUP(E2518,Personalización!$D$45:$Q$54,6,FALSE))</f>
        <v>0</v>
      </c>
      <c r="M2518" s="5205"/>
      <c r="N2518" s="5205"/>
      <c r="O2518" s="5205"/>
      <c r="P2518" s="5205"/>
      <c r="Q2518" s="5206"/>
      <c r="R2518" s="1844">
        <f>IF(OR($J2518=0,$J2518="Aprendida"),0,SUM($J$2326:$J2518))</f>
        <v>0</v>
      </c>
      <c r="AB2518" s="413"/>
      <c r="AC2518" s="2795"/>
    </row>
    <row r="2519" spans="1:31" ht="12.75" customHeight="1" x14ac:dyDescent="0.2">
      <c r="A2519" s="2029">
        <v>211</v>
      </c>
      <c r="B2519" s="4995"/>
      <c r="H2519" s="413"/>
      <c r="I2519" s="1761"/>
      <c r="N2519" s="413"/>
      <c r="O2519" s="2112"/>
      <c r="Z2519" s="2795"/>
      <c r="AB2519" s="413"/>
      <c r="AC2519" s="2795"/>
    </row>
    <row r="2520" spans="1:31" ht="12.75" customHeight="1" x14ac:dyDescent="0.2">
      <c r="A2520" s="2029">
        <v>211</v>
      </c>
      <c r="B2520" s="4995"/>
      <c r="H2520" s="413"/>
      <c r="I2520" s="1761"/>
      <c r="N2520" s="413"/>
      <c r="O2520" s="2112"/>
      <c r="Z2520" s="2795"/>
      <c r="AB2520" s="413"/>
      <c r="AC2520" s="2795"/>
    </row>
    <row r="2521" spans="1:31" ht="12.75" customHeight="1" x14ac:dyDescent="0.2">
      <c r="A2521" s="2029">
        <v>211</v>
      </c>
      <c r="B2521" s="4995"/>
      <c r="H2521" s="413"/>
      <c r="I2521" s="1761"/>
      <c r="N2521" s="413"/>
      <c r="O2521" s="2112"/>
      <c r="Z2521" s="2795"/>
      <c r="AB2521" s="413"/>
      <c r="AC2521" s="2795"/>
    </row>
    <row r="2522" spans="1:31" ht="12.75" customHeight="1" x14ac:dyDescent="0.2">
      <c r="A2522" s="2029">
        <v>211</v>
      </c>
      <c r="B2522" s="4995"/>
      <c r="C2522" s="4996" t="s">
        <v>9446</v>
      </c>
      <c r="D2522" s="4996"/>
      <c r="E2522" s="4996"/>
      <c r="F2522" s="4996"/>
      <c r="G2522" s="4996"/>
      <c r="H2522" s="4996"/>
      <c r="I2522" s="4996"/>
      <c r="J2522" s="4996"/>
      <c r="K2522" s="4996"/>
      <c r="L2522" s="4996"/>
      <c r="M2522" s="4996"/>
      <c r="N2522" s="4996"/>
      <c r="O2522" s="4996"/>
      <c r="P2522" s="4996"/>
      <c r="Q2522" s="4996"/>
      <c r="R2522" s="4996"/>
      <c r="S2522" s="4996"/>
      <c r="T2522" s="4996"/>
      <c r="U2522" s="4996"/>
      <c r="V2522" s="4996"/>
      <c r="W2522" s="4996"/>
      <c r="X2522" s="4996"/>
      <c r="Y2522" s="4996"/>
      <c r="Z2522" s="4996"/>
      <c r="AA2522" s="4996"/>
      <c r="AB2522" s="4996"/>
      <c r="AC2522" s="4996"/>
      <c r="AD2522" s="4996"/>
      <c r="AE2522" s="4996"/>
    </row>
    <row r="2523" spans="1:31" ht="12.75" customHeight="1" x14ac:dyDescent="0.2">
      <c r="A2523" s="2029">
        <v>211</v>
      </c>
      <c r="B2523" s="4995"/>
      <c r="C2523" s="4996"/>
      <c r="D2523" s="4996"/>
      <c r="E2523" s="4996"/>
      <c r="F2523" s="4996"/>
      <c r="G2523" s="4996"/>
      <c r="H2523" s="4996"/>
      <c r="I2523" s="4996"/>
      <c r="J2523" s="4996"/>
      <c r="K2523" s="4996"/>
      <c r="L2523" s="4996"/>
      <c r="M2523" s="4996"/>
      <c r="N2523" s="4996"/>
      <c r="O2523" s="4996"/>
      <c r="P2523" s="4996"/>
      <c r="Q2523" s="4996"/>
      <c r="R2523" s="4996"/>
      <c r="S2523" s="4996"/>
      <c r="T2523" s="4996"/>
      <c r="U2523" s="4996"/>
      <c r="V2523" s="4996"/>
      <c r="W2523" s="4996"/>
      <c r="X2523" s="4996"/>
      <c r="Y2523" s="4996"/>
      <c r="Z2523" s="4996"/>
      <c r="AA2523" s="4996"/>
      <c r="AB2523" s="4996"/>
      <c r="AC2523" s="4996"/>
      <c r="AD2523" s="4996"/>
      <c r="AE2523" s="4996"/>
    </row>
    <row r="2524" spans="1:31" ht="12.75" customHeight="1" x14ac:dyDescent="0.2">
      <c r="A2524" s="2029">
        <v>211</v>
      </c>
      <c r="B2524" s="4995"/>
      <c r="C2524" s="4996"/>
      <c r="D2524" s="4996"/>
      <c r="E2524" s="4996"/>
      <c r="F2524" s="4996"/>
      <c r="G2524" s="4996"/>
      <c r="H2524" s="4996"/>
      <c r="I2524" s="4996"/>
      <c r="J2524" s="4996"/>
      <c r="K2524" s="4996"/>
      <c r="L2524" s="4996"/>
      <c r="M2524" s="4996"/>
      <c r="N2524" s="4996"/>
      <c r="O2524" s="4996"/>
      <c r="P2524" s="4996"/>
      <c r="Q2524" s="4996"/>
      <c r="R2524" s="4996"/>
      <c r="S2524" s="4996"/>
      <c r="T2524" s="4996"/>
      <c r="U2524" s="4996"/>
      <c r="V2524" s="4996"/>
      <c r="W2524" s="4996"/>
      <c r="X2524" s="4996"/>
      <c r="Y2524" s="4996"/>
      <c r="Z2524" s="4996"/>
      <c r="AA2524" s="4996"/>
      <c r="AB2524" s="4996"/>
      <c r="AC2524" s="4996"/>
      <c r="AD2524" s="4996"/>
      <c r="AE2524" s="4996"/>
    </row>
    <row r="2525" spans="1:31" ht="12.75" customHeight="1" thickBot="1" x14ac:dyDescent="0.25">
      <c r="A2525" s="2029">
        <v>211</v>
      </c>
      <c r="B2525" s="4995"/>
      <c r="H2525" s="413"/>
      <c r="I2525" s="1761"/>
      <c r="N2525" s="413"/>
      <c r="O2525" s="2112"/>
      <c r="Z2525" s="2795"/>
      <c r="AB2525" s="413"/>
      <c r="AC2525" s="2795"/>
    </row>
    <row r="2526" spans="1:31" ht="12.75" customHeight="1" thickBot="1" x14ac:dyDescent="0.25">
      <c r="A2526" s="2029">
        <v>211</v>
      </c>
      <c r="B2526" s="4995"/>
      <c r="C2526" s="5112" t="s">
        <v>913</v>
      </c>
      <c r="D2526" s="5112"/>
      <c r="E2526" s="5112"/>
      <c r="F2526" s="603"/>
      <c r="G2526" s="3169" t="s">
        <v>914</v>
      </c>
      <c r="H2526" s="3169"/>
      <c r="I2526" s="1761"/>
      <c r="J2526" s="3169" t="s">
        <v>917</v>
      </c>
      <c r="K2526" s="3169"/>
      <c r="N2526" s="413"/>
      <c r="O2526" s="2112"/>
      <c r="AB2526" s="413"/>
      <c r="AC2526" s="2795"/>
    </row>
    <row r="2527" spans="1:31" ht="12.75" customHeight="1" thickBot="1" x14ac:dyDescent="0.25">
      <c r="A2527" s="2029">
        <v>211</v>
      </c>
      <c r="B2527" s="4995"/>
      <c r="C2527" s="5112"/>
      <c r="D2527" s="5112"/>
      <c r="E2527" s="5112"/>
      <c r="F2527" s="603"/>
      <c r="G2527" s="3169"/>
      <c r="H2527" s="3169"/>
      <c r="I2527" s="1761"/>
      <c r="J2527" s="3169"/>
      <c r="K2527" s="3169"/>
      <c r="N2527" s="413"/>
      <c r="O2527" s="2112"/>
      <c r="AB2527" s="413"/>
      <c r="AC2527" s="2795"/>
    </row>
    <row r="2528" spans="1:31" ht="12.75" customHeight="1" x14ac:dyDescent="0.2">
      <c r="A2528" s="2029">
        <v>211</v>
      </c>
      <c r="B2528" s="4995"/>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5"/>
    </row>
    <row r="2529" spans="1:29" ht="12.75" customHeight="1" x14ac:dyDescent="0.2">
      <c r="A2529" s="2029">
        <v>211</v>
      </c>
      <c r="B2529" s="4995"/>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5"/>
    </row>
    <row r="2530" spans="1:29" ht="12.75" customHeight="1" x14ac:dyDescent="0.2">
      <c r="A2530" s="2029">
        <v>211</v>
      </c>
      <c r="B2530" s="4995"/>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5"/>
    </row>
    <row r="2531" spans="1:29" ht="12.75" customHeight="1" x14ac:dyDescent="0.2">
      <c r="A2531" s="2029">
        <v>211</v>
      </c>
      <c r="B2531" s="4995"/>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5"/>
    </row>
    <row r="2532" spans="1:29" ht="12.75" customHeight="1" thickBot="1" x14ac:dyDescent="0.25">
      <c r="A2532" s="2029">
        <v>211</v>
      </c>
      <c r="B2532" s="4995"/>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5"/>
    </row>
    <row r="2533" spans="1:29" ht="12.75" customHeight="1" x14ac:dyDescent="0.2">
      <c r="A2533" s="2029">
        <v>211</v>
      </c>
      <c r="B2533" s="4995"/>
      <c r="C2533" s="615" t="str">
        <f>IF(Ki!$P$16="-",", "&amp;Ki!$L$16,"")</f>
        <v/>
      </c>
      <c r="D2533" s="68"/>
      <c r="E2533" s="69"/>
      <c r="F2533" s="603"/>
      <c r="G2533" s="65" t="str">
        <f>IF(AND(SUM(Místicos!G15:G19)&gt;0,Místicos!H20&gt;0),", ","")&amp;IF(Místicos!H20&gt;0,Místicos!H20&amp;" Tierra","")</f>
        <v/>
      </c>
      <c r="H2533" s="69"/>
      <c r="I2533" s="1761"/>
      <c r="N2533" s="413"/>
      <c r="O2533" s="2112"/>
      <c r="AB2533" s="413"/>
      <c r="AC2533" s="2795"/>
    </row>
    <row r="2534" spans="1:29" ht="12.75" customHeight="1" x14ac:dyDescent="0.2">
      <c r="A2534" s="2029">
        <v>211</v>
      </c>
      <c r="B2534" s="4995"/>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5"/>
    </row>
    <row r="2535" spans="1:29" ht="12.75" customHeight="1" x14ac:dyDescent="0.2">
      <c r="A2535" s="2029">
        <v>211</v>
      </c>
      <c r="B2535" s="4995"/>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5"/>
    </row>
    <row r="2536" spans="1:29" ht="12.75" customHeight="1" x14ac:dyDescent="0.2">
      <c r="A2536" s="2029">
        <v>211</v>
      </c>
      <c r="B2536" s="4995"/>
      <c r="C2536" s="615" t="str">
        <f>IF(Ki!$P$19="-",", "&amp;Ki!$M$19,"")</f>
        <v/>
      </c>
      <c r="D2536" s="68"/>
      <c r="E2536" s="69"/>
      <c r="G2536" s="65" t="str">
        <f>IF(AND(SUM(Místicos!G15:G22)&gt;0,Místicos!H23&gt;0),", ","")&amp;IF(Místicos!H23&gt;0,Místicos!H23&amp;" Esencia","")</f>
        <v/>
      </c>
      <c r="H2536" s="69"/>
      <c r="I2536" s="1761"/>
      <c r="N2536" s="413"/>
      <c r="O2536" s="2112"/>
      <c r="AB2536" s="413"/>
      <c r="AC2536" s="2795"/>
    </row>
    <row r="2537" spans="1:29" ht="12.75" customHeight="1" x14ac:dyDescent="0.2">
      <c r="A2537" s="2029">
        <v>211</v>
      </c>
      <c r="B2537" s="4995"/>
      <c r="C2537" s="615" t="str">
        <f>IF(Ki!$P$20="-",", "&amp;Ki!$N$20,"")</f>
        <v/>
      </c>
      <c r="D2537" s="68"/>
      <c r="E2537" s="69"/>
      <c r="G2537" s="65" t="str">
        <f>IF(AND(SUM(Místicos!G15:G23)&gt;0,Místicos!H24&gt;0),", ","")&amp;IF(Místicos!H24&gt;0,Místicos!H24&amp;" Ilusión","")</f>
        <v/>
      </c>
      <c r="H2537" s="69"/>
      <c r="I2537" s="1761"/>
      <c r="N2537" s="413"/>
      <c r="O2537" s="2112"/>
      <c r="AB2537" s="413"/>
      <c r="AC2537" s="2795"/>
    </row>
    <row r="2538" spans="1:29" ht="12.75" customHeight="1" x14ac:dyDescent="0.2">
      <c r="A2538" s="2029">
        <v>211</v>
      </c>
      <c r="B2538" s="4995"/>
      <c r="C2538" s="615" t="str">
        <f>IF(Ki!$P$21="-",", "&amp;"Mult. arcana","")</f>
        <v/>
      </c>
      <c r="D2538" s="68"/>
      <c r="E2538" s="69"/>
      <c r="G2538" s="65" t="str">
        <f>IF(AND(SUM(Místicos!G15:G24)&gt;0,Místicos!H25&gt;0),", ","")&amp;IF(Místicos!H25&gt;0,Místicos!H25&amp;" Nigromancia","")</f>
        <v/>
      </c>
      <c r="H2538" s="69"/>
      <c r="I2538" s="1761"/>
      <c r="N2538" s="413"/>
      <c r="O2538" s="2112"/>
      <c r="AB2538" s="413"/>
      <c r="AC2538" s="2795"/>
    </row>
    <row r="2539" spans="1:29" ht="12.75" customHeight="1" thickBot="1" x14ac:dyDescent="0.25">
      <c r="A2539" s="2029">
        <v>211</v>
      </c>
      <c r="B2539" s="4995"/>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5"/>
    </row>
    <row r="2540" spans="1:29" ht="12.75" customHeight="1" thickBot="1" x14ac:dyDescent="0.25">
      <c r="A2540" s="2029">
        <v>211</v>
      </c>
      <c r="B2540" s="4995"/>
      <c r="C2540" s="615" t="str">
        <f>IF(Ki!$P$23="-",", "&amp;"Mag. arcana","")</f>
        <v/>
      </c>
      <c r="D2540" s="68"/>
      <c r="E2540" s="69"/>
      <c r="H2540" s="413"/>
      <c r="I2540" s="1761"/>
      <c r="N2540" s="413"/>
      <c r="O2540" s="2112"/>
      <c r="AB2540" s="413"/>
      <c r="AC2540" s="2795"/>
    </row>
    <row r="2541" spans="1:29" ht="12.75" customHeight="1" x14ac:dyDescent="0.2">
      <c r="A2541" s="2029">
        <v>211</v>
      </c>
      <c r="B2541" s="4995"/>
      <c r="C2541" s="615" t="str">
        <f>IF(Ki!$P$24="-",", "&amp;Ki!$M$24,"")</f>
        <v/>
      </c>
      <c r="D2541" s="68"/>
      <c r="E2541" s="69"/>
      <c r="G2541" s="3125" t="s">
        <v>915</v>
      </c>
      <c r="H2541" s="3126"/>
      <c r="I2541" s="3126"/>
      <c r="J2541" s="3127"/>
      <c r="K2541" s="5079" t="s">
        <v>8356</v>
      </c>
      <c r="L2541" s="3069"/>
      <c r="M2541" s="3070" t="s">
        <v>1677</v>
      </c>
      <c r="N2541" s="5033" t="s">
        <v>8337</v>
      </c>
      <c r="O2541" s="5033" t="s">
        <v>8358</v>
      </c>
      <c r="P2541" s="5033" t="s">
        <v>8355</v>
      </c>
      <c r="Q2541" s="5136" t="s">
        <v>8339</v>
      </c>
      <c r="R2541" s="5079"/>
      <c r="S2541" s="5136" t="s">
        <v>8353</v>
      </c>
      <c r="T2541" s="5137"/>
      <c r="U2541" s="5033" t="s">
        <v>8359</v>
      </c>
      <c r="V2541" s="5033" t="s">
        <v>1512</v>
      </c>
      <c r="AB2541" s="413"/>
      <c r="AC2541" s="2795"/>
    </row>
    <row r="2542" spans="1:29" ht="12.75" customHeight="1" x14ac:dyDescent="0.2">
      <c r="A2542" s="2029">
        <v>211</v>
      </c>
      <c r="B2542" s="4995"/>
      <c r="C2542" s="615" t="str">
        <f>IF(Ki!$P$25="-",", "&amp;Ki!$L$25,"")</f>
        <v/>
      </c>
      <c r="D2542" s="68"/>
      <c r="E2542" s="69"/>
      <c r="G2542" s="4811"/>
      <c r="H2542" s="5076"/>
      <c r="I2542" s="5076"/>
      <c r="J2542" s="5077"/>
      <c r="K2542" s="5080"/>
      <c r="L2542" s="1934"/>
      <c r="M2542" s="1933"/>
      <c r="N2542" s="5034"/>
      <c r="O2542" s="5034"/>
      <c r="P2542" s="5034"/>
      <c r="Q2542" s="3071" t="s">
        <v>8351</v>
      </c>
      <c r="R2542" s="2897" t="s">
        <v>8352</v>
      </c>
      <c r="S2542" s="5138"/>
      <c r="T2542" s="5139"/>
      <c r="U2542" s="5034"/>
      <c r="V2542" s="5034"/>
      <c r="AB2542" s="413"/>
      <c r="AC2542" s="2795"/>
    </row>
    <row r="2543" spans="1:29" ht="12.75" customHeight="1" x14ac:dyDescent="0.2">
      <c r="A2543" s="2029">
        <v>211</v>
      </c>
      <c r="B2543" s="4995"/>
      <c r="C2543" s="615" t="str">
        <f>IF(Ki!$P$26="-",", "&amp;Ki!$L$26,"")</f>
        <v/>
      </c>
      <c r="D2543" s="68"/>
      <c r="E2543" s="69"/>
      <c r="G2543" s="1799" t="str">
        <f t="shared" ref="G2543:G2574" si="115">IF(AND(T2543&gt;0,NOT(R2543="")),", "&amp;R2543,R2543)</f>
        <v/>
      </c>
      <c r="H2543" s="68"/>
      <c r="I2543" s="68"/>
      <c r="J2543" s="1807"/>
      <c r="K2543" s="3072" t="b">
        <f>AND(NOT(Acrobacias_final="-"),OR(PDs!T126&gt;4,PDs!W126&gt;0,PDs!X126&gt;0,$G$303&gt;0))</f>
        <v>0</v>
      </c>
      <c r="L2543" s="3073" t="s">
        <v>1717</v>
      </c>
      <c r="M2543" s="3074"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5" t="str">
        <f>IF(PDs!I126=0,"","("&amp;PDs!I126&amp;")")</f>
        <v/>
      </c>
      <c r="O2543" s="3076" t="str">
        <f>LEFT(PDs!AG126,2)</f>
        <v>0</v>
      </c>
      <c r="P2543" s="3076" t="str">
        <f>IF(PDs!AI126,MID(PDs!AH126,4,25)&amp;MID(PDs!AG126,4,25),"")</f>
        <v/>
      </c>
      <c r="Q2543" s="3077">
        <f t="shared" ref="Q2543:Q2574" si="116">COUNTIF($L$2543:$L$2598,"&lt;="&amp;L2543)</f>
        <v>1</v>
      </c>
      <c r="R2543" s="3077" t="str">
        <f>INDEX($M$2543:$M$2598,MATCH(ROWS($Q$2543:Q2543),$Q$2543:$Q$2598,0))</f>
        <v/>
      </c>
      <c r="S2543" s="3073">
        <v>0</v>
      </c>
      <c r="T2543" s="1809">
        <v>0</v>
      </c>
      <c r="U2543" s="5084" t="s">
        <v>9225</v>
      </c>
      <c r="V2543" s="3085">
        <f>Principal!O22</f>
        <v>0</v>
      </c>
      <c r="AB2543" s="413"/>
      <c r="AC2543" s="2795"/>
    </row>
    <row r="2544" spans="1:29" ht="12.75" customHeight="1" x14ac:dyDescent="0.2">
      <c r="A2544" s="2029">
        <v>211</v>
      </c>
      <c r="B2544" s="4995"/>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str">
        <f>LEFT(PDs!AG127,2)</f>
        <v>0</v>
      </c>
      <c r="P2544" s="1813" t="str">
        <f>IF(PDs!AI127,MID(PDs!AH127,4,25)&amp;MID(PDs!AG127,4,25),"")</f>
        <v/>
      </c>
      <c r="Q2544" s="1814">
        <f t="shared" si="116"/>
        <v>7</v>
      </c>
      <c r="R2544" s="1814" t="str">
        <f>INDEX($M$2543:$M$2598,MATCH(ROWS($Q$2543:Q2544),$Q$2543:$Q$2598,0))</f>
        <v/>
      </c>
      <c r="S2544" s="1812">
        <f>IF(R2543="",0,1)</f>
        <v>0</v>
      </c>
      <c r="T2544" s="1815">
        <f>SUM($S$2544:S2544)</f>
        <v>0</v>
      </c>
      <c r="U2544" s="5085"/>
      <c r="V2544" s="3085">
        <f>Principal!O23</f>
        <v>0</v>
      </c>
      <c r="AB2544" s="413"/>
      <c r="AC2544" s="2795"/>
    </row>
    <row r="2545" spans="1:29" ht="12.75" customHeight="1" x14ac:dyDescent="0.2">
      <c r="A2545" s="2029">
        <v>211</v>
      </c>
      <c r="B2545" s="4995"/>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str">
        <f>LEFT(PDs!AG128,2)</f>
        <v>20</v>
      </c>
      <c r="P2545" s="1813" t="str">
        <f>IF(PDs!AI128,MID(PDs!AH128,4,25)&amp;MID(PDs!AG128,4,25),"")</f>
        <v/>
      </c>
      <c r="Q2545" s="1814">
        <f t="shared" si="116"/>
        <v>29</v>
      </c>
      <c r="R2545" s="1814" t="str">
        <f>INDEX($M$2543:$M$2598,MATCH(ROWS($Q$2543:Q2545),$Q$2543:$Q$2598,0))</f>
        <v/>
      </c>
      <c r="S2545" s="1812">
        <f t="shared" ref="S2545:S2598" si="117">IF(R2544="",0,1)</f>
        <v>0</v>
      </c>
      <c r="T2545" s="1815">
        <f>SUM($S$2544:S2545)</f>
        <v>0</v>
      </c>
      <c r="U2545" s="5085"/>
      <c r="V2545" s="3085">
        <f>Principal!O24</f>
        <v>0</v>
      </c>
      <c r="AB2545" s="413"/>
      <c r="AC2545" s="2795"/>
    </row>
    <row r="2546" spans="1:29" ht="12.75" customHeight="1" x14ac:dyDescent="0.2">
      <c r="A2546" s="2029">
        <v>211</v>
      </c>
      <c r="B2546" s="4995"/>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str">
        <f>LEFT(PDs!AG129,2)</f>
        <v>0</v>
      </c>
      <c r="P2546" s="1813" t="str">
        <f>IF(PDs!AI129,MID(PDs!AH129,4,25)&amp;MID(PDs!AG129,4,25),"")</f>
        <v/>
      </c>
      <c r="Q2546" s="1814">
        <f t="shared" si="116"/>
        <v>31</v>
      </c>
      <c r="R2546" s="1814" t="str">
        <f>INDEX($M$2543:$M$2598,MATCH(ROWS($Q$2543:Q2546),$Q$2543:$Q$2598,0))</f>
        <v/>
      </c>
      <c r="S2546" s="1812">
        <f t="shared" si="117"/>
        <v>0</v>
      </c>
      <c r="T2546" s="1815">
        <f>SUM($S$2544:S2546)</f>
        <v>0</v>
      </c>
      <c r="U2546" s="5085"/>
      <c r="V2546" s="3085">
        <f>Principal!O25</f>
        <v>0</v>
      </c>
      <c r="AB2546" s="413"/>
      <c r="AC2546" s="2795"/>
    </row>
    <row r="2547" spans="1:29" ht="12.75" customHeight="1" x14ac:dyDescent="0.2">
      <c r="A2547" s="2029">
        <v>211</v>
      </c>
      <c r="B2547" s="4995"/>
      <c r="C2547" s="615" t="str">
        <f>IF(Ki!$P$30="-",", "&amp;Ki!$M$30,"")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str">
        <f>LEFT(PDs!AG130,2)</f>
        <v>0</v>
      </c>
      <c r="P2547" s="1813" t="str">
        <f>IF(PDs!AI130,MID(PDs!AH130,4,25)&amp;MID(PDs!AG130,4,25),"")</f>
        <v/>
      </c>
      <c r="Q2547" s="1814">
        <f t="shared" si="116"/>
        <v>49</v>
      </c>
      <c r="R2547" s="1814" t="str">
        <f>INDEX($M$2543:$M$2598,MATCH(ROWS($Q$2543:Q2547),$Q$2543:$Q$2598,0))</f>
        <v/>
      </c>
      <c r="S2547" s="1812">
        <f t="shared" si="117"/>
        <v>0</v>
      </c>
      <c r="T2547" s="1815">
        <f>SUM($S$2544:S2547)</f>
        <v>0</v>
      </c>
      <c r="U2547" s="5085"/>
      <c r="V2547" s="3085">
        <f>Principal!O26</f>
        <v>0</v>
      </c>
      <c r="AB2547" s="413"/>
      <c r="AC2547" s="2795"/>
    </row>
    <row r="2548" spans="1:29" ht="12.75" customHeight="1" x14ac:dyDescent="0.2">
      <c r="A2548" s="2029">
        <v>211</v>
      </c>
      <c r="B2548" s="4995"/>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str">
        <f>LEFT(PDs!AG131,2)</f>
        <v>0</v>
      </c>
      <c r="P2548" s="1813" t="str">
        <f>IF(PDs!AI131,MID(PDs!AH131,4,25)&amp;MID(PDs!AG131,4,25),"")</f>
        <v/>
      </c>
      <c r="Q2548" s="1814">
        <f t="shared" si="116"/>
        <v>43</v>
      </c>
      <c r="R2548" s="1814" t="str">
        <f>INDEX($M$2543:$M$2598,MATCH(ROWS($Q$2543:Q2548),$Q$2543:$Q$2598,0))</f>
        <v/>
      </c>
      <c r="S2548" s="1812">
        <f t="shared" si="117"/>
        <v>0</v>
      </c>
      <c r="T2548" s="1815">
        <f>SUM($S$2544:S2548)</f>
        <v>0</v>
      </c>
      <c r="U2548" s="5085"/>
      <c r="V2548" s="3085">
        <f>Principal!O27</f>
        <v>0</v>
      </c>
      <c r="AB2548" s="413"/>
      <c r="AC2548" s="2795"/>
    </row>
    <row r="2549" spans="1:29" ht="12.75" customHeight="1" x14ac:dyDescent="0.2">
      <c r="A2549" s="2029">
        <v>211</v>
      </c>
      <c r="B2549" s="4995"/>
      <c r="C2549" s="615" t="str">
        <f>IF(Ki!$P$32="-",", "&amp;Ki!$K$32,"")</f>
        <v/>
      </c>
      <c r="D2549" s="68"/>
      <c r="E2549" s="69"/>
      <c r="G2549" s="1799" t="str">
        <f t="shared" si="115"/>
        <v/>
      </c>
      <c r="H2549" s="68"/>
      <c r="I2549" s="68"/>
      <c r="J2549" s="1807"/>
      <c r="K2549" s="2352" t="b">
        <f>AND(NOT(Pilotar_final="-"),OR(PDs!T132&gt;4,PDs!W132&gt;0,PDs!X132&gt;0,$G$303&gt;0))</f>
        <v>0</v>
      </c>
      <c r="L2549" s="1812" t="s">
        <v>8229</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str">
        <f>LEFT(PDs!AG132,2)</f>
        <v>0</v>
      </c>
      <c r="P2549" s="1813" t="str">
        <f>IF(PDs!AI132,MID(PDs!AH132,4,25)&amp;MID(PDs!AG132,4,25),"")</f>
        <v/>
      </c>
      <c r="Q2549" s="1814">
        <f t="shared" si="116"/>
        <v>38</v>
      </c>
      <c r="R2549" s="1814" t="str">
        <f>INDEX($M$2543:$M$2598,MATCH(ROWS($Q$2543:Q2549),$Q$2543:$Q$2598,0))</f>
        <v/>
      </c>
      <c r="S2549" s="1812">
        <f t="shared" si="117"/>
        <v>0</v>
      </c>
      <c r="T2549" s="1815">
        <f>SUM($S$2544:S2549)</f>
        <v>0</v>
      </c>
      <c r="U2549" s="5085"/>
      <c r="V2549" s="3085">
        <f>Principal!O28</f>
        <v>0</v>
      </c>
      <c r="AB2549" s="413"/>
      <c r="AC2549" s="2795"/>
    </row>
    <row r="2550" spans="1:29" ht="12.75" customHeight="1" x14ac:dyDescent="0.2">
      <c r="A2550" s="2029">
        <v>211</v>
      </c>
      <c r="B2550" s="4995"/>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str">
        <f>LEFT(PDs!AG133,2)</f>
        <v>20</v>
      </c>
      <c r="P2550" s="1813" t="str">
        <f>IF(PDs!AI133,MID(PDs!AH133,4,25)&amp;MID(PDs!AG133,4,25),"")</f>
        <v/>
      </c>
      <c r="Q2550" s="1814">
        <f t="shared" si="116"/>
        <v>18</v>
      </c>
      <c r="R2550" s="1814" t="str">
        <f>INDEX($M$2543:$M$2598,MATCH(ROWS($Q$2543:Q2550),$Q$2543:$Q$2598,0))</f>
        <v/>
      </c>
      <c r="S2550" s="1812">
        <f t="shared" si="117"/>
        <v>0</v>
      </c>
      <c r="T2550" s="1815">
        <f>SUM($S$2544:S2550)</f>
        <v>0</v>
      </c>
      <c r="U2550" s="5085"/>
      <c r="V2550" s="3085">
        <f>Principal!O29</f>
        <v>0</v>
      </c>
      <c r="AB2550" s="413"/>
      <c r="AC2550" s="2795"/>
    </row>
    <row r="2551" spans="1:29" ht="12.75" customHeight="1" x14ac:dyDescent="0.2">
      <c r="A2551" s="2029">
        <v>211</v>
      </c>
      <c r="B2551" s="4995"/>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str">
        <f>LEFT(PDs!AG134,2)</f>
        <v>0</v>
      </c>
      <c r="P2551" s="1813" t="str">
        <f>IF(PDs!AI134,MID(PDs!AH134,4,25)&amp;MID(PDs!AG134,4,25),"")</f>
        <v/>
      </c>
      <c r="Q2551" s="1814">
        <f t="shared" si="116"/>
        <v>24</v>
      </c>
      <c r="R2551" s="1814" t="str">
        <f>INDEX($M$2543:$M$2598,MATCH(ROWS($Q$2543:Q2551),$Q$2543:$Q$2598,0))</f>
        <v/>
      </c>
      <c r="S2551" s="1812">
        <f t="shared" si="117"/>
        <v>0</v>
      </c>
      <c r="T2551" s="1815">
        <f>SUM($S$2544:S2551)</f>
        <v>0</v>
      </c>
      <c r="U2551" s="5085"/>
      <c r="V2551" s="3085">
        <f>Principal!O30</f>
        <v>0</v>
      </c>
      <c r="AB2551" s="413"/>
      <c r="AC2551" s="2795"/>
    </row>
    <row r="2552" spans="1:29" ht="12.75" customHeight="1" x14ac:dyDescent="0.2">
      <c r="A2552" s="2029">
        <v>211</v>
      </c>
      <c r="B2552" s="4995"/>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str">
        <f>LEFT(PDs!AG135,2)</f>
        <v>40</v>
      </c>
      <c r="P2552" s="1813" t="str">
        <f>IF(PDs!AI135,MID(PDs!AH135,4,25)&amp;MID(PDs!AG135,4,25),"")</f>
        <v/>
      </c>
      <c r="Q2552" s="1814">
        <f t="shared" si="116"/>
        <v>26</v>
      </c>
      <c r="R2552" s="1814" t="str">
        <f>INDEX($M$2543:$M$2598,MATCH(ROWS($Q$2543:Q2552),$Q$2543:$Q$2598,0))</f>
        <v/>
      </c>
      <c r="S2552" s="1812">
        <f t="shared" si="117"/>
        <v>0</v>
      </c>
      <c r="T2552" s="1815">
        <f>SUM($S$2544:S2552)</f>
        <v>0</v>
      </c>
      <c r="U2552" s="5085"/>
      <c r="V2552" s="3085">
        <f>Principal!O31</f>
        <v>0</v>
      </c>
      <c r="AB2552" s="413"/>
      <c r="AC2552" s="2795"/>
    </row>
    <row r="2553" spans="1:29" ht="12.75" customHeight="1" x14ac:dyDescent="0.2">
      <c r="A2553" s="2029">
        <v>211</v>
      </c>
      <c r="B2553" s="4995"/>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str">
        <f>LEFT(PDs!AG136,2)</f>
        <v>20</v>
      </c>
      <c r="P2553" s="1819" t="str">
        <f>IF(PDs!AI136,MID(PDs!AH136,4,25)&amp;MID(PDs!AG136,4,25),"")</f>
        <v/>
      </c>
      <c r="Q2553" s="1814">
        <f t="shared" si="116"/>
        <v>37</v>
      </c>
      <c r="R2553" s="1814" t="str">
        <f>INDEX($M$2543:$M$2598,MATCH(ROWS($Q$2543:Q2553),$Q$2543:$Q$2598,0))</f>
        <v/>
      </c>
      <c r="S2553" s="1812">
        <f t="shared" si="117"/>
        <v>0</v>
      </c>
      <c r="T2553" s="1815">
        <f>SUM($S$2544:S2553)</f>
        <v>0</v>
      </c>
      <c r="U2553" s="5085"/>
      <c r="V2553" s="3085">
        <f>Principal!O32</f>
        <v>0</v>
      </c>
      <c r="AB2553" s="413"/>
      <c r="AC2553" s="2795"/>
    </row>
    <row r="2554" spans="1:29" ht="12.75" customHeight="1" x14ac:dyDescent="0.2">
      <c r="A2554" s="2029">
        <v>211</v>
      </c>
      <c r="B2554" s="4995"/>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str">
        <f>LEFT(PDs!AG137,2)</f>
        <v>0</v>
      </c>
      <c r="P2554" s="1813" t="str">
        <f>IF(PDs!AI137,MID(PDs!AH137,4,25)&amp;MID(PDs!AG137,4,25),"")</f>
        <v/>
      </c>
      <c r="Q2554" s="1814">
        <f t="shared" si="116"/>
        <v>14</v>
      </c>
      <c r="R2554" s="1814" t="str">
        <f>INDEX($M$2543:$M$2598,MATCH(ROWS($Q$2543:Q2554),$Q$2543:$Q$2598,0))</f>
        <v/>
      </c>
      <c r="S2554" s="1812">
        <f t="shared" si="117"/>
        <v>0</v>
      </c>
      <c r="T2554" s="1815">
        <f>SUM($S$2544:S2554)</f>
        <v>0</v>
      </c>
      <c r="U2554" s="5085"/>
      <c r="V2554" s="3085">
        <f>Principal!O33</f>
        <v>0</v>
      </c>
      <c r="AB2554" s="413"/>
      <c r="AC2554" s="2795"/>
    </row>
    <row r="2555" spans="1:29" ht="12.75" customHeight="1" x14ac:dyDescent="0.2">
      <c r="A2555" s="2029">
        <v>211</v>
      </c>
      <c r="B2555" s="4995"/>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8357</v>
      </c>
      <c r="Q2555" s="1814">
        <f t="shared" si="116"/>
        <v>11</v>
      </c>
      <c r="R2555" s="1814" t="str">
        <f>INDEX($M$2543:$M$2598,MATCH(ROWS($Q$2543:Q2555),$Q$2543:$Q$2598,0))</f>
        <v/>
      </c>
      <c r="S2555" s="1812">
        <f t="shared" si="117"/>
        <v>0</v>
      </c>
      <c r="T2555" s="1815">
        <f>SUM($S$2544:S2555)</f>
        <v>0</v>
      </c>
      <c r="U2555" s="5085"/>
      <c r="V2555" s="3085">
        <f>Principal!O34</f>
        <v>0</v>
      </c>
      <c r="AB2555" s="413"/>
      <c r="AC2555" s="2795"/>
    </row>
    <row r="2556" spans="1:29" ht="12.75" customHeight="1" x14ac:dyDescent="0.2">
      <c r="A2556" s="2029">
        <v>211</v>
      </c>
      <c r="B2556" s="4995"/>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str">
        <f>LEFT(PDs!AG139,2)</f>
        <v>0</v>
      </c>
      <c r="P2556" s="1813" t="str">
        <f>IF(PDs!AI139,MID(PDs!AH139,4,25)&amp;MID(PDs!AG139,4,25),"")</f>
        <v/>
      </c>
      <c r="Q2556" s="1814">
        <f t="shared" si="116"/>
        <v>19</v>
      </c>
      <c r="R2556" s="1814" t="str">
        <f>INDEX($M$2543:$M$2598,MATCH(ROWS($Q$2543:Q2556),$Q$2543:$Q$2598,0))</f>
        <v/>
      </c>
      <c r="S2556" s="1812">
        <f t="shared" si="117"/>
        <v>0</v>
      </c>
      <c r="T2556" s="1815">
        <f>SUM($S$2544:S2556)</f>
        <v>0</v>
      </c>
      <c r="U2556" s="5085"/>
      <c r="V2556" s="3085">
        <f>Principal!O35</f>
        <v>0</v>
      </c>
      <c r="AB2556" s="413"/>
      <c r="AC2556" s="2795"/>
    </row>
    <row r="2557" spans="1:29" ht="12.75" customHeight="1" x14ac:dyDescent="0.2">
      <c r="A2557" s="2029">
        <v>211</v>
      </c>
      <c r="B2557" s="4995"/>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str">
        <f>LEFT(PDs!AG140,2)</f>
        <v>0</v>
      </c>
      <c r="P2557" s="1813" t="str">
        <f>IF(PDs!AI140,MID(PDs!AH140,4,25)&amp;MID(PDs!AG140,4,25),"")</f>
        <v/>
      </c>
      <c r="Q2557" s="1814">
        <f t="shared" si="116"/>
        <v>2</v>
      </c>
      <c r="R2557" s="1814" t="str">
        <f>INDEX($M$2543:$M$2598,MATCH(ROWS($Q$2543:Q2557),$Q$2543:$Q$2598,0))</f>
        <v/>
      </c>
      <c r="S2557" s="1812">
        <f t="shared" si="117"/>
        <v>0</v>
      </c>
      <c r="T2557" s="1815">
        <f>SUM($S$2544:S2557)</f>
        <v>0</v>
      </c>
      <c r="U2557" s="5085"/>
      <c r="V2557" s="3085">
        <f>Principal!O36</f>
        <v>0</v>
      </c>
      <c r="AB2557" s="413"/>
      <c r="AC2557" s="2795"/>
    </row>
    <row r="2558" spans="1:29" ht="12.75" customHeight="1" x14ac:dyDescent="0.2">
      <c r="A2558" s="2029">
        <v>211</v>
      </c>
      <c r="B2558" s="4995"/>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str">
        <f>LEFT(PDs!AG141,2)</f>
        <v>0</v>
      </c>
      <c r="P2558" s="1813" t="str">
        <f>IF(PDs!AI141,MID(PDs!AH141,4,25)&amp;MID(PDs!AG141,4,25),"")</f>
        <v/>
      </c>
      <c r="Q2558" s="1814">
        <f t="shared" si="116"/>
        <v>9</v>
      </c>
      <c r="R2558" s="1814" t="str">
        <f>INDEX($M$2543:$M$2598,MATCH(ROWS($Q$2543:Q2558),$Q$2543:$Q$2598,0))</f>
        <v/>
      </c>
      <c r="S2558" s="1812">
        <f t="shared" si="117"/>
        <v>0</v>
      </c>
      <c r="T2558" s="1815">
        <f>SUM($S$2544:S2558)</f>
        <v>0</v>
      </c>
      <c r="U2558" s="5085"/>
      <c r="V2558" s="3085">
        <f>Principal!O37</f>
        <v>0</v>
      </c>
      <c r="AB2558" s="413"/>
      <c r="AC2558" s="2795"/>
    </row>
    <row r="2559" spans="1:29" ht="12.75" customHeight="1" x14ac:dyDescent="0.2">
      <c r="A2559" s="2029">
        <v>211</v>
      </c>
      <c r="B2559" s="4995"/>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str">
        <f>LEFT(PDs!AG142,2)</f>
        <v>0</v>
      </c>
      <c r="P2559" s="1813" t="str">
        <f>IF(PDs!AI142,MID(PDs!AH142,4,25)&amp;MID(PDs!AG142,4,25),"")</f>
        <v/>
      </c>
      <c r="Q2559" s="1814">
        <f t="shared" si="116"/>
        <v>39</v>
      </c>
      <c r="R2559" s="1814" t="str">
        <f>INDEX($M$2543:$M$2598,MATCH(ROWS($Q$2543:Q2559),$Q$2543:$Q$2598,0))</f>
        <v/>
      </c>
      <c r="S2559" s="1812">
        <f t="shared" si="117"/>
        <v>0</v>
      </c>
      <c r="T2559" s="1815">
        <f>SUM($S$2544:S2559)</f>
        <v>0</v>
      </c>
      <c r="U2559" s="5085"/>
      <c r="V2559" s="3085">
        <f>Principal!O38</f>
        <v>0</v>
      </c>
      <c r="AB2559" s="413"/>
      <c r="AC2559" s="2795"/>
    </row>
    <row r="2560" spans="1:29" ht="12.75" customHeight="1" x14ac:dyDescent="0.2">
      <c r="A2560" s="2029">
        <v>211</v>
      </c>
      <c r="B2560" s="4995"/>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str">
        <f>LEFT(PDs!AG143,2)</f>
        <v>0</v>
      </c>
      <c r="P2560" s="1813" t="str">
        <f>IF(PDs!AI143,MID(PDs!AH143,4,25)&amp;MID(PDs!AG143,4,25),"")</f>
        <v/>
      </c>
      <c r="Q2560" s="1814">
        <f t="shared" si="116"/>
        <v>4</v>
      </c>
      <c r="R2560" s="1814" t="str">
        <f>INDEX($M$2543:$M$2598,MATCH(ROWS($Q$2543:Q2560),$Q$2543:$Q$2598,0))</f>
        <v/>
      </c>
      <c r="S2560" s="1812">
        <f t="shared" si="117"/>
        <v>0</v>
      </c>
      <c r="T2560" s="1815">
        <f>SUM($S$2544:S2560)</f>
        <v>0</v>
      </c>
      <c r="U2560" s="5085"/>
      <c r="V2560" s="3085">
        <f>Principal!O39</f>
        <v>0</v>
      </c>
      <c r="AB2560" s="413"/>
      <c r="AC2560" s="2795"/>
    </row>
    <row r="2561" spans="1:29" ht="12.75" customHeight="1" x14ac:dyDescent="0.2">
      <c r="A2561" s="2029">
        <v>211</v>
      </c>
      <c r="B2561" s="4995"/>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str">
        <f>LEFT(PDs!AG144,2)</f>
        <v>0</v>
      </c>
      <c r="P2561" s="1813" t="str">
        <f>IF(PDs!AI144,MID(PDs!AH144,4,25)&amp;MID(PDs!AG144,4,25),"")</f>
        <v/>
      </c>
      <c r="Q2561" s="1814">
        <f t="shared" si="116"/>
        <v>13</v>
      </c>
      <c r="R2561" s="1814" t="str">
        <f>INDEX($M$2543:$M$2598,MATCH(ROWS($Q$2543:Q2561),$Q$2543:$Q$2598,0))</f>
        <v/>
      </c>
      <c r="S2561" s="1812">
        <f t="shared" si="117"/>
        <v>0</v>
      </c>
      <c r="T2561" s="1815">
        <f>SUM($S$2544:S2561)</f>
        <v>0</v>
      </c>
      <c r="U2561" s="5085"/>
      <c r="V2561" s="3085">
        <f>Principal!O40</f>
        <v>0</v>
      </c>
      <c r="AB2561" s="413"/>
      <c r="AC2561" s="2795"/>
    </row>
    <row r="2562" spans="1:29" ht="12.75" customHeight="1" x14ac:dyDescent="0.2">
      <c r="A2562" s="2029">
        <v>211</v>
      </c>
      <c r="B2562" s="4995"/>
      <c r="C2562" s="615" t="str">
        <f>IF(Ki!$P$45="-",", "&amp;Ki!$L$45,"")</f>
        <v/>
      </c>
      <c r="D2562" s="68"/>
      <c r="E2562" s="69"/>
      <c r="G2562" s="1799" t="str">
        <f t="shared" si="115"/>
        <v/>
      </c>
      <c r="H2562" s="68"/>
      <c r="I2562" s="68"/>
      <c r="J2562" s="1807"/>
      <c r="K2562" s="2352" t="b">
        <f>AND(NOT(Ley_final="-"),OR(PDs!T145&gt;4,PDs!W145&gt;0,PDs!X145&gt;0,$G$303&gt;0))</f>
        <v>0</v>
      </c>
      <c r="L2562" s="1812" t="s">
        <v>3126</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str">
        <f>LEFT(PDs!AG145,2)</f>
        <v>0</v>
      </c>
      <c r="P2562" s="1813" t="str">
        <f>IF(PDs!AI145,MID(PDs!AH145,4,25)&amp;MID(PDs!AG145,4,25),"")</f>
        <v/>
      </c>
      <c r="Q2562" s="1814">
        <f t="shared" si="116"/>
        <v>25</v>
      </c>
      <c r="R2562" s="1814" t="str">
        <f>INDEX($M$2543:$M$2598,MATCH(ROWS($Q$2543:Q2562),$Q$2543:$Q$2598,0))</f>
        <v/>
      </c>
      <c r="S2562" s="1812">
        <f t="shared" si="117"/>
        <v>0</v>
      </c>
      <c r="T2562" s="1815">
        <f>SUM($S$2544:S2562)</f>
        <v>0</v>
      </c>
      <c r="U2562" s="5085"/>
      <c r="V2562" s="3085">
        <f>Principal!O41</f>
        <v>0</v>
      </c>
      <c r="AB2562" s="413"/>
      <c r="AC2562" s="2795"/>
    </row>
    <row r="2563" spans="1:29" ht="12.75" customHeight="1" x14ac:dyDescent="0.2">
      <c r="A2563" s="2029">
        <v>211</v>
      </c>
      <c r="B2563" s="4995"/>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str">
        <f>LEFT(PDs!AG146,2)</f>
        <v>0</v>
      </c>
      <c r="P2563" s="1813" t="str">
        <f>IF(PDs!AI146,MID(PDs!AH146,4,25)&amp;MID(PDs!AG146,4,25),"")</f>
        <v/>
      </c>
      <c r="Q2563" s="1814">
        <f t="shared" si="116"/>
        <v>22</v>
      </c>
      <c r="R2563" s="1814" t="str">
        <f>INDEX($M$2543:$M$2598,MATCH(ROWS($Q$2543:Q2563),$Q$2543:$Q$2598,0))</f>
        <v/>
      </c>
      <c r="S2563" s="1812">
        <f t="shared" si="117"/>
        <v>0</v>
      </c>
      <c r="T2563" s="1815">
        <f>SUM($S$2544:S2563)</f>
        <v>0</v>
      </c>
      <c r="U2563" s="5085"/>
      <c r="V2563" s="3085">
        <f>Principal!O42</f>
        <v>0</v>
      </c>
      <c r="AB2563" s="413"/>
      <c r="AC2563" s="2795"/>
    </row>
    <row r="2564" spans="1:29" ht="12.75" customHeight="1" x14ac:dyDescent="0.2">
      <c r="A2564" s="2029">
        <v>211</v>
      </c>
      <c r="B2564" s="4995"/>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str">
        <f>LEFT(PDs!AG147,2)</f>
        <v>20</v>
      </c>
      <c r="P2564" s="1813" t="str">
        <f>IF(PDs!AI147,MID(PDs!AH147,4,25)&amp;MID(PDs!AG147,4,25),"")</f>
        <v>Historia (Local)</v>
      </c>
      <c r="Q2564" s="1814">
        <f t="shared" si="116"/>
        <v>23</v>
      </c>
      <c r="R2564" s="1814" t="str">
        <f>INDEX($M$2543:$M$2598,MATCH(ROWS($Q$2543:Q2564),$Q$2543:$Q$2598,0))</f>
        <v/>
      </c>
      <c r="S2564" s="1812">
        <f t="shared" si="117"/>
        <v>0</v>
      </c>
      <c r="T2564" s="1815">
        <f>SUM($S$2544:S2564)</f>
        <v>0</v>
      </c>
      <c r="U2564" s="5085"/>
      <c r="V2564" s="3085">
        <f>Principal!O43</f>
        <v>0</v>
      </c>
      <c r="AB2564" s="413"/>
      <c r="AC2564" s="2795"/>
    </row>
    <row r="2565" spans="1:29" ht="12.75" customHeight="1" x14ac:dyDescent="0.2">
      <c r="A2565" s="2029">
        <v>211</v>
      </c>
      <c r="B2565" s="4995"/>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str">
        <f>LEFT(PDs!AG148,2)</f>
        <v>0</v>
      </c>
      <c r="P2565" s="1813" t="str">
        <f>IF(PDs!AI148,MID(PDs!AH148,4,25)&amp;MID(PDs!AG148,4,25),"")</f>
        <v/>
      </c>
      <c r="Q2565" s="1814">
        <f t="shared" si="116"/>
        <v>46</v>
      </c>
      <c r="R2565" s="1814" t="str">
        <f>INDEX($M$2543:$M$2598,MATCH(ROWS($Q$2543:Q2565),$Q$2543:$Q$2598,0))</f>
        <v/>
      </c>
      <c r="S2565" s="1812">
        <f t="shared" si="117"/>
        <v>0</v>
      </c>
      <c r="T2565" s="1815">
        <f>SUM($S$2544:S2565)</f>
        <v>0</v>
      </c>
      <c r="U2565" s="5085"/>
      <c r="V2565" s="3085">
        <f>Principal!O44</f>
        <v>0</v>
      </c>
      <c r="AB2565" s="413"/>
      <c r="AC2565" s="2795"/>
    </row>
    <row r="2566" spans="1:29" ht="12.75" customHeight="1" x14ac:dyDescent="0.2">
      <c r="A2566" s="2029">
        <v>211</v>
      </c>
      <c r="B2566" s="4995"/>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str">
        <f>LEFT(PDs!AG149,2)</f>
        <v>0</v>
      </c>
      <c r="P2566" s="1813" t="str">
        <f>IF(PDs!AI149,MID(PDs!AH149,4,25)&amp;MID(PDs!AG149,4,25),"")</f>
        <v/>
      </c>
      <c r="Q2566" s="1814">
        <f t="shared" si="116"/>
        <v>27</v>
      </c>
      <c r="R2566" s="1814" t="str">
        <f>INDEX($M$2543:$M$2598,MATCH(ROWS($Q$2543:Q2566),$Q$2543:$Q$2598,0))</f>
        <v/>
      </c>
      <c r="S2566" s="1812">
        <f t="shared" si="117"/>
        <v>0</v>
      </c>
      <c r="T2566" s="1815">
        <f>SUM($S$2544:S2566)</f>
        <v>0</v>
      </c>
      <c r="U2566" s="5085"/>
      <c r="V2566" s="3085">
        <f>Principal!O45</f>
        <v>0</v>
      </c>
      <c r="AB2566" s="413"/>
      <c r="AC2566" s="2795"/>
    </row>
    <row r="2567" spans="1:29" ht="12.75" customHeight="1" x14ac:dyDescent="0.2">
      <c r="A2567" s="2029">
        <v>211</v>
      </c>
      <c r="B2567" s="4995"/>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str">
        <f>LEFT(PDs!AG150,2)</f>
        <v>0</v>
      </c>
      <c r="P2567" s="1813" t="str">
        <f>IF(PDs!AI150,MID(PDs!AH150,4,25)&amp;MID(PDs!AG150,4,25),"")</f>
        <v/>
      </c>
      <c r="Q2567" s="1814">
        <f t="shared" si="116"/>
        <v>28</v>
      </c>
      <c r="R2567" s="1814" t="str">
        <f>INDEX($M$2543:$M$2598,MATCH(ROWS($Q$2543:Q2567),$Q$2543:$Q$2598,0))</f>
        <v/>
      </c>
      <c r="S2567" s="1812">
        <f t="shared" si="117"/>
        <v>0</v>
      </c>
      <c r="T2567" s="1815">
        <f>SUM($S$2544:S2567)</f>
        <v>0</v>
      </c>
      <c r="U2567" s="5085"/>
      <c r="V2567" s="3085">
        <f>Principal!O46</f>
        <v>0</v>
      </c>
      <c r="AB2567" s="413"/>
      <c r="AC2567" s="2795"/>
    </row>
    <row r="2568" spans="1:29" ht="12.75" customHeight="1" x14ac:dyDescent="0.2">
      <c r="A2568" s="2029">
        <v>211</v>
      </c>
      <c r="B2568" s="4995"/>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str">
        <f>LEFT(PDs!AG151,2)</f>
        <v>0</v>
      </c>
      <c r="P2568" s="1813" t="str">
        <f>IF(PDs!AI151,MID(PDs!AH151,4,25)&amp;MID(PDs!AG151,4,25),"")</f>
        <v/>
      </c>
      <c r="Q2568" s="1814">
        <f t="shared" si="116"/>
        <v>32</v>
      </c>
      <c r="R2568" s="1814" t="str">
        <f>INDEX($M$2543:$M$2598,MATCH(ROWS($Q$2543:Q2568),$Q$2543:$Q$2598,0))</f>
        <v/>
      </c>
      <c r="S2568" s="1812">
        <f t="shared" si="117"/>
        <v>0</v>
      </c>
      <c r="T2568" s="1815">
        <f>SUM($S$2544:S2568)</f>
        <v>0</v>
      </c>
      <c r="U2568" s="5085"/>
      <c r="V2568" s="3085">
        <f>Principal!O47</f>
        <v>0</v>
      </c>
      <c r="AB2568" s="413"/>
      <c r="AC2568" s="2795"/>
    </row>
    <row r="2569" spans="1:29" ht="12.75" customHeight="1" x14ac:dyDescent="0.2">
      <c r="A2569" s="2029">
        <v>211</v>
      </c>
      <c r="B2569" s="4995"/>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str">
        <f>LEFT(PDs!AG152,2)</f>
        <v>0</v>
      </c>
      <c r="P2569" s="1813" t="str">
        <f>IF(PDs!AI152,MID(PDs!AH152,4,25)&amp;MID(PDs!AG152,4,25),"")</f>
        <v/>
      </c>
      <c r="Q2569" s="1814">
        <f t="shared" si="116"/>
        <v>34</v>
      </c>
      <c r="R2569" s="1814" t="str">
        <f>INDEX($M$2543:$M$2598,MATCH(ROWS($Q$2543:Q2569),$Q$2543:$Q$2598,0))</f>
        <v/>
      </c>
      <c r="S2569" s="1812">
        <f t="shared" si="117"/>
        <v>0</v>
      </c>
      <c r="T2569" s="1815">
        <f>SUM($S$2544:S2569)</f>
        <v>0</v>
      </c>
      <c r="U2569" s="5085"/>
      <c r="V2569" s="3085">
        <f>Principal!O48</f>
        <v>0</v>
      </c>
      <c r="AB2569" s="413"/>
      <c r="AC2569" s="2795"/>
    </row>
    <row r="2570" spans="1:29" ht="12.75" customHeight="1" x14ac:dyDescent="0.2">
      <c r="A2570" s="2029">
        <v>211</v>
      </c>
      <c r="B2570" s="4995"/>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str">
        <f>LEFT(PDs!AG153,2)</f>
        <v>0</v>
      </c>
      <c r="P2570" s="1813" t="str">
        <f>IF(PDs!AI153,MID(PDs!AH153,4,25)&amp;MID(PDs!AG153,4,25),"")</f>
        <v/>
      </c>
      <c r="Q2570" s="1814">
        <f t="shared" si="116"/>
        <v>47</v>
      </c>
      <c r="R2570" s="1814" t="str">
        <f>INDEX($M$2543:$M$2598,MATCH(ROWS($Q$2543:Q2570),$Q$2543:$Q$2598,0))</f>
        <v/>
      </c>
      <c r="S2570" s="1812">
        <f t="shared" si="117"/>
        <v>0</v>
      </c>
      <c r="T2570" s="1815">
        <f>SUM($S$2544:S2570)</f>
        <v>0</v>
      </c>
      <c r="U2570" s="5085"/>
      <c r="V2570" s="3085">
        <f>Principal!O49</f>
        <v>0</v>
      </c>
      <c r="AB2570" s="413"/>
      <c r="AC2570" s="2795"/>
    </row>
    <row r="2571" spans="1:29" ht="12.75" customHeight="1" x14ac:dyDescent="0.2">
      <c r="A2571" s="2029">
        <v>211</v>
      </c>
      <c r="B2571" s="4995"/>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str">
        <f>LEFT(PDs!AG154,2)</f>
        <v>0</v>
      </c>
      <c r="P2571" s="1813" t="str">
        <f>IF(PDs!AI154,MID(PDs!AH154,4,25)&amp;MID(PDs!AG154,4,25),"")</f>
        <v/>
      </c>
      <c r="Q2571" s="1814">
        <f t="shared" si="116"/>
        <v>50</v>
      </c>
      <c r="R2571" s="1814" t="str">
        <f>INDEX($M$2543:$M$2598,MATCH(ROWS($Q$2543:Q2571),$Q$2543:$Q$2598,0))</f>
        <v/>
      </c>
      <c r="S2571" s="1812">
        <f t="shared" si="117"/>
        <v>0</v>
      </c>
      <c r="T2571" s="1815">
        <f>SUM($S$2544:S2571)</f>
        <v>0</v>
      </c>
      <c r="U2571" s="5085"/>
      <c r="V2571" s="3085">
        <f>Principal!O50</f>
        <v>0</v>
      </c>
      <c r="AB2571" s="413"/>
      <c r="AC2571" s="2795"/>
    </row>
    <row r="2572" spans="1:29" ht="12.75" customHeight="1" x14ac:dyDescent="0.2">
      <c r="A2572" s="2029">
        <v>211</v>
      </c>
      <c r="B2572" s="4995"/>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str">
        <f>LEFT(PDs!AG155,2)</f>
        <v>0</v>
      </c>
      <c r="P2572" s="1813" t="str">
        <f>IF(PDs!AI155,MID(PDs!AH155,4,25)&amp;MID(PDs!AG155,4,25),"")</f>
        <v/>
      </c>
      <c r="Q2572" s="1814">
        <f t="shared" si="116"/>
        <v>21</v>
      </c>
      <c r="R2572" s="1814" t="str">
        <f>INDEX($M$2543:$M$2598,MATCH(ROWS($Q$2543:Q2572),$Q$2543:$Q$2598,0))</f>
        <v/>
      </c>
      <c r="S2572" s="1812">
        <f t="shared" si="117"/>
        <v>0</v>
      </c>
      <c r="T2572" s="1815">
        <f>SUM($S$2544:S2572)</f>
        <v>0</v>
      </c>
      <c r="U2572" s="5085"/>
      <c r="V2572" s="3085">
        <f>Principal!O51</f>
        <v>0</v>
      </c>
      <c r="AB2572" s="413"/>
      <c r="AC2572" s="2795"/>
    </row>
    <row r="2573" spans="1:29" ht="12.75" customHeight="1" x14ac:dyDescent="0.2">
      <c r="A2573" s="2029">
        <v>211</v>
      </c>
      <c r="B2573" s="4995"/>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str">
        <f>LEFT(PDs!AG156,2)</f>
        <v>0</v>
      </c>
      <c r="P2573" s="1813" t="str">
        <f>IF(PDs!AI156,MID(PDs!AH156,4,25)&amp;MID(PDs!AG156,4,25),"")</f>
        <v/>
      </c>
      <c r="Q2573" s="1814">
        <f t="shared" si="116"/>
        <v>36</v>
      </c>
      <c r="R2573" s="1814" t="str">
        <f>INDEX($M$2543:$M$2598,MATCH(ROWS($Q$2543:Q2573),$Q$2543:$Q$2598,0))</f>
        <v/>
      </c>
      <c r="S2573" s="1812">
        <f t="shared" si="117"/>
        <v>0</v>
      </c>
      <c r="T2573" s="1815">
        <f>SUM($S$2544:S2573)</f>
        <v>0</v>
      </c>
      <c r="U2573" s="5085"/>
      <c r="V2573" s="3085">
        <f>Principal!O52</f>
        <v>0</v>
      </c>
      <c r="AB2573" s="413"/>
      <c r="AC2573" s="2795"/>
    </row>
    <row r="2574" spans="1:29" ht="12.75" customHeight="1" x14ac:dyDescent="0.2">
      <c r="A2574" s="2029">
        <v>211</v>
      </c>
      <c r="B2574" s="4995"/>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str">
        <f>LEFT(PDs!AG157,2)</f>
        <v>0</v>
      </c>
      <c r="P2574" s="1813" t="str">
        <f>IF(PDs!AI157,MID(PDs!AH157,4,25)&amp;MID(PDs!AG157,4,25),"")</f>
        <v/>
      </c>
      <c r="Q2574" s="1814">
        <f t="shared" si="116"/>
        <v>40</v>
      </c>
      <c r="R2574" s="1814" t="str">
        <f>INDEX($M$2543:$M$2598,MATCH(ROWS($Q$2543:Q2574),$Q$2543:$Q$2598,0))</f>
        <v/>
      </c>
      <c r="S2574" s="1812">
        <f t="shared" si="117"/>
        <v>0</v>
      </c>
      <c r="T2574" s="1815">
        <f>SUM($S$2544:S2574)</f>
        <v>0</v>
      </c>
      <c r="U2574" s="5085"/>
      <c r="V2574" s="3085">
        <f>Principal!O53</f>
        <v>0</v>
      </c>
      <c r="AB2574" s="413"/>
      <c r="AC2574" s="2795"/>
    </row>
    <row r="2575" spans="1:29" ht="12.75" customHeight="1" x14ac:dyDescent="0.2">
      <c r="A2575" s="2029">
        <v>211</v>
      </c>
      <c r="B2575" s="4995"/>
      <c r="C2575" s="615" t="str">
        <f>IF(Ki!$P$58="-",", "&amp;Ki!$M$58,"")</f>
        <v/>
      </c>
      <c r="D2575" s="68"/>
      <c r="E2575" s="69"/>
      <c r="G2575" s="1799" t="str">
        <f t="shared" ref="G2575:G2593" si="118">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str">
        <f>LEFT(PDs!AG158,2)</f>
        <v>0</v>
      </c>
      <c r="P2575" s="1813" t="str">
        <f>IF(PDs!AI158,MID(PDs!AH158,4,25)&amp;MID(PDs!AG158,4,25),"")</f>
        <v/>
      </c>
      <c r="Q2575" s="1814">
        <f t="shared" ref="Q2575:Q2598" si="119">COUNTIF($L$2543:$L$2598,"&lt;="&amp;L2575)</f>
        <v>12</v>
      </c>
      <c r="R2575" s="1814" t="str">
        <f>INDEX($M$2543:$M$2598,MATCH(ROWS($Q$2543:Q2575),$Q$2543:$Q$2598,0))</f>
        <v/>
      </c>
      <c r="S2575" s="1812">
        <f t="shared" si="117"/>
        <v>0</v>
      </c>
      <c r="T2575" s="1815">
        <f>SUM($S$2544:S2575)</f>
        <v>0</v>
      </c>
      <c r="U2575" s="5085"/>
      <c r="V2575" s="3085">
        <f>Principal!O54</f>
        <v>0</v>
      </c>
      <c r="AB2575" s="413"/>
      <c r="AC2575" s="2795"/>
    </row>
    <row r="2576" spans="1:29" ht="12.75" customHeight="1" x14ac:dyDescent="0.2">
      <c r="A2576" s="2029">
        <v>211</v>
      </c>
      <c r="B2576" s="4995"/>
      <c r="C2576" s="615" t="str">
        <f>IF(Ki!$P$59="-",", "&amp;Ki!$M$59,"")</f>
        <v/>
      </c>
      <c r="D2576" s="68"/>
      <c r="E2576" s="69"/>
      <c r="G2576" s="1799" t="str">
        <f t="shared" si="118"/>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str">
        <f>LEFT(PDs!AG159,2)</f>
        <v>0</v>
      </c>
      <c r="P2576" s="1813" t="str">
        <f>IF(PDs!AI159,MID(PDs!AH159,4,25)&amp;MID(PDs!AG159,4,25),"")</f>
        <v/>
      </c>
      <c r="Q2576" s="1814">
        <f t="shared" si="119"/>
        <v>17</v>
      </c>
      <c r="R2576" s="1814" t="str">
        <f>INDEX($M$2543:$M$2598,MATCH(ROWS($Q$2543:Q2576),$Q$2543:$Q$2598,0))</f>
        <v/>
      </c>
      <c r="S2576" s="1812">
        <f t="shared" si="117"/>
        <v>0</v>
      </c>
      <c r="T2576" s="1815">
        <f>SUM($S$2544:S2576)</f>
        <v>0</v>
      </c>
      <c r="U2576" s="5085"/>
      <c r="V2576" s="3085">
        <f>Principal!O55</f>
        <v>0</v>
      </c>
      <c r="AB2576" s="413"/>
      <c r="AC2576" s="2795"/>
    </row>
    <row r="2577" spans="1:29" ht="12.75" customHeight="1" x14ac:dyDescent="0.2">
      <c r="A2577" s="2029">
        <v>211</v>
      </c>
      <c r="B2577" s="4995"/>
      <c r="C2577" s="615" t="str">
        <f>IF(Ki!$P$60="-",", "&amp;Ki!$L$60,"")</f>
        <v/>
      </c>
      <c r="D2577" s="68"/>
      <c r="E2577" s="69"/>
      <c r="G2577" s="1799" t="str">
        <f t="shared" si="118"/>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str">
        <f>LEFT(PDs!AG160,2)</f>
        <v>0</v>
      </c>
      <c r="P2577" s="1813" t="str">
        <f>IF(PDs!AI160,MID(PDs!AH160,4,25)&amp;MID(PDs!AG160,4,25),"")</f>
        <v/>
      </c>
      <c r="Q2577" s="1814">
        <f t="shared" si="119"/>
        <v>33</v>
      </c>
      <c r="R2577" s="1814" t="str">
        <f>INDEX($M$2543:$M$2598,MATCH(ROWS($Q$2543:Q2577),$Q$2543:$Q$2598,0))</f>
        <v/>
      </c>
      <c r="S2577" s="1812">
        <f t="shared" si="117"/>
        <v>0</v>
      </c>
      <c r="T2577" s="1815">
        <f>SUM($S$2544:S2577)</f>
        <v>0</v>
      </c>
      <c r="U2577" s="5085"/>
      <c r="V2577" s="3085">
        <f>Principal!O56</f>
        <v>0</v>
      </c>
      <c r="AB2577" s="413"/>
      <c r="AC2577" s="2795"/>
    </row>
    <row r="2578" spans="1:29" ht="12.75" customHeight="1" x14ac:dyDescent="0.2">
      <c r="A2578" s="2029">
        <v>211</v>
      </c>
      <c r="B2578" s="4995"/>
      <c r="C2578" s="615" t="str">
        <f>IF(Ki!$P$61="-",", "&amp;Ki!$M$61,"")</f>
        <v/>
      </c>
      <c r="D2578" s="68"/>
      <c r="E2578" s="69"/>
      <c r="G2578" s="1799" t="str">
        <f t="shared" si="118"/>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str">
        <f>LEFT(PDs!AG161,2)</f>
        <v>0</v>
      </c>
      <c r="P2578" s="1813" t="str">
        <f>IF(PDs!AI161,MID(PDs!AH161,4,25)&amp;MID(PDs!AG161,4,25),"")</f>
        <v/>
      </c>
      <c r="Q2578" s="1814">
        <f t="shared" si="119"/>
        <v>41</v>
      </c>
      <c r="R2578" s="1814" t="str">
        <f>INDEX($M$2543:$M$2598,MATCH(ROWS($Q$2543:Q2578),$Q$2543:$Q$2598,0))</f>
        <v/>
      </c>
      <c r="S2578" s="1812">
        <f t="shared" si="117"/>
        <v>0</v>
      </c>
      <c r="T2578" s="1815">
        <f>SUM($S$2544:S2578)</f>
        <v>0</v>
      </c>
      <c r="U2578" s="5085"/>
      <c r="V2578" s="3085">
        <f>Principal!O57</f>
        <v>0</v>
      </c>
      <c r="AB2578" s="413"/>
      <c r="AC2578" s="2795"/>
    </row>
    <row r="2579" spans="1:29" ht="12.75" customHeight="1" x14ac:dyDescent="0.2">
      <c r="A2579" s="2029">
        <v>211</v>
      </c>
      <c r="B2579" s="4995"/>
      <c r="C2579" s="615" t="str">
        <f>IF(Ki!$P$62="-",", "&amp;Ki!$K$62,"")</f>
        <v/>
      </c>
      <c r="D2579" s="68"/>
      <c r="E2579" s="69"/>
      <c r="G2579" s="1799" t="str">
        <f t="shared" si="118"/>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str">
        <f>LEFT(PDs!AG162,2)</f>
        <v>0</v>
      </c>
      <c r="P2579" s="1813" t="str">
        <f>IF(PDs!AI162,MID(PDs!AH162,4,25)&amp;MID(PDs!AG162,4,25),"")</f>
        <v/>
      </c>
      <c r="Q2579" s="1814">
        <f t="shared" si="119"/>
        <v>44</v>
      </c>
      <c r="R2579" s="1814" t="str">
        <f>INDEX($M$2543:$M$2598,MATCH(ROWS($Q$2543:Q2579),$Q$2543:$Q$2598,0))</f>
        <v/>
      </c>
      <c r="S2579" s="1812">
        <f t="shared" si="117"/>
        <v>0</v>
      </c>
      <c r="T2579" s="1815">
        <f>SUM($S$2544:S2579)</f>
        <v>0</v>
      </c>
      <c r="U2579" s="5085"/>
      <c r="V2579" s="3085">
        <f>Principal!O58</f>
        <v>0</v>
      </c>
      <c r="AB2579" s="413"/>
      <c r="AC2579" s="2795"/>
    </row>
    <row r="2580" spans="1:29" ht="12.75" customHeight="1" x14ac:dyDescent="0.2">
      <c r="A2580" s="2029">
        <v>211</v>
      </c>
      <c r="B2580" s="4995"/>
      <c r="C2580" s="615"/>
      <c r="D2580" s="68"/>
      <c r="E2580" s="69"/>
      <c r="G2580" s="1799" t="str">
        <f t="shared" si="118"/>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str">
        <f>LEFT(PDs!AG163,2)</f>
        <v>0</v>
      </c>
      <c r="P2580" s="1813" t="str">
        <f>IF(PDs!AI163,MID(PDs!AH163,4,25)&amp;MID(PDs!AG163,4,25),"")</f>
        <v/>
      </c>
      <c r="Q2580" s="1814">
        <f t="shared" si="119"/>
        <v>48</v>
      </c>
      <c r="R2580" s="1814" t="str">
        <f>INDEX($M$2543:$M$2598,MATCH(ROWS($Q$2543:Q2580),$Q$2543:$Q$2598,0))</f>
        <v/>
      </c>
      <c r="S2580" s="1812">
        <f t="shared" si="117"/>
        <v>0</v>
      </c>
      <c r="T2580" s="1815">
        <f>SUM($S$2544:S2580)</f>
        <v>0</v>
      </c>
      <c r="U2580" s="5085"/>
      <c r="V2580" s="3085">
        <f>Principal!O59</f>
        <v>0</v>
      </c>
      <c r="AB2580" s="413"/>
      <c r="AC2580" s="2795"/>
    </row>
    <row r="2581" spans="1:29" ht="12.75" customHeight="1" x14ac:dyDescent="0.2">
      <c r="A2581" s="2029">
        <v>211</v>
      </c>
      <c r="B2581" s="4995"/>
      <c r="C2581" s="615"/>
      <c r="D2581" s="68"/>
      <c r="E2581" s="69"/>
      <c r="G2581" s="1799" t="str">
        <f t="shared" si="118"/>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str">
        <f>LEFT(PDs!AG164,2)</f>
        <v>0</v>
      </c>
      <c r="P2581" s="1813" t="str">
        <f>IF(PDs!AI164,MID(PDs!AH164,4,25)&amp;MID(PDs!AG164,4,25),"")</f>
        <v/>
      </c>
      <c r="Q2581" s="1814">
        <f t="shared" si="119"/>
        <v>51</v>
      </c>
      <c r="R2581" s="1814" t="str">
        <f>INDEX($M$2543:$M$2598,MATCH(ROWS($Q$2543:Q2581),$Q$2543:$Q$2598,0))</f>
        <v/>
      </c>
      <c r="S2581" s="1812">
        <f t="shared" si="117"/>
        <v>0</v>
      </c>
      <c r="T2581" s="1815">
        <f>SUM($S$2544:S2581)</f>
        <v>0</v>
      </c>
      <c r="U2581" s="5085"/>
      <c r="V2581" s="3085">
        <f>Principal!O60</f>
        <v>0</v>
      </c>
      <c r="AB2581" s="413"/>
      <c r="AC2581" s="2795"/>
    </row>
    <row r="2582" spans="1:29" ht="12.75" customHeight="1" x14ac:dyDescent="0.2">
      <c r="A2582" s="2029">
        <v>211</v>
      </c>
      <c r="B2582" s="4995"/>
      <c r="C2582" s="615" t="str">
        <f>IF(Ki!$H$43="-",IF(SUM(Ki!$Q$10:$Q$64)=0,Ki!$C$43,", "&amp;Ki!$C$43),"")</f>
        <v/>
      </c>
      <c r="D2582" s="68"/>
      <c r="E2582" s="69"/>
      <c r="G2582" s="1799" t="str">
        <f t="shared" si="118"/>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str">
        <f>LEFT(PDs!AG165,2)</f>
        <v>0</v>
      </c>
      <c r="P2582" s="1813" t="str">
        <f>IF(PDs!AI165,MID(PDs!AH165,4,25)&amp;MID(PDs!AG165,4,25),"")</f>
        <v/>
      </c>
      <c r="Q2582" s="1814">
        <f t="shared" si="119"/>
        <v>6</v>
      </c>
      <c r="R2582" s="1814" t="str">
        <f>INDEX($M$2543:$M$2598,MATCH(ROWS($Q$2543:Q2582),$Q$2543:$Q$2598,0))</f>
        <v/>
      </c>
      <c r="S2582" s="1812">
        <f t="shared" si="117"/>
        <v>0</v>
      </c>
      <c r="T2582" s="1815">
        <f>SUM($S$2544:S2582)</f>
        <v>0</v>
      </c>
      <c r="U2582" s="5085"/>
      <c r="V2582" s="3085">
        <f>Principal!O61</f>
        <v>0</v>
      </c>
      <c r="AB2582" s="413"/>
      <c r="AC2582" s="2795"/>
    </row>
    <row r="2583" spans="1:29" ht="12.75" customHeight="1" x14ac:dyDescent="0.2">
      <c r="A2583" s="2029">
        <v>211</v>
      </c>
      <c r="B2583" s="4995"/>
      <c r="C2583" s="615" t="str">
        <f>IF(Ki!$H$45="-",", "&amp;Ki!$C$45,"")</f>
        <v/>
      </c>
      <c r="D2583" s="68"/>
      <c r="E2583" s="69"/>
      <c r="G2583" s="1799" t="str">
        <f t="shared" si="118"/>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str">
        <f>LEFT(PDs!AG166,2)</f>
        <v>20</v>
      </c>
      <c r="P2583" s="1813" t="str">
        <f>IF(PDs!AI166,MID(PDs!AH166,4,25)&amp;MID(PDs!AG166,4,25),"")</f>
        <v/>
      </c>
      <c r="Q2583" s="1814">
        <f t="shared" si="119"/>
        <v>8</v>
      </c>
      <c r="R2583" s="1814" t="str">
        <f>INDEX($M$2543:$M$2598,MATCH(ROWS($Q$2543:Q2583),$Q$2543:$Q$2598,0))</f>
        <v/>
      </c>
      <c r="S2583" s="1812">
        <f t="shared" si="117"/>
        <v>0</v>
      </c>
      <c r="T2583" s="1815">
        <f>SUM($S$2544:S2583)</f>
        <v>0</v>
      </c>
      <c r="U2583" s="5085"/>
      <c r="V2583" s="3085">
        <f>Principal!O62</f>
        <v>0</v>
      </c>
      <c r="AB2583" s="413"/>
      <c r="AC2583" s="2795"/>
    </row>
    <row r="2584" spans="1:29" ht="12.75" customHeight="1" x14ac:dyDescent="0.2">
      <c r="A2584" s="2029">
        <v>211</v>
      </c>
      <c r="B2584" s="4995"/>
      <c r="C2584" s="615" t="str">
        <f>IF(Ki!$H$46="-",", "&amp;Ki!$D$46,"")</f>
        <v/>
      </c>
      <c r="D2584" s="68"/>
      <c r="E2584" s="69"/>
      <c r="G2584" s="1799" t="str">
        <f t="shared" si="118"/>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str">
        <f>LEFT(PDs!AG167,2)</f>
        <v>0</v>
      </c>
      <c r="P2584" s="1813" t="str">
        <f>IF(PDs!AI167,MID(PDs!AH167,4,25)&amp;MID(PDs!AG167,4,25),"")</f>
        <v/>
      </c>
      <c r="Q2584" s="1814">
        <f t="shared" si="119"/>
        <v>20</v>
      </c>
      <c r="R2584" s="1814" t="str">
        <f>INDEX($M$2543:$M$2598,MATCH(ROWS($Q$2543:Q2584),$Q$2543:$Q$2598,0))</f>
        <v/>
      </c>
      <c r="S2584" s="1812">
        <f t="shared" si="117"/>
        <v>0</v>
      </c>
      <c r="T2584" s="1815">
        <f>SUM($S$2544:S2584)</f>
        <v>0</v>
      </c>
      <c r="U2584" s="5085"/>
      <c r="V2584" s="3085">
        <f>Principal!O63</f>
        <v>0</v>
      </c>
      <c r="AB2584" s="413"/>
      <c r="AC2584" s="2795"/>
    </row>
    <row r="2585" spans="1:29" ht="12.75" customHeight="1" x14ac:dyDescent="0.2">
      <c r="A2585" s="2029">
        <v>211</v>
      </c>
      <c r="B2585" s="4995"/>
      <c r="C2585" s="615" t="str">
        <f>IF(Ki!$H$47="-",", "&amp;Ki!$C$47,"")</f>
        <v/>
      </c>
      <c r="D2585" s="68"/>
      <c r="E2585" s="69"/>
      <c r="G2585" s="1799" t="str">
        <f t="shared" si="118"/>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str">
        <f>LEFT(PDs!AG168,2)</f>
        <v>0</v>
      </c>
      <c r="P2585" s="1813" t="str">
        <f>IF(PDs!AI168,MID(PDs!AH168,4,25)&amp;MID(PDs!AG168,4,25),"")</f>
        <v/>
      </c>
      <c r="Q2585" s="1814">
        <f t="shared" si="119"/>
        <v>42</v>
      </c>
      <c r="R2585" s="1814" t="str">
        <f>INDEX($M$2543:$M$2598,MATCH(ROWS($Q$2543:Q2585),$Q$2543:$Q$2598,0))</f>
        <v/>
      </c>
      <c r="S2585" s="1812">
        <f t="shared" si="117"/>
        <v>0</v>
      </c>
      <c r="T2585" s="1815">
        <f>SUM($S$2544:S2585)</f>
        <v>0</v>
      </c>
      <c r="U2585" s="5085"/>
      <c r="V2585" s="3085">
        <f>Principal!O64</f>
        <v>0</v>
      </c>
      <c r="AB2585" s="413"/>
      <c r="AC2585" s="2795"/>
    </row>
    <row r="2586" spans="1:29" ht="12.75" customHeight="1" x14ac:dyDescent="0.2">
      <c r="A2586" s="2029">
        <v>211</v>
      </c>
      <c r="B2586" s="4995"/>
      <c r="C2586" s="615" t="str">
        <f>IF(Ki!$H$48="-",", "&amp;Ki!$D$48,"")</f>
        <v/>
      </c>
      <c r="D2586" s="68"/>
      <c r="E2586" s="69"/>
      <c r="G2586" s="1799" t="str">
        <f t="shared" si="118"/>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str">
        <f>LEFT(PDs!AG169,2)</f>
        <v>0</v>
      </c>
      <c r="P2586" s="1813" t="str">
        <f>IF(PDs!AI169,MID(PDs!AH169,4,25)&amp;MID(PDs!AG169,4,25),"")</f>
        <v/>
      </c>
      <c r="Q2586" s="1814">
        <f t="shared" si="119"/>
        <v>3</v>
      </c>
      <c r="R2586" s="1814" t="str">
        <f>INDEX($M$2543:$M$2598,MATCH(ROWS($Q$2543:Q2586),$Q$2543:$Q$2598,0))</f>
        <v/>
      </c>
      <c r="S2586" s="1812">
        <f t="shared" si="117"/>
        <v>0</v>
      </c>
      <c r="T2586" s="1815">
        <f>SUM($S$2544:S2586)</f>
        <v>0</v>
      </c>
      <c r="U2586" s="5085"/>
      <c r="V2586" s="3085">
        <f>Principal!O65</f>
        <v>0</v>
      </c>
      <c r="AB2586" s="413"/>
      <c r="AC2586" s="2795"/>
    </row>
    <row r="2587" spans="1:29" ht="12.75" customHeight="1" x14ac:dyDescent="0.2">
      <c r="A2587" s="2029">
        <v>211</v>
      </c>
      <c r="B2587" s="4995"/>
      <c r="C2587" s="615" t="str">
        <f>IF(Ki!$H$49="-",", "&amp;Ki!$C$49,"")</f>
        <v/>
      </c>
      <c r="D2587" s="68"/>
      <c r="E2587" s="69"/>
      <c r="G2587" s="1799" t="str">
        <f t="shared" si="118"/>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str">
        <f>LEFT(PDs!AG170,2)</f>
        <v>0</v>
      </c>
      <c r="P2587" s="1813" t="str">
        <f>IF(PDs!AI170,MID(PDs!AH170,4,25)&amp;MID(PDs!AG170,4,25),"")</f>
        <v/>
      </c>
      <c r="Q2587" s="1814">
        <f t="shared" si="119"/>
        <v>5</v>
      </c>
      <c r="R2587" s="1814" t="str">
        <f>INDEX($M$2543:$M$2598,MATCH(ROWS($Q$2543:Q2587),$Q$2543:$Q$2598,0))</f>
        <v/>
      </c>
      <c r="S2587" s="1812">
        <f t="shared" si="117"/>
        <v>0</v>
      </c>
      <c r="T2587" s="1815">
        <f>SUM($S$2544:S2587)</f>
        <v>0</v>
      </c>
      <c r="U2587" s="5085"/>
      <c r="V2587" s="3085">
        <f>Principal!O66</f>
        <v>0</v>
      </c>
      <c r="AB2587" s="413"/>
      <c r="AC2587" s="2795"/>
    </row>
    <row r="2588" spans="1:29" ht="12.75" customHeight="1" x14ac:dyDescent="0.2">
      <c r="A2588" s="2029">
        <v>211</v>
      </c>
      <c r="B2588" s="4995"/>
      <c r="C2588" s="615" t="str">
        <f>IF(Ki!$H$50="-",", "&amp;Ki!$D$50,"")</f>
        <v/>
      </c>
      <c r="D2588" s="68"/>
      <c r="E2588" s="69"/>
      <c r="G2588" s="1799" t="str">
        <f t="shared" si="118"/>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str">
        <f>LEFT(PDs!AG171,2)</f>
        <v>0</v>
      </c>
      <c r="P2588" s="1813" t="str">
        <f>IF(PDs!AI171,MID(PDs!AH171,4,25)&amp;MID(PDs!AG171,4,25),"")</f>
        <v/>
      </c>
      <c r="Q2588" s="1814">
        <f t="shared" si="119"/>
        <v>30</v>
      </c>
      <c r="R2588" s="1814" t="str">
        <f>INDEX($M$2543:$M$2598,MATCH(ROWS($Q$2543:Q2588),$Q$2543:$Q$2598,0))</f>
        <v/>
      </c>
      <c r="S2588" s="1812">
        <f t="shared" si="117"/>
        <v>0</v>
      </c>
      <c r="T2588" s="1815">
        <f>SUM($S$2544:S2588)</f>
        <v>0</v>
      </c>
      <c r="U2588" s="5085"/>
      <c r="V2588" s="3085">
        <f>Principal!O67</f>
        <v>0</v>
      </c>
      <c r="AB2588" s="413"/>
      <c r="AC2588" s="2795"/>
    </row>
    <row r="2589" spans="1:29" ht="12.75" customHeight="1" x14ac:dyDescent="0.2">
      <c r="A2589" s="2029">
        <v>211</v>
      </c>
      <c r="B2589" s="4995"/>
      <c r="C2589" s="615" t="str">
        <f>IF(Ki!$H$51="-",", "&amp;Ki!$C$51,"")</f>
        <v/>
      </c>
      <c r="D2589" s="68"/>
      <c r="E2589" s="69"/>
      <c r="G2589" s="1799" t="str">
        <f t="shared" si="118"/>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str">
        <f>LEFT(PDs!AG172,2)</f>
        <v>0</v>
      </c>
      <c r="P2589" s="1813" t="str">
        <f>IF(PDs!AI172,MID(PDs!AH172,4,25)&amp;MID(PDs!AG172,4,25),"")</f>
        <v/>
      </c>
      <c r="Q2589" s="1814">
        <f t="shared" si="119"/>
        <v>45</v>
      </c>
      <c r="R2589" s="1814" t="str">
        <f>INDEX($M$2543:$M$2598,MATCH(ROWS($Q$2543:Q2589),$Q$2543:$Q$2598,0))</f>
        <v/>
      </c>
      <c r="S2589" s="1812">
        <f t="shared" si="117"/>
        <v>0</v>
      </c>
      <c r="T2589" s="1815">
        <f>SUM($S$2544:S2589)</f>
        <v>0</v>
      </c>
      <c r="U2589" s="5085"/>
      <c r="V2589" s="3085">
        <f>Principal!O68</f>
        <v>0</v>
      </c>
      <c r="AB2589" s="413"/>
      <c r="AC2589" s="2795"/>
    </row>
    <row r="2590" spans="1:29" ht="12.75" customHeight="1" x14ac:dyDescent="0.2">
      <c r="A2590" s="2029">
        <v>211</v>
      </c>
      <c r="B2590" s="4995"/>
      <c r="C2590" s="615" t="str">
        <f>IF(Ki!$H$52="-",", "&amp;Ki!$D$52,"")</f>
        <v/>
      </c>
      <c r="D2590" s="68"/>
      <c r="E2590" s="69"/>
      <c r="G2590" s="1799" t="str">
        <f t="shared" si="118"/>
        <v/>
      </c>
      <c r="H2590" s="68"/>
      <c r="I2590" s="68"/>
      <c r="J2590" s="1807"/>
      <c r="K2590" s="2352" t="b">
        <f>AND(NOT(Caligrafíaritual_final="-"),OR(PDs!T173&gt;4,PDs!W173&gt;0,PDs!X173&gt;0,$G$303&gt;0))</f>
        <v>0</v>
      </c>
      <c r="L2590" s="1812" t="s">
        <v>8230</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str">
        <f>LEFT(PDs!AG173,2)</f>
        <v>0</v>
      </c>
      <c r="P2590" s="1813" t="str">
        <f>IF(PDs!AI173,MID(PDs!AH173,4,25)&amp;MID(PDs!AG173,4,25),"")</f>
        <v/>
      </c>
      <c r="Q2590" s="1814">
        <f t="shared" si="119"/>
        <v>10</v>
      </c>
      <c r="R2590" s="1814" t="str">
        <f>INDEX($M$2543:$M$2598,MATCH(ROWS($Q$2543:Q2590),$Q$2543:$Q$2598,0))</f>
        <v/>
      </c>
      <c r="S2590" s="1812">
        <f t="shared" si="117"/>
        <v>0</v>
      </c>
      <c r="T2590" s="1815">
        <f>SUM($S$2544:S2590)</f>
        <v>0</v>
      </c>
      <c r="U2590" s="5085"/>
      <c r="V2590" s="3085">
        <f>Principal!O69</f>
        <v>0</v>
      </c>
      <c r="AB2590" s="413"/>
      <c r="AC2590" s="2795"/>
    </row>
    <row r="2591" spans="1:29" ht="12.75" customHeight="1" x14ac:dyDescent="0.2">
      <c r="A2591" s="2029">
        <v>211</v>
      </c>
      <c r="B2591" s="4995"/>
      <c r="C2591" s="615" t="str">
        <f>IF(Ki!$H$53="-",", "&amp;Ki!$C$53,"")</f>
        <v/>
      </c>
      <c r="D2591" s="68"/>
      <c r="E2591" s="69"/>
      <c r="G2591" s="1799" t="str">
        <f t="shared" si="118"/>
        <v/>
      </c>
      <c r="H2591" s="68"/>
      <c r="I2591" s="68"/>
      <c r="J2591" s="1807"/>
      <c r="K2591" s="2353" t="b">
        <f>AND(NOT(Orfebrería_final="-"),OR(PDs!T174&gt;4,PDs!W174&gt;0,PDs!X174&gt;0,$G$303&gt;0))</f>
        <v>0</v>
      </c>
      <c r="L2591" s="1818" t="s">
        <v>8231</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str">
        <f>LEFT(PDs!AG174,2)</f>
        <v>0</v>
      </c>
      <c r="P2591" s="1819" t="str">
        <f>IF(PDs!AI174,MID(PDs!AH174,4,25)&amp;MID(PDs!AG174,4,25),"")</f>
        <v/>
      </c>
      <c r="Q2591" s="1814">
        <f t="shared" si="119"/>
        <v>35</v>
      </c>
      <c r="R2591" s="1814" t="str">
        <f>INDEX($M$2543:$M$2598,MATCH(ROWS($Q$2543:Q2591),$Q$2543:$Q$2598,0))</f>
        <v/>
      </c>
      <c r="S2591" s="1812">
        <f t="shared" si="117"/>
        <v>0</v>
      </c>
      <c r="T2591" s="1815">
        <f>SUM($S$2544:S2591)</f>
        <v>0</v>
      </c>
      <c r="U2591" s="5085"/>
      <c r="V2591" s="3085">
        <f>Principal!O70</f>
        <v>0</v>
      </c>
      <c r="AB2591" s="413"/>
      <c r="AC2591" s="2795"/>
    </row>
    <row r="2592" spans="1:29" ht="12.75" customHeight="1" x14ac:dyDescent="0.2">
      <c r="A2592" s="2029">
        <v>211</v>
      </c>
      <c r="B2592" s="4995"/>
      <c r="C2592" s="615" t="str">
        <f>IF(Ki!$H$54="-",", "&amp;Ki!$C$54,"")</f>
        <v/>
      </c>
      <c r="D2592" s="68"/>
      <c r="E2592" s="69"/>
      <c r="G2592" s="1799" t="str">
        <f t="shared" si="118"/>
        <v/>
      </c>
      <c r="H2592" s="68"/>
      <c r="I2592" s="68"/>
      <c r="J2592" s="1807"/>
      <c r="K2592" s="2352" t="b">
        <f>AND(NOT(Confección_final="-"),OR(PDs!T175&gt;4,PDs!W175&gt;0,PDs!X175&gt;0,$G$303&gt;0))</f>
        <v>0</v>
      </c>
      <c r="L2592" s="1812" t="s">
        <v>8232</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str">
        <f>LEFT(PDs!AG175,2)</f>
        <v>0</v>
      </c>
      <c r="P2592" s="1813" t="str">
        <f>IF(PDs!AI175,MID(PDs!AH175,4,25)&amp;MID(PDs!AG175,4,25),"")</f>
        <v/>
      </c>
      <c r="Q2592" s="1814">
        <f t="shared" si="119"/>
        <v>16</v>
      </c>
      <c r="R2592" s="1814" t="str">
        <f>INDEX($M$2543:$M$2598,MATCH(ROWS($Q$2543:Q2592),$Q$2543:$Q$2598,0))</f>
        <v/>
      </c>
      <c r="S2592" s="1812">
        <f t="shared" si="117"/>
        <v>0</v>
      </c>
      <c r="T2592" s="1815">
        <f>SUM($S$2544:S2592)</f>
        <v>0</v>
      </c>
      <c r="U2592" s="5085"/>
      <c r="V2592" s="3085">
        <f>Principal!O71</f>
        <v>0</v>
      </c>
      <c r="AB2592" s="413"/>
      <c r="AC2592" s="2795"/>
    </row>
    <row r="2593" spans="1:29" ht="12.75" customHeight="1" x14ac:dyDescent="0.2">
      <c r="A2593" s="2029">
        <v>211</v>
      </c>
      <c r="B2593" s="4995"/>
      <c r="C2593" s="615" t="str">
        <f>IF(CuerpodeVacío,", "&amp;Ki!$C$56,"")</f>
        <v/>
      </c>
      <c r="D2593" s="68"/>
      <c r="E2593" s="69"/>
      <c r="G2593" s="1799" t="str">
        <f t="shared" si="118"/>
        <v/>
      </c>
      <c r="H2593" s="68"/>
      <c r="I2593" s="68"/>
      <c r="J2593" s="1807"/>
      <c r="K2593" s="2352" t="b">
        <f>AND(NOT(Conf.marionetas_final="-"),OR(PDs!T176&gt;4,PDs!W176&gt;0,PDs!X176&gt;0,$G$303&gt;0))</f>
        <v>0</v>
      </c>
      <c r="L2593" s="1812" t="s">
        <v>8233</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str">
        <f>LEFT(PDs!AG176,2)</f>
        <v>0</v>
      </c>
      <c r="P2593" s="1813" t="str">
        <f>IF(PDs!AI176,MID(PDs!AH176,4,25)&amp;MID(PDs!AG176,4,25),"")</f>
        <v/>
      </c>
      <c r="Q2593" s="1814">
        <f t="shared" si="119"/>
        <v>15</v>
      </c>
      <c r="R2593" s="1814" t="str">
        <f>INDEX($M$2543:$M$2598,MATCH(ROWS($Q$2543:Q2593),$Q$2543:$Q$2598,0))</f>
        <v/>
      </c>
      <c r="S2593" s="1812">
        <f t="shared" si="117"/>
        <v>0</v>
      </c>
      <c r="T2593" s="1815">
        <f>SUM($S$2544:S2593)</f>
        <v>0</v>
      </c>
      <c r="U2593" s="5085"/>
      <c r="V2593" s="3085">
        <f>Principal!O72</f>
        <v>0</v>
      </c>
      <c r="AB2593" s="413"/>
      <c r="AC2593" s="2795"/>
    </row>
    <row r="2594" spans="1:29" ht="12.75" customHeight="1" x14ac:dyDescent="0.2">
      <c r="A2594" s="2029">
        <v>211</v>
      </c>
      <c r="B2594" s="4995"/>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3" t="e">
        <f>IF(PDs!AI178,MID(PDs!AH178,4,25)&amp;MID(PDs!AG177,4,25),"")</f>
        <v>#VALUE!</v>
      </c>
      <c r="Q2594" s="1814">
        <f t="shared" si="119"/>
        <v>5</v>
      </c>
      <c r="R2594" s="1814" t="e">
        <f>INDEX($M$2543:$M$2598,MATCH(ROWS($Q$2543:Q2594),$Q$2543:$Q$2598,0))</f>
        <v>#N/A</v>
      </c>
      <c r="S2594" s="1812">
        <f t="shared" si="117"/>
        <v>0</v>
      </c>
      <c r="T2594" s="1815">
        <f>SUM($S$2544:S2594)</f>
        <v>0</v>
      </c>
      <c r="U2594" s="5085"/>
      <c r="V2594" s="3085">
        <f>Principal!O73</f>
        <v>0</v>
      </c>
      <c r="AB2594" s="413"/>
      <c r="AC2594" s="2795"/>
    </row>
    <row r="2595" spans="1:29" ht="12.75" customHeight="1" x14ac:dyDescent="0.2">
      <c r="A2595" s="2029">
        <v>211</v>
      </c>
      <c r="B2595" s="4995"/>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3" t="e">
        <f>IF(PDs!AI179,MID(PDs!AH179,4,25)&amp;MID(PDs!AG178,4,25),"")</f>
        <v>#VALUE!</v>
      </c>
      <c r="Q2595" s="1814">
        <f t="shared" si="119"/>
        <v>5</v>
      </c>
      <c r="R2595" s="1814" t="e">
        <f>INDEX($M$2543:$M$2598,MATCH(ROWS($Q$2543:Q2595),$Q$2543:$Q$2598,0))</f>
        <v>#N/A</v>
      </c>
      <c r="S2595" s="1812" t="e">
        <f t="shared" si="117"/>
        <v>#N/A</v>
      </c>
      <c r="T2595" s="1815" t="e">
        <f>SUM($S$2544:S2595)</f>
        <v>#N/A</v>
      </c>
      <c r="U2595" s="5085"/>
      <c r="V2595" s="3085">
        <f>Principal!O74</f>
        <v>0</v>
      </c>
      <c r="AB2595" s="413"/>
      <c r="AC2595" s="2795"/>
    </row>
    <row r="2596" spans="1:29" ht="12.75" customHeight="1" x14ac:dyDescent="0.2">
      <c r="A2596" s="2029">
        <v>211</v>
      </c>
      <c r="B2596" s="4995"/>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3" t="e">
        <f>IF(PDs!AI180,MID(PDs!AH180,4,25)&amp;MID(PDs!AG179,4,25),"")</f>
        <v>#VALUE!</v>
      </c>
      <c r="Q2596" s="1814">
        <f t="shared" si="119"/>
        <v>5</v>
      </c>
      <c r="R2596" s="1814" t="e">
        <f>INDEX($M$2543:$M$2598,MATCH(ROWS($Q$2543:Q2596),$Q$2543:$Q$2598,0))</f>
        <v>#N/A</v>
      </c>
      <c r="S2596" s="1812" t="e">
        <f t="shared" si="117"/>
        <v>#N/A</v>
      </c>
      <c r="T2596" s="1815" t="e">
        <f>SUM($S$2544:S2596)</f>
        <v>#N/A</v>
      </c>
      <c r="U2596" s="5085"/>
      <c r="V2596" s="3085">
        <f>Principal!O75</f>
        <v>0</v>
      </c>
      <c r="AB2596" s="413"/>
      <c r="AC2596" s="2795"/>
    </row>
    <row r="2597" spans="1:29" ht="12.75" customHeight="1" x14ac:dyDescent="0.2">
      <c r="A2597" s="2029">
        <v>211</v>
      </c>
      <c r="B2597" s="4995"/>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3" t="e">
        <f>IF(PDs!AI181,MID(PDs!AH181,4,25)&amp;MID(PDs!AG180,4,25),"")</f>
        <v>#VALUE!</v>
      </c>
      <c r="Q2597" s="1814">
        <f t="shared" si="119"/>
        <v>5</v>
      </c>
      <c r="R2597" s="1814" t="e">
        <f>INDEX($M$2543:$M$2598,MATCH(ROWS($Q$2543:Q2597),$Q$2543:$Q$2598,0))</f>
        <v>#N/A</v>
      </c>
      <c r="S2597" s="1812" t="e">
        <f t="shared" si="117"/>
        <v>#N/A</v>
      </c>
      <c r="T2597" s="1815" t="e">
        <f>SUM($S$2544:S2597)</f>
        <v>#N/A</v>
      </c>
      <c r="U2597" s="5085"/>
      <c r="V2597" s="3085">
        <f>Principal!O76</f>
        <v>0</v>
      </c>
      <c r="AB2597" s="413"/>
      <c r="AC2597" s="2795"/>
    </row>
    <row r="2598" spans="1:29" ht="12.75" customHeight="1" thickBot="1" x14ac:dyDescent="0.25">
      <c r="A2598" s="2029">
        <v>211</v>
      </c>
      <c r="B2598" s="4995"/>
      <c r="C2598" s="615" t="str">
        <f>IF(Ki!$H$60="-",", "&amp;Ki!$E$60,"")</f>
        <v/>
      </c>
      <c r="D2598" s="68"/>
      <c r="E2598" s="69"/>
      <c r="G2598" s="1800" t="str">
        <f>IF(ISNA(R2598),"",IF(AND(T2598&gt;0,NOT(R2598="")),", "&amp;R2598,R2598))</f>
        <v/>
      </c>
      <c r="H2598" s="1801"/>
      <c r="I2598" s="1801"/>
      <c r="J2598" s="1808"/>
      <c r="K2598" s="3078" t="b">
        <f>AND(NOT(PDs!$AA$181="-"),OR(PDs!T181&gt;4,PDs!W181&gt;0,PDs!X181&gt;0,$G$303&gt;0))</f>
        <v>0</v>
      </c>
      <c r="L2598" s="3079">
        <f>PDs!E181</f>
        <v>0</v>
      </c>
      <c r="M2598" s="3080"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81" t="str">
        <f>IF(PDs!I181=0,"","("&amp;PDs!I181&amp;")")</f>
        <v/>
      </c>
      <c r="O2598" s="3082">
        <f>PDs!AF181</f>
        <v>0</v>
      </c>
      <c r="P2598" s="3081" t="e">
        <f>IF(PDs!AI182,MID(PDs!AH182,4,25)&amp;MID(PDs!AG181,4,25),"")</f>
        <v>#VALUE!</v>
      </c>
      <c r="Q2598" s="3083">
        <f t="shared" si="119"/>
        <v>5</v>
      </c>
      <c r="R2598" s="3083" t="e">
        <f>INDEX($M$2543:$M$2598,MATCH(ROWS($Q$2543:Q2598),$Q$2543:$Q$2598,0))</f>
        <v>#N/A</v>
      </c>
      <c r="S2598" s="3079" t="e">
        <f t="shared" si="117"/>
        <v>#N/A</v>
      </c>
      <c r="T2598" s="3084" t="e">
        <f>SUM($S$2544:S2598)</f>
        <v>#N/A</v>
      </c>
      <c r="U2598" s="5086"/>
      <c r="V2598" s="3086">
        <f>Principal!O77</f>
        <v>0</v>
      </c>
      <c r="AB2598" s="413"/>
      <c r="AC2598" s="2795"/>
    </row>
    <row r="2599" spans="1:29" ht="12.75" customHeight="1" x14ac:dyDescent="0.2">
      <c r="A2599" s="2029">
        <v>211</v>
      </c>
      <c r="B2599" s="4995"/>
      <c r="C2599" s="615" t="str">
        <f>IF(Ki!$H$61="-",", "&amp;Ki!$C$61,"")</f>
        <v/>
      </c>
      <c r="D2599" s="68"/>
      <c r="E2599" s="69"/>
      <c r="H2599" s="413"/>
      <c r="I2599" s="1761"/>
      <c r="N2599" s="413"/>
      <c r="O2599" s="2112"/>
      <c r="AB2599" s="413"/>
      <c r="AC2599" s="2795"/>
    </row>
    <row r="2600" spans="1:29" ht="12.75" customHeight="1" x14ac:dyDescent="0.2">
      <c r="A2600" s="2029">
        <v>211</v>
      </c>
      <c r="B2600" s="4995"/>
      <c r="C2600" s="615" t="str">
        <f>IF(Ki!$H$62="-",", "&amp;Ki!$C$62,"")</f>
        <v/>
      </c>
      <c r="D2600" s="68"/>
      <c r="E2600" s="69"/>
      <c r="H2600" s="413"/>
      <c r="I2600" s="1761"/>
      <c r="N2600" s="413"/>
      <c r="O2600" s="2112"/>
      <c r="AB2600" s="413"/>
      <c r="AC2600" s="2795"/>
    </row>
    <row r="2601" spans="1:29" ht="12.75" customHeight="1" x14ac:dyDescent="0.2">
      <c r="A2601" s="2029">
        <v>211</v>
      </c>
      <c r="B2601" s="4995"/>
      <c r="C2601" s="615" t="str">
        <f>IF(OR(Ki!$H$63="-",Ki!$P$63="-"),", "&amp;"Inhumanidad","")</f>
        <v/>
      </c>
      <c r="D2601" s="68"/>
      <c r="E2601" s="69"/>
      <c r="H2601" s="413"/>
      <c r="I2601" s="1761"/>
      <c r="N2601" s="413"/>
      <c r="O2601" s="2112"/>
      <c r="AB2601" s="413"/>
      <c r="AC2601" s="2795"/>
    </row>
    <row r="2602" spans="1:29" ht="12.75" customHeight="1" thickBot="1" x14ac:dyDescent="0.25">
      <c r="A2602" s="2029">
        <v>211</v>
      </c>
      <c r="B2602" s="4995"/>
      <c r="C2602" s="616" t="str">
        <f>IF(OR(Ki!$H$63="-",Ki!$P$63="-"),", "&amp;"Zen","")</f>
        <v/>
      </c>
      <c r="D2602" s="199"/>
      <c r="E2602" s="200"/>
      <c r="H2602" s="413"/>
      <c r="I2602" s="1761"/>
      <c r="N2602" s="413"/>
      <c r="O2602" s="2112"/>
      <c r="AB2602" s="413"/>
      <c r="AC2602" s="2795"/>
    </row>
    <row r="2603" spans="1:29" ht="12.75" customHeight="1" x14ac:dyDescent="0.2">
      <c r="A2603" s="2029">
        <v>211</v>
      </c>
      <c r="B2603" s="4995"/>
      <c r="H2603" s="413"/>
      <c r="I2603" s="1761"/>
      <c r="N2603" s="413"/>
      <c r="O2603" s="2112"/>
      <c r="AB2603" s="413"/>
      <c r="AC2603" s="2795"/>
    </row>
    <row r="2604" spans="1:29" ht="12.75" customHeight="1" x14ac:dyDescent="0.2">
      <c r="A2604" s="2029">
        <v>211</v>
      </c>
      <c r="B2604" s="4995"/>
      <c r="C2604" s="5076" t="s">
        <v>916</v>
      </c>
      <c r="D2604" s="5076"/>
      <c r="E2604" s="5076"/>
      <c r="F2604" s="5077"/>
      <c r="H2604" s="413"/>
      <c r="I2604" s="1761"/>
      <c r="N2604" s="413"/>
      <c r="O2604" s="2112"/>
      <c r="AB2604" s="413"/>
      <c r="AC2604" s="2795"/>
    </row>
    <row r="2605" spans="1:29" ht="12.75" customHeight="1" x14ac:dyDescent="0.2">
      <c r="A2605" s="2029">
        <v>211</v>
      </c>
      <c r="B2605" s="4995"/>
      <c r="C2605" s="5078"/>
      <c r="D2605" s="5078"/>
      <c r="E2605" s="5078"/>
      <c r="F2605" s="4010"/>
      <c r="H2605" s="413"/>
      <c r="I2605" s="1761"/>
      <c r="N2605" s="413"/>
      <c r="O2605" s="2112"/>
      <c r="AB2605" s="413"/>
      <c r="AC2605" s="2795"/>
    </row>
    <row r="2606" spans="1:29" ht="12.75" customHeight="1" x14ac:dyDescent="0.2">
      <c r="A2606" s="2029">
        <v>211</v>
      </c>
      <c r="B2606" s="4995"/>
      <c r="C2606" s="2415" t="s">
        <v>3197</v>
      </c>
      <c r="D2606" s="2337" t="s">
        <v>1677</v>
      </c>
      <c r="E2606" s="2336" t="s">
        <v>8352</v>
      </c>
      <c r="F2606" s="2338" t="s">
        <v>9189</v>
      </c>
      <c r="H2606" s="413"/>
      <c r="I2606" s="1761"/>
      <c r="N2606" s="413"/>
      <c r="O2606" s="2112"/>
      <c r="AB2606" s="413"/>
      <c r="AC2606" s="2795"/>
    </row>
    <row r="2607" spans="1:29" ht="12.75" customHeight="1" x14ac:dyDescent="0.2">
      <c r="A2607" s="2029">
        <v>211</v>
      </c>
      <c r="B2607" s="4995"/>
      <c r="C2607" s="2413" t="str">
        <f t="shared" ref="C2607:C2622" si="120">IF(D2607="","",COUNTIF($D$2607:$D$2649,"&lt;="&amp;D2607)-SUMPRODUCT(--($D$2607:$D$2649="")))</f>
        <v/>
      </c>
      <c r="D2607" s="1799" t="str">
        <f>IF(Combate!AH11=" ","",Combate!AH11)</f>
        <v/>
      </c>
      <c r="E2607" s="2333" t="str">
        <f>IF(ISNA(VLOOKUP(MIN($C$2607:$C$2649)+A1-1,$C$2607:$D$2649,2,0)),"",VLOOKUP(MIN($C$2607:$C$2649)+A1-1,$C$2607:$D$2649,2,0))</f>
        <v/>
      </c>
      <c r="F2607" s="5124"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5"/>
    </row>
    <row r="2608" spans="1:29" ht="12.75" customHeight="1" thickBot="1" x14ac:dyDescent="0.25">
      <c r="A2608" s="2029">
        <v>211</v>
      </c>
      <c r="B2608" s="4995"/>
      <c r="C2608" s="2412" t="str">
        <f t="shared" si="120"/>
        <v/>
      </c>
      <c r="D2608" s="1799" t="str">
        <f>IF(Combate!AH12=" ","",Combate!AH12)</f>
        <v/>
      </c>
      <c r="E2608" s="2334" t="str">
        <f t="shared" ref="E2608:E2649" si="121">IF(ISNA(VLOOKUP(MIN($C$2607:$C$2649)+A2-1,$C$2607:$D$2649,2,0)),"",", "&amp;VLOOKUP(MIN($C$2607:$C$2649)+A2-1,$C$2607:$D$2649,2,0))</f>
        <v/>
      </c>
      <c r="F2608" s="5124"/>
      <c r="H2608" s="413"/>
      <c r="I2608" s="1761"/>
      <c r="N2608" s="413"/>
      <c r="O2608" s="2112"/>
      <c r="AB2608" s="413"/>
      <c r="AC2608" s="2795"/>
    </row>
    <row r="2609" spans="1:31" ht="12.75" customHeight="1" x14ac:dyDescent="0.2">
      <c r="A2609" s="2029">
        <v>211</v>
      </c>
      <c r="B2609" s="4995"/>
      <c r="C2609" s="2412" t="str">
        <f t="shared" si="120"/>
        <v/>
      </c>
      <c r="D2609" s="1799" t="str">
        <f>IF(Combate!AH13=" ","",Combate!AH13)</f>
        <v/>
      </c>
      <c r="E2609" s="2334" t="str">
        <f t="shared" si="121"/>
        <v/>
      </c>
      <c r="F2609" s="5124"/>
      <c r="H2609" s="3125" t="s">
        <v>9178</v>
      </c>
      <c r="I2609" s="3126"/>
      <c r="J2609" s="3126"/>
      <c r="K2609" s="3126"/>
      <c r="L2609" s="3126"/>
      <c r="M2609" s="3126"/>
      <c r="N2609" s="3126"/>
      <c r="O2609" s="3126"/>
      <c r="P2609" s="3126"/>
      <c r="Q2609" s="3126"/>
      <c r="R2609" s="3126"/>
      <c r="S2609" s="3126"/>
      <c r="T2609" s="3126"/>
      <c r="U2609" s="3126"/>
      <c r="V2609" s="3126"/>
      <c r="W2609" s="3126"/>
      <c r="X2609" s="3126"/>
      <c r="Y2609" s="3126"/>
      <c r="Z2609" s="3126"/>
      <c r="AA2609" s="3126"/>
      <c r="AB2609" s="3126"/>
      <c r="AC2609" s="3127"/>
    </row>
    <row r="2610" spans="1:31" ht="12.75" customHeight="1" x14ac:dyDescent="0.2">
      <c r="A2610" s="2029">
        <v>211</v>
      </c>
      <c r="B2610" s="4995"/>
      <c r="C2610" s="2412" t="str">
        <f t="shared" si="120"/>
        <v/>
      </c>
      <c r="D2610" s="1799" t="str">
        <f>IF(Combate!AH14=" ","",Combate!AH14)</f>
        <v/>
      </c>
      <c r="E2610" s="2334" t="str">
        <f t="shared" si="121"/>
        <v/>
      </c>
      <c r="F2610" s="5124"/>
      <c r="H2610" s="4811" t="s">
        <v>9177</v>
      </c>
      <c r="I2610" s="5076"/>
      <c r="J2610" s="4174" t="s">
        <v>9176</v>
      </c>
      <c r="K2610" s="4174"/>
      <c r="L2610" s="4174"/>
      <c r="M2610" s="4174"/>
      <c r="N2610" s="4174"/>
      <c r="O2610" s="4174"/>
      <c r="P2610" s="4174"/>
      <c r="Q2610" s="4174"/>
      <c r="R2610" s="4174"/>
      <c r="S2610" s="4174"/>
      <c r="T2610" s="4174"/>
      <c r="U2610" s="4174"/>
      <c r="V2610" s="4174"/>
      <c r="W2610" s="4174"/>
      <c r="X2610" s="4174"/>
      <c r="Y2610" s="4174"/>
      <c r="Z2610" s="4174"/>
      <c r="AA2610" s="4174"/>
      <c r="AB2610" s="4174"/>
      <c r="AC2610" s="4010"/>
    </row>
    <row r="2611" spans="1:31" ht="12.75" customHeight="1" x14ac:dyDescent="0.2">
      <c r="A2611" s="2029">
        <v>211</v>
      </c>
      <c r="B2611" s="4995"/>
      <c r="C2611" s="2412" t="str">
        <f t="shared" si="120"/>
        <v/>
      </c>
      <c r="D2611" s="1799" t="str">
        <f>IF(Combate!AH15=" ","",Combate!AH15)</f>
        <v/>
      </c>
      <c r="E2611" s="2334" t="str">
        <f t="shared" si="121"/>
        <v/>
      </c>
      <c r="F2611" s="5124"/>
      <c r="H2611" s="2344" t="s">
        <v>1677</v>
      </c>
      <c r="I2611" s="2895" t="s">
        <v>9188</v>
      </c>
      <c r="J2611" s="5128" t="str">
        <f>IF(ISNA(VLOOKUP(A1,$AD$2614:$AE$2641,2,FALSE)),"",VLOOKUP(A1,$AD$2614:$AE$2641,2,FALSE))</f>
        <v/>
      </c>
      <c r="K2611" s="5129"/>
      <c r="L2611" s="5129" t="str">
        <f>IF(ISNA(VLOOKUP(B1,$AD$2614:$AE$2641,2,FALSE)),"",VLOOKUP(B1,$AD$2614:$AE$2641,2,FALSE))</f>
        <v/>
      </c>
      <c r="M2611" s="5129"/>
      <c r="N2611" s="5129" t="str">
        <f>IF(ISNA(VLOOKUP(C1,$AD$2614:$AE$2641,2,FALSE)),"",VLOOKUP(C1,$AD$2614:$AE$2641,2,FALSE))</f>
        <v/>
      </c>
      <c r="O2611" s="5129"/>
      <c r="P2611" s="5129" t="str">
        <f>IF(ISNA(VLOOKUP(D1,$AD$2614:$AE$2641,2,FALSE)),"",VLOOKUP(D1,$AD$2614:$AE$2641,2,FALSE))</f>
        <v/>
      </c>
      <c r="Q2611" s="5129"/>
      <c r="R2611" s="5129" t="str">
        <f>IF(ISNA(VLOOKUP(E1,$AD$2614:$AE$2641,2,FALSE)),"",VLOOKUP(E1,$AD$2614:$AE$2641,2,FALSE))</f>
        <v/>
      </c>
      <c r="S2611" s="5129"/>
      <c r="T2611" s="5129" t="str">
        <f>IF(ISNA(VLOOKUP(F1,$AD$2614:$AE$2641,2,FALSE)),"",VLOOKUP(F1,$AD$2614:$AE$2641,2,FALSE))</f>
        <v/>
      </c>
      <c r="U2611" s="5129"/>
      <c r="V2611" s="5129" t="str">
        <f>IF(ISNA(VLOOKUP(G1,$AD$2614:$AE$2641,2,FALSE)),"",VLOOKUP(G1,$AD$2614:$AE$2641,2,FALSE))</f>
        <v/>
      </c>
      <c r="W2611" s="5129"/>
      <c r="X2611" s="5129" t="str">
        <f>IF(ISNA(VLOOKUP(H1,$AD$2614:$AE$2641,2,FALSE)),"",VLOOKUP(H1,$AD$2614:$AE$2641,2,FALSE))</f>
        <v/>
      </c>
      <c r="Y2611" s="5129"/>
      <c r="Z2611" s="5129" t="str">
        <f>IF(ISNA(VLOOKUP(I1,$AD$2614:$AE$2641,2,FALSE)),"",VLOOKUP(I1,$AD$2614:$AE$2641,2,FALSE))</f>
        <v/>
      </c>
      <c r="AA2611" s="5129"/>
      <c r="AB2611" s="5129" t="str">
        <f>IF(ISNA(VLOOKUP(J1,$AD$2614:$AE$2641,2,FALSE)),"",VLOOKUP(J1,$AD$2614:$AE$2641,2,FALSE))</f>
        <v/>
      </c>
      <c r="AC2611" s="5130"/>
    </row>
    <row r="2612" spans="1:31" ht="12.75" customHeight="1" x14ac:dyDescent="0.2">
      <c r="A2612" s="2029">
        <v>211</v>
      </c>
      <c r="B2612" s="4995"/>
      <c r="C2612" s="2412" t="str">
        <f t="shared" si="120"/>
        <v/>
      </c>
      <c r="D2612" s="2318" t="str">
        <f>IF(Combate!AH16=" ","",Combate!AH16)</f>
        <v/>
      </c>
      <c r="E2612" s="2334" t="str">
        <f t="shared" si="121"/>
        <v/>
      </c>
      <c r="F2612" s="5124"/>
      <c r="H2612" s="2304" t="str">
        <f>IF(ISNA(VLOOKUP(A1,Principal!$S$42:$AH$69,10,FALSE)),"",IF(VLOOKUP(A1,Principal!$S$42:$AH$69,10,FALSE)=0,"",INDEX(PoderesDeCriatura_Adquiridos,MATCH(A1,Principal!$S$42:$S$69,0))))</f>
        <v/>
      </c>
      <c r="I2612" s="2475" t="str">
        <f>H2612</f>
        <v/>
      </c>
      <c r="J2612" s="2339" t="s">
        <v>1677</v>
      </c>
      <c r="K2612" s="2339" t="s">
        <v>9188</v>
      </c>
      <c r="L2612" s="2339" t="s">
        <v>1677</v>
      </c>
      <c r="M2612" s="2339" t="s">
        <v>9188</v>
      </c>
      <c r="N2612" s="2339" t="s">
        <v>1677</v>
      </c>
      <c r="O2612" s="2339" t="s">
        <v>9188</v>
      </c>
      <c r="P2612" s="2339" t="s">
        <v>1677</v>
      </c>
      <c r="Q2612" s="2339" t="s">
        <v>9188</v>
      </c>
      <c r="R2612" s="2339" t="s">
        <v>1677</v>
      </c>
      <c r="S2612" s="2339" t="s">
        <v>9188</v>
      </c>
      <c r="T2612" s="2339" t="s">
        <v>1677</v>
      </c>
      <c r="U2612" s="2339" t="s">
        <v>9188</v>
      </c>
      <c r="V2612" s="2339" t="s">
        <v>1677</v>
      </c>
      <c r="W2612" s="2339" t="s">
        <v>9188</v>
      </c>
      <c r="X2612" s="2339" t="s">
        <v>1677</v>
      </c>
      <c r="Y2612" s="2339" t="s">
        <v>9188</v>
      </c>
      <c r="Z2612" s="2339" t="s">
        <v>1677</v>
      </c>
      <c r="AA2612" s="2339" t="s">
        <v>9188</v>
      </c>
      <c r="AB2612" s="2339" t="s">
        <v>1677</v>
      </c>
      <c r="AC2612" s="2345" t="s">
        <v>9188</v>
      </c>
      <c r="AD2612" s="5131" t="s">
        <v>9179</v>
      </c>
      <c r="AE2612" s="5132"/>
    </row>
    <row r="2613" spans="1:31" ht="12.75" customHeight="1" x14ac:dyDescent="0.2">
      <c r="A2613" s="2029">
        <v>211</v>
      </c>
      <c r="B2613" s="4995"/>
      <c r="C2613" s="2412" t="str">
        <f t="shared" si="120"/>
        <v/>
      </c>
      <c r="D2613" s="1799" t="str">
        <f>Combate!X19</f>
        <v/>
      </c>
      <c r="E2613" s="2334" t="str">
        <f t="shared" si="121"/>
        <v/>
      </c>
      <c r="F2613" s="5124"/>
      <c r="H2613" s="2304" t="str">
        <f>IF(ISNA(VLOOKUP(A2,Principal!$S$42:$AH$69,10,FALSE)),"",IF(VLOOKUP(A2,Principal!$S$42:$AH$69,10,FALSE)=0,"",INDEX(PoderesDeCriatura_Adquiridos,MATCH(A2,Principal!$S$42:$S$69,0))))</f>
        <v/>
      </c>
      <c r="I2613" s="2475" t="str">
        <f>IF(AND(I2612&lt;&gt;"",H2613&lt;&gt;""),", ","")&amp;H2613</f>
        <v/>
      </c>
      <c r="J2613" s="2341" t="str">
        <f>IF(ISNA(INDEX(PoderesDeCriatura_Adquiridos,MATCH(J$2611&amp;$A1,Principal!$U$42:$U$69,0))),"",IF(INDEX(Principal!$AO$42:$AO$69,MATCH(J$2611&amp;$A1,Principal!$U$42:$U$69,0))&gt;0,INDEX(Principal!$AF$42:$AF$69,MATCH(J$2611&amp;$A1,Principal!$U$42:$U$69,0)),INDEX(PoderesDeCriatura_Adquiridos,MATCH(J$2611&amp;$A1,Principal!$U$42:$U$69,0))))</f>
        <v/>
      </c>
      <c r="K2613" s="2340" t="str">
        <f>J2613</f>
        <v/>
      </c>
      <c r="L2613" s="2341" t="str">
        <f>IF(ISNA(INDEX(PoderesDeCriatura_Adquiridos,MATCH(L$2611&amp;$A1,Principal!$U$42:$U$69,0))),"",IF(INDEX(Principal!$AO$42:$AO$69,MATCH(L$2611&amp;$A1,Principal!$U$42:$U$69,0))&gt;0,INDEX(Principal!$AF$42:$AF$69,MATCH(L$2611&amp;$A1,Principal!$U$42:$U$69,0)),INDEX(PoderesDeCriatura_Adquiridos,MATCH(L$2611&amp;$A1,Principal!$U$42:$U$69,0))))</f>
        <v/>
      </c>
      <c r="M2613" s="2340" t="str">
        <f>L2613</f>
        <v/>
      </c>
      <c r="N2613" s="2341" t="str">
        <f>IF(ISNA(INDEX(PoderesDeCriatura_Adquiridos,MATCH(N$2611&amp;$A1,Principal!$U$42:$U$69,0))),"",IF(INDEX(Principal!$AO$42:$AO$69,MATCH(N$2611&amp;$A1,Principal!$U$42:$U$69,0))&gt;0,INDEX(Principal!$AF$42:$AF$69,MATCH(N$2611&amp;$A1,Principal!$U$42:$U$69,0)),INDEX(PoderesDeCriatura_Adquiridos,MATCH(N$2611&amp;$A1,Principal!$U$42:$U$69,0))))</f>
        <v/>
      </c>
      <c r="O2613" s="2340" t="str">
        <f>N2613</f>
        <v/>
      </c>
      <c r="P2613" s="2341" t="str">
        <f>IF(ISNA(INDEX(PoderesDeCriatura_Adquiridos,MATCH(P$2611&amp;$A1,Principal!$U$42:$U$69,0))),"",IF(INDEX(Principal!$AO$42:$AO$69,MATCH(P$2611&amp;$A1,Principal!$U$42:$U$69,0))&gt;0,INDEX(Principal!$AF$42:$AF$69,MATCH(P$2611&amp;$A1,Principal!$U$42:$U$69,0)),INDEX(PoderesDeCriatura_Adquiridos,MATCH(P$2611&amp;$A1,Principal!$U$42:$U$69,0))))</f>
        <v/>
      </c>
      <c r="Q2613" s="2340" t="str">
        <f>P2613</f>
        <v/>
      </c>
      <c r="R2613" s="2341" t="str">
        <f>IF(ISNA(INDEX(PoderesDeCriatura_Adquiridos,MATCH(R$2611&amp;$A1,Principal!$U$42:$U$69,0))),"",IF(INDEX(Principal!$AO$42:$AO$69,MATCH(R$2611&amp;$A1,Principal!$U$42:$U$69,0))&gt;0,INDEX(Principal!$AF$42:$AF$69,MATCH(R$2611&amp;$A1,Principal!$U$42:$U$69,0)),INDEX(PoderesDeCriatura_Adquiridos,MATCH(R$2611&amp;$A1,Principal!$U$42:$U$69,0))))</f>
        <v/>
      </c>
      <c r="S2613" s="2340" t="str">
        <f>R2613</f>
        <v/>
      </c>
      <c r="T2613" s="2341" t="str">
        <f>IF(ISNA(INDEX(PoderesDeCriatura_Adquiridos,MATCH(T$2611&amp;$A1,Principal!$U$42:$U$69,0))),"",IF(INDEX(Principal!$AO$42:$AO$69,MATCH(T$2611&amp;$A1,Principal!$U$42:$U$69,0))&gt;0,INDEX(Principal!$AF$42:$AF$69,MATCH(T$2611&amp;$A1,Principal!$U$42:$U$69,0)),INDEX(PoderesDeCriatura_Adquiridos,MATCH(T$2611&amp;$A1,Principal!$U$42:$U$69,0))))</f>
        <v/>
      </c>
      <c r="U2613" s="2340" t="str">
        <f>T2613</f>
        <v/>
      </c>
      <c r="V2613" s="2341" t="str">
        <f>IF(ISNA(INDEX(PoderesDeCriatura_Adquiridos,MATCH(V$2611&amp;$A1,Principal!$U$42:$U$69,0))),"",IF(INDEX(Principal!$AO$42:$AO$69,MATCH(V$2611&amp;$A1,Principal!$U$42:$U$69,0))&gt;0,INDEX(Principal!$AF$42:$AF$69,MATCH(V$2611&amp;$A1,Principal!$U$42:$U$69,0)),INDEX(PoderesDeCriatura_Adquiridos,MATCH(V$2611&amp;$A1,Principal!$U$42:$U$69,0))))</f>
        <v/>
      </c>
      <c r="W2613" s="2340" t="str">
        <f>V2613</f>
        <v/>
      </c>
      <c r="X2613" s="2341" t="str">
        <f>IF(ISNA(INDEX(PoderesDeCriatura_Adquiridos,MATCH(X$2611&amp;$A1,Principal!$U$42:$U$69,0))),"",IF(INDEX(Principal!$AO$42:$AO$69,MATCH(X$2611&amp;$A1,Principal!$U$42:$U$69,0))&gt;0,INDEX(Principal!$AF$42:$AF$69,MATCH(X$2611&amp;$A1,Principal!$U$42:$U$69,0)),INDEX(PoderesDeCriatura_Adquiridos,MATCH(X$2611&amp;$A1,Principal!$U$42:$U$69,0))))</f>
        <v/>
      </c>
      <c r="Y2613" s="2340" t="str">
        <f>X2613</f>
        <v/>
      </c>
      <c r="Z2613" s="2341" t="str">
        <f>IF(ISNA(INDEX(PoderesDeCriatura_Adquiridos,MATCH(Z$2611&amp;$A1,Principal!$U$42:$U$69,0))),"",IF(INDEX(Principal!$AO$42:$AO$69,MATCH(Z$2611&amp;$A1,Principal!$U$42:$U$69,0))&gt;0,INDEX(Principal!$AF$42:$AF$69,MATCH(Z$2611&amp;$A1,Principal!$U$42:$U$69,0)),INDEX(PoderesDeCriatura_Adquiridos,MATCH(Z$2611&amp;$A1,Principal!$U$42:$U$69,0))))</f>
        <v/>
      </c>
      <c r="AA2613" s="2340" t="str">
        <f>Z2613</f>
        <v/>
      </c>
      <c r="AB2613" s="2341" t="str">
        <f>IF(ISNA(INDEX(PoderesDeCriatura_Adquiridos,MATCH(AB$2611&amp;$A1,Principal!$U$42:$U$69,0))),"",IF(INDEX(Principal!$AO$42:$AO$69,MATCH(AB$2611&amp;$A1,Principal!$U$42:$U$69,0))&gt;0,INDEX(Principal!$AF$42:$AF$69,MATCH(AB$2611&amp;$A1,Principal!$U$42:$U$69,0)),INDEX(PoderesDeCriatura_Adquiridos,MATCH(AB$2611&amp;$A1,Principal!$U$42:$U$69,0))))</f>
        <v/>
      </c>
      <c r="AC2613" s="2346" t="str">
        <f>AB2613</f>
        <v/>
      </c>
      <c r="AD2613" s="2343" t="s">
        <v>3197</v>
      </c>
      <c r="AE2613" s="2348" t="s">
        <v>9180</v>
      </c>
    </row>
    <row r="2614" spans="1:31" ht="12.75" customHeight="1" x14ac:dyDescent="0.2">
      <c r="A2614" s="2029">
        <v>211</v>
      </c>
      <c r="B2614" s="4995"/>
      <c r="C2614" s="2412" t="str">
        <f t="shared" si="120"/>
        <v/>
      </c>
      <c r="D2614" s="1799" t="str">
        <f>Combate!X20</f>
        <v/>
      </c>
      <c r="E2614" s="2334" t="str">
        <f t="shared" si="121"/>
        <v/>
      </c>
      <c r="F2614" s="5124"/>
      <c r="H2614" s="2304" t="str">
        <f>IF(ISNA(VLOOKUP(A3,Principal!$S$42:$AH$69,10,FALSE)),"",IF(VLOOKUP(A3,Principal!$S$42:$AH$69,10,FALSE)=0,"",INDEX(PoderesDeCriatura_Adquiridos,MATCH(A3,Principal!$S$42:$S$69,0))))</f>
        <v/>
      </c>
      <c r="I2614" s="2475" t="str">
        <f t="shared" ref="I2614:I2641" si="122">IF(AND(I2613&lt;&gt;"",H2614&lt;&gt;""),", ","")&amp;H2614</f>
        <v/>
      </c>
      <c r="J2614" s="2341"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41"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41"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41"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41"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41"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41"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41"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41"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41" t="str">
        <f>IF(ISNA(INDEX(PoderesDeCriatura_Adquiridos,MATCH(AB$2611&amp;$A2,Principal!$U$42:$U$69,0))),"",IF(INDEX(Principal!$AO$42:$AO$69,MATCH(AB$2611&amp;$A2,Principal!$U$42:$U$69,0))&gt;0,INDEX(Principal!$AF$42:$AF$69,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4995"/>
      <c r="C2615" s="2412" t="str">
        <f t="shared" si="120"/>
        <v/>
      </c>
      <c r="D2615" s="1799" t="str">
        <f>Combate!X21</f>
        <v/>
      </c>
      <c r="E2615" s="2334" t="str">
        <f t="shared" si="121"/>
        <v/>
      </c>
      <c r="F2615" s="5124"/>
      <c r="H2615" s="2304" t="str">
        <f>IF(ISNA(VLOOKUP(A4,Principal!$S$42:$AH$69,10,FALSE)),"",IF(VLOOKUP(A4,Principal!$S$42:$AH$69,10,FALSE)=0,"",INDEX(PoderesDeCriatura_Adquiridos,MATCH(A4,Principal!$S$42:$S$69,0))))</f>
        <v/>
      </c>
      <c r="I2615" s="2475" t="str">
        <f t="shared" si="122"/>
        <v/>
      </c>
      <c r="J2615" s="2341"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3">IF(J2615="","",", "&amp;J2615)</f>
        <v/>
      </c>
      <c r="L2615" s="2341"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3"/>
        <v/>
      </c>
      <c r="N2615" s="2341"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4">IF(N2615="","",", "&amp;N2615)</f>
        <v/>
      </c>
      <c r="P2615" s="2341"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5">IF(P2615="","",", "&amp;P2615)</f>
        <v/>
      </c>
      <c r="R2615" s="2341"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6">IF(R2615="","",", "&amp;R2615)</f>
        <v/>
      </c>
      <c r="T2615" s="2341"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7">IF(T2615="","",", "&amp;T2615)</f>
        <v/>
      </c>
      <c r="V2615" s="2341"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8">IF(V2615="","",", "&amp;V2615)</f>
        <v/>
      </c>
      <c r="X2615" s="2341"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29">IF(X2615="","",", "&amp;X2615)</f>
        <v/>
      </c>
      <c r="Z2615" s="2341"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30">IF(Z2615="","",", "&amp;Z2615)</f>
        <v/>
      </c>
      <c r="AB2615" s="2341" t="str">
        <f>IF(ISNA(INDEX(PoderesDeCriatura_Adquiridos,MATCH(AB$2611&amp;$A3,Principal!$U$42:$U$69,0))),"",IF(INDEX(Principal!$AO$42:$AO$69,MATCH(AB$2611&amp;$A3,Principal!$U$42:$U$69,0))&gt;0,INDEX(Principal!$AF$42:$AF$69,MATCH(AB$2611&amp;$A3,Principal!$U$42:$U$69,0)),INDEX(PoderesDeCriatura_Adquiridos,MATCH(AB$2611&amp;$A3,Principal!$U$42:$U$69,0))))</f>
        <v/>
      </c>
      <c r="AC2615" s="2347" t="str">
        <f t="shared" ref="AC2615" si="131">IF(AB2615="","",", "&amp;AB2615)</f>
        <v/>
      </c>
      <c r="AD2615" s="2317" t="str">
        <f>IF(OR(AE2615=0,ISNUMBER(MATCH(AE2615,$AE$2614:$AE2614,0))),"",MAX($AD$2613:AD2614)+1)</f>
        <v/>
      </c>
      <c r="AE2615" s="2349">
        <f>Principal!V43</f>
        <v>0</v>
      </c>
    </row>
    <row r="2616" spans="1:31" ht="12.75" customHeight="1" x14ac:dyDescent="0.2">
      <c r="A2616" s="2029">
        <v>211</v>
      </c>
      <c r="B2616" s="4995"/>
      <c r="C2616" s="2412" t="str">
        <f t="shared" si="120"/>
        <v/>
      </c>
      <c r="D2616" s="1799" t="str">
        <f>Combate!X22</f>
        <v/>
      </c>
      <c r="E2616" s="2334" t="str">
        <f t="shared" si="121"/>
        <v/>
      </c>
      <c r="F2616" s="5124"/>
      <c r="H2616" s="2304" t="str">
        <f>IF(ISNA(VLOOKUP(A5,Principal!$S$42:$AH$69,10,FALSE)),"",IF(VLOOKUP(A5,Principal!$S$42:$AH$69,10,FALSE)=0,"",INDEX(PoderesDeCriatura_Adquiridos,MATCH(A5,Principal!$S$42:$S$69,0))))</f>
        <v/>
      </c>
      <c r="I2616" s="2475" t="str">
        <f t="shared" si="122"/>
        <v/>
      </c>
      <c r="J2616" s="2341"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3"/>
        <v/>
      </c>
      <c r="L2616" s="2341"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3"/>
        <v/>
      </c>
      <c r="N2616" s="2341"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2">IF(N2616="","",", "&amp;N2616)</f>
        <v/>
      </c>
      <c r="P2616" s="2341"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3">IF(P2616="","",", "&amp;P2616)</f>
        <v/>
      </c>
      <c r="R2616" s="2341"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4">IF(R2616="","",", "&amp;R2616)</f>
        <v/>
      </c>
      <c r="T2616" s="2341"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5">IF(T2616="","",", "&amp;T2616)</f>
        <v/>
      </c>
      <c r="V2616" s="2341"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6">IF(V2616="","",", "&amp;V2616)</f>
        <v/>
      </c>
      <c r="X2616" s="2341"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7">IF(X2616="","",", "&amp;X2616)</f>
        <v/>
      </c>
      <c r="Z2616" s="2341"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8">IF(Z2616="","",", "&amp;Z2616)</f>
        <v/>
      </c>
      <c r="AB2616" s="2341" t="str">
        <f>IF(ISNA(INDEX(PoderesDeCriatura_Adquiridos,MATCH(AB$2611&amp;$A4,Principal!$U$42:$U$69,0))),"",IF(INDEX(Principal!$AO$42:$AO$69,MATCH(AB$2611&amp;$A4,Principal!$U$42:$U$69,0))&gt;0,INDEX(Principal!$AF$42:$AF$69,MATCH(AB$2611&amp;$A4,Principal!$U$42:$U$69,0)),INDEX(PoderesDeCriatura_Adquiridos,MATCH(AB$2611&amp;$A4,Principal!$U$42:$U$69,0))))</f>
        <v/>
      </c>
      <c r="AC2616" s="2347" t="str">
        <f t="shared" ref="AC2616" si="139">IF(AB2616="","",", "&amp;AB2616)</f>
        <v/>
      </c>
      <c r="AD2616" s="2317" t="str">
        <f>IF(OR(AE2616=0,ISNUMBER(MATCH(AE2616,$AE$2614:$AE2615,0))),"",MAX($AD$2613:AD2615)+1)</f>
        <v/>
      </c>
      <c r="AE2616" s="2349">
        <f>Principal!V44</f>
        <v>0</v>
      </c>
    </row>
    <row r="2617" spans="1:31" ht="12.75" customHeight="1" x14ac:dyDescent="0.2">
      <c r="A2617" s="2029">
        <v>211</v>
      </c>
      <c r="B2617" s="4995"/>
      <c r="C2617" s="2412" t="str">
        <f t="shared" si="120"/>
        <v/>
      </c>
      <c r="D2617" s="1799" t="str">
        <f>Combate!X23</f>
        <v/>
      </c>
      <c r="E2617" s="2334" t="str">
        <f t="shared" si="121"/>
        <v/>
      </c>
      <c r="F2617" s="5124"/>
      <c r="H2617" s="2304" t="str">
        <f>IF(ISNA(VLOOKUP(A6,Principal!$S$42:$AH$69,10,FALSE)),"",IF(VLOOKUP(A6,Principal!$S$42:$AH$69,10,FALSE)=0,"",INDEX(PoderesDeCriatura_Adquiridos,MATCH(A6,Principal!$S$42:$S$69,0))))</f>
        <v/>
      </c>
      <c r="I2617" s="2475" t="str">
        <f t="shared" si="122"/>
        <v/>
      </c>
      <c r="J2617" s="2341"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3"/>
        <v/>
      </c>
      <c r="L2617" s="2341"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3"/>
        <v/>
      </c>
      <c r="N2617" s="2341"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40">IF(N2617="","",", "&amp;N2617)</f>
        <v/>
      </c>
      <c r="P2617" s="2341"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1">IF(P2617="","",", "&amp;P2617)</f>
        <v/>
      </c>
      <c r="R2617" s="2341"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2">IF(R2617="","",", "&amp;R2617)</f>
        <v/>
      </c>
      <c r="T2617" s="2341"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3">IF(T2617="","",", "&amp;T2617)</f>
        <v/>
      </c>
      <c r="V2617" s="2341"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4">IF(V2617="","",", "&amp;V2617)</f>
        <v/>
      </c>
      <c r="X2617" s="2341"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5">IF(X2617="","",", "&amp;X2617)</f>
        <v/>
      </c>
      <c r="Z2617" s="2341"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6">IF(Z2617="","",", "&amp;Z2617)</f>
        <v/>
      </c>
      <c r="AB2617" s="2341" t="str">
        <f>IF(ISNA(INDEX(PoderesDeCriatura_Adquiridos,MATCH(AB$2611&amp;$A5,Principal!$U$42:$U$69,0))),"",IF(INDEX(Principal!$AO$42:$AO$69,MATCH(AB$2611&amp;$A5,Principal!$U$42:$U$69,0))&gt;0,INDEX(Principal!$AF$42:$AF$69,MATCH(AB$2611&amp;$A5,Principal!$U$42:$U$69,0)),INDEX(PoderesDeCriatura_Adquiridos,MATCH(AB$2611&amp;$A5,Principal!$U$42:$U$69,0))))</f>
        <v/>
      </c>
      <c r="AC2617" s="2347" t="str">
        <f t="shared" ref="AC2617" si="147">IF(AB2617="","",", "&amp;AB2617)</f>
        <v/>
      </c>
      <c r="AD2617" s="2317" t="str">
        <f>IF(OR(AE2617=0,ISNUMBER(MATCH(AE2617,$AE$2614:$AE2616,0))),"",MAX($AD$2613:AD2616)+1)</f>
        <v/>
      </c>
      <c r="AE2617" s="2349">
        <f>Principal!V45</f>
        <v>0</v>
      </c>
    </row>
    <row r="2618" spans="1:31" ht="12.75" customHeight="1" x14ac:dyDescent="0.2">
      <c r="A2618" s="2029">
        <v>211</v>
      </c>
      <c r="B2618" s="4995"/>
      <c r="C2618" s="2412" t="str">
        <f t="shared" si="120"/>
        <v/>
      </c>
      <c r="D2618" s="1799" t="str">
        <f>Combate!X24</f>
        <v/>
      </c>
      <c r="E2618" s="2334" t="str">
        <f t="shared" si="121"/>
        <v/>
      </c>
      <c r="F2618" s="5124"/>
      <c r="H2618" s="2304" t="str">
        <f>IF(ISNA(VLOOKUP(A7,Principal!$S$42:$AH$69,10,FALSE)),"",IF(VLOOKUP(A7,Principal!$S$42:$AH$69,10,FALSE)=0,"",INDEX(PoderesDeCriatura_Adquiridos,MATCH(A7,Principal!$S$42:$S$69,0))))</f>
        <v/>
      </c>
      <c r="I2618" s="2475" t="str">
        <f t="shared" si="122"/>
        <v/>
      </c>
      <c r="J2618" s="2341"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3"/>
        <v/>
      </c>
      <c r="L2618" s="2341"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3"/>
        <v/>
      </c>
      <c r="N2618" s="2341"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8">IF(N2618="","",", "&amp;N2618)</f>
        <v/>
      </c>
      <c r="P2618" s="2341"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49">IF(P2618="","",", "&amp;P2618)</f>
        <v/>
      </c>
      <c r="R2618" s="2341"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50">IF(R2618="","",", "&amp;R2618)</f>
        <v/>
      </c>
      <c r="T2618" s="2341"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1">IF(T2618="","",", "&amp;T2618)</f>
        <v/>
      </c>
      <c r="V2618" s="2341"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2">IF(V2618="","",", "&amp;V2618)</f>
        <v/>
      </c>
      <c r="X2618" s="2341"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3">IF(X2618="","",", "&amp;X2618)</f>
        <v/>
      </c>
      <c r="Z2618" s="2341"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4">IF(Z2618="","",", "&amp;Z2618)</f>
        <v/>
      </c>
      <c r="AB2618" s="2341" t="str">
        <f>IF(ISNA(INDEX(PoderesDeCriatura_Adquiridos,MATCH(AB$2611&amp;$A6,Principal!$U$42:$U$69,0))),"",IF(INDEX(Principal!$AO$42:$AO$69,MATCH(AB$2611&amp;$A6,Principal!$U$42:$U$69,0))&gt;0,INDEX(Principal!$AF$42:$AF$69,MATCH(AB$2611&amp;$A6,Principal!$U$42:$U$69,0)),INDEX(PoderesDeCriatura_Adquiridos,MATCH(AB$2611&amp;$A6,Principal!$U$42:$U$69,0))))</f>
        <v/>
      </c>
      <c r="AC2618" s="2347" t="str">
        <f t="shared" ref="AC2618" si="155">IF(AB2618="","",", "&amp;AB2618)</f>
        <v/>
      </c>
      <c r="AD2618" s="2317" t="str">
        <f>IF(OR(AE2618=0,ISNUMBER(MATCH(AE2618,$AE$2614:$AE2617,0))),"",MAX($AD$2613:AD2617)+1)</f>
        <v/>
      </c>
      <c r="AE2618" s="2349">
        <f>Principal!V46</f>
        <v>0</v>
      </c>
    </row>
    <row r="2619" spans="1:31" ht="12.75" customHeight="1" x14ac:dyDescent="0.2">
      <c r="A2619" s="2029">
        <v>211</v>
      </c>
      <c r="B2619" s="4995"/>
      <c r="C2619" s="2412" t="str">
        <f t="shared" si="120"/>
        <v/>
      </c>
      <c r="D2619" s="1799" t="str">
        <f>Combate!X25</f>
        <v/>
      </c>
      <c r="E2619" s="2334" t="str">
        <f t="shared" si="121"/>
        <v/>
      </c>
      <c r="F2619" s="5124"/>
      <c r="H2619" s="2304" t="str">
        <f>IF(ISNA(VLOOKUP(A8,Principal!$S$42:$AH$69,10,FALSE)),"",IF(VLOOKUP(A8,Principal!$S$42:$AH$69,10,FALSE)=0,"",INDEX(PoderesDeCriatura_Adquiridos,MATCH(A8,Principal!$S$42:$S$69,0))))</f>
        <v/>
      </c>
      <c r="I2619" s="2475" t="str">
        <f t="shared" si="122"/>
        <v/>
      </c>
      <c r="J2619" s="2341"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3"/>
        <v/>
      </c>
      <c r="L2619" s="2341"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3"/>
        <v/>
      </c>
      <c r="N2619" s="2341"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6">IF(N2619="","",", "&amp;N2619)</f>
        <v/>
      </c>
      <c r="P2619" s="2341"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7">IF(P2619="","",", "&amp;P2619)</f>
        <v/>
      </c>
      <c r="R2619" s="2341"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8">IF(R2619="","",", "&amp;R2619)</f>
        <v/>
      </c>
      <c r="T2619" s="2341"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59">IF(T2619="","",", "&amp;T2619)</f>
        <v/>
      </c>
      <c r="V2619" s="2341"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60">IF(V2619="","",", "&amp;V2619)</f>
        <v/>
      </c>
      <c r="X2619" s="2341"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1">IF(X2619="","",", "&amp;X2619)</f>
        <v/>
      </c>
      <c r="Z2619" s="2341"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2">IF(Z2619="","",", "&amp;Z2619)</f>
        <v/>
      </c>
      <c r="AB2619" s="2341" t="str">
        <f>IF(ISNA(INDEX(PoderesDeCriatura_Adquiridos,MATCH(AB$2611&amp;$A7,Principal!$U$42:$U$69,0))),"",IF(INDEX(Principal!$AO$42:$AO$69,MATCH(AB$2611&amp;$A7,Principal!$U$42:$U$69,0))&gt;0,INDEX(Principal!$AF$42:$AF$69,MATCH(AB$2611&amp;$A7,Principal!$U$42:$U$69,0)),INDEX(PoderesDeCriatura_Adquiridos,MATCH(AB$2611&amp;$A7,Principal!$U$42:$U$69,0))))</f>
        <v/>
      </c>
      <c r="AC2619" s="2347" t="str">
        <f t="shared" ref="AC2619" si="163">IF(AB2619="","",", "&amp;AB2619)</f>
        <v/>
      </c>
      <c r="AD2619" s="2317" t="str">
        <f>IF(OR(AE2619=0,ISNUMBER(MATCH(AE2619,$AE$2614:$AE2618,0))),"",MAX($AD$2613:AD2618)+1)</f>
        <v/>
      </c>
      <c r="AE2619" s="2349">
        <f>Principal!V47</f>
        <v>0</v>
      </c>
    </row>
    <row r="2620" spans="1:31" ht="12.75" customHeight="1" x14ac:dyDescent="0.2">
      <c r="A2620" s="2029">
        <v>211</v>
      </c>
      <c r="B2620" s="4995"/>
      <c r="C2620" s="2412" t="str">
        <f t="shared" si="120"/>
        <v/>
      </c>
      <c r="D2620" s="1799" t="str">
        <f>Combate!X26</f>
        <v/>
      </c>
      <c r="E2620" s="2334" t="str">
        <f t="shared" si="121"/>
        <v/>
      </c>
      <c r="F2620" s="5124"/>
      <c r="H2620" s="2304" t="str">
        <f>IF(ISNA(VLOOKUP(A9,Principal!$S$42:$AH$69,10,FALSE)),"",IF(VLOOKUP(A9,Principal!$S$42:$AH$69,10,FALSE)=0,"",INDEX(PoderesDeCriatura_Adquiridos,MATCH(A9,Principal!$S$42:$S$69,0))))</f>
        <v/>
      </c>
      <c r="I2620" s="2475" t="str">
        <f t="shared" si="122"/>
        <v/>
      </c>
      <c r="J2620" s="2341"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3"/>
        <v/>
      </c>
      <c r="L2620" s="2341"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3"/>
        <v/>
      </c>
      <c r="N2620" s="2341"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4">IF(N2620="","",", "&amp;N2620)</f>
        <v/>
      </c>
      <c r="P2620" s="2341"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5">IF(P2620="","",", "&amp;P2620)</f>
        <v/>
      </c>
      <c r="R2620" s="2341"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6">IF(R2620="","",", "&amp;R2620)</f>
        <v/>
      </c>
      <c r="T2620" s="2341"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7">IF(T2620="","",", "&amp;T2620)</f>
        <v/>
      </c>
      <c r="V2620" s="2341"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8">IF(V2620="","",", "&amp;V2620)</f>
        <v/>
      </c>
      <c r="X2620" s="2341"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69">IF(X2620="","",", "&amp;X2620)</f>
        <v/>
      </c>
      <c r="Z2620" s="2341"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70">IF(Z2620="","",", "&amp;Z2620)</f>
        <v/>
      </c>
      <c r="AB2620" s="2341" t="str">
        <f>IF(ISNA(INDEX(PoderesDeCriatura_Adquiridos,MATCH(AB$2611&amp;$A8,Principal!$U$42:$U$69,0))),"",IF(INDEX(Principal!$AO$42:$AO$69,MATCH(AB$2611&amp;$A8,Principal!$U$42:$U$69,0))&gt;0,INDEX(Principal!$AF$42:$AF$69,MATCH(AB$2611&amp;$A8,Principal!$U$42:$U$69,0)),INDEX(PoderesDeCriatura_Adquiridos,MATCH(AB$2611&amp;$A8,Principal!$U$42:$U$69,0))))</f>
        <v/>
      </c>
      <c r="AC2620" s="2347" t="str">
        <f t="shared" ref="AC2620" si="171">IF(AB2620="","",", "&amp;AB2620)</f>
        <v/>
      </c>
      <c r="AD2620" s="2317" t="str">
        <f>IF(OR(AE2620=0,ISNUMBER(MATCH(AE2620,$AE$2614:$AE2619,0))),"",MAX($AD$2613:AD2619)+1)</f>
        <v/>
      </c>
      <c r="AE2620" s="2349">
        <f>Principal!V48</f>
        <v>0</v>
      </c>
    </row>
    <row r="2621" spans="1:31" ht="12.75" customHeight="1" x14ac:dyDescent="0.2">
      <c r="A2621" s="2029">
        <v>211</v>
      </c>
      <c r="B2621" s="4995"/>
      <c r="C2621" s="2412" t="str">
        <f t="shared" si="120"/>
        <v/>
      </c>
      <c r="D2621" s="1799" t="str">
        <f>Combate!X27</f>
        <v/>
      </c>
      <c r="E2621" s="2334" t="str">
        <f t="shared" si="121"/>
        <v/>
      </c>
      <c r="F2621" s="5124"/>
      <c r="H2621" s="2304" t="str">
        <f>IF(ISNA(VLOOKUP(A10,Principal!$S$42:$AH$69,10,FALSE)),"",IF(VLOOKUP(A10,Principal!$S$42:$AH$69,10,FALSE)=0,"",INDEX(PoderesDeCriatura_Adquiridos,MATCH(A10,Principal!$S$42:$S$69,0))))</f>
        <v/>
      </c>
      <c r="I2621" s="2475" t="str">
        <f t="shared" si="122"/>
        <v/>
      </c>
      <c r="J2621" s="2341"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3"/>
        <v/>
      </c>
      <c r="L2621" s="2341"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3"/>
        <v/>
      </c>
      <c r="N2621" s="2341"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2">IF(N2621="","",", "&amp;N2621)</f>
        <v/>
      </c>
      <c r="P2621" s="2341"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3">IF(P2621="","",", "&amp;P2621)</f>
        <v/>
      </c>
      <c r="R2621" s="2341"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4">IF(R2621="","",", "&amp;R2621)</f>
        <v/>
      </c>
      <c r="T2621" s="2341"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5">IF(T2621="","",", "&amp;T2621)</f>
        <v/>
      </c>
      <c r="V2621" s="2341"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6">IF(V2621="","",", "&amp;V2621)</f>
        <v/>
      </c>
      <c r="X2621" s="2341"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7">IF(X2621="","",", "&amp;X2621)</f>
        <v/>
      </c>
      <c r="Z2621" s="2341"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8">IF(Z2621="","",", "&amp;Z2621)</f>
        <v/>
      </c>
      <c r="AB2621" s="2341" t="str">
        <f>IF(ISNA(INDEX(PoderesDeCriatura_Adquiridos,MATCH(AB$2611&amp;$A9,Principal!$U$42:$U$69,0))),"",IF(INDEX(Principal!$AO$42:$AO$69,MATCH(AB$2611&amp;$A9,Principal!$U$42:$U$69,0))&gt;0,INDEX(Principal!$AF$42:$AF$69,MATCH(AB$2611&amp;$A9,Principal!$U$42:$U$69,0)),INDEX(PoderesDeCriatura_Adquiridos,MATCH(AB$2611&amp;$A9,Principal!$U$42:$U$69,0))))</f>
        <v/>
      </c>
      <c r="AC2621" s="2347" t="str">
        <f t="shared" ref="AC2621" si="179">IF(AB2621="","",", "&amp;AB2621)</f>
        <v/>
      </c>
      <c r="AD2621" s="2317" t="str">
        <f>IF(OR(AE2621=0,ISNUMBER(MATCH(AE2621,$AE$2614:$AE2620,0))),"",MAX($AD$2613:AD2620)+1)</f>
        <v/>
      </c>
      <c r="AE2621" s="2349">
        <f>Principal!V49</f>
        <v>0</v>
      </c>
    </row>
    <row r="2622" spans="1:31" ht="12.75" customHeight="1" x14ac:dyDescent="0.2">
      <c r="A2622" s="2029">
        <v>211</v>
      </c>
      <c r="B2622" s="4995"/>
      <c r="C2622" s="2412" t="str">
        <f t="shared" si="120"/>
        <v/>
      </c>
      <c r="D2622" s="2319" t="str">
        <f>Combate!X28</f>
        <v/>
      </c>
      <c r="E2622" s="2334" t="str">
        <f t="shared" si="121"/>
        <v/>
      </c>
      <c r="F2622" s="5124"/>
      <c r="H2622" s="2304" t="str">
        <f>IF(ISNA(VLOOKUP(A11,Principal!$S$42:$AH$69,10,FALSE)),"",IF(VLOOKUP(A11,Principal!$S$42:$AH$69,10,FALSE)=0,"",INDEX(PoderesDeCriatura_Adquiridos,MATCH(A11,Principal!$S$42:$S$69,0))))</f>
        <v/>
      </c>
      <c r="I2622" s="2475" t="str">
        <f t="shared" si="122"/>
        <v/>
      </c>
      <c r="J2622" s="2341"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3"/>
        <v/>
      </c>
      <c r="L2622" s="2341"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3"/>
        <v/>
      </c>
      <c r="N2622" s="2341"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80">IF(N2622="","",", "&amp;N2622)</f>
        <v/>
      </c>
      <c r="P2622" s="2341"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1">IF(P2622="","",", "&amp;P2622)</f>
        <v/>
      </c>
      <c r="R2622" s="2341"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2">IF(R2622="","",", "&amp;R2622)</f>
        <v/>
      </c>
      <c r="T2622" s="2341"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3">IF(T2622="","",", "&amp;T2622)</f>
        <v/>
      </c>
      <c r="V2622" s="2341"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4">IF(V2622="","",", "&amp;V2622)</f>
        <v/>
      </c>
      <c r="X2622" s="2341"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5">IF(X2622="","",", "&amp;X2622)</f>
        <v/>
      </c>
      <c r="Z2622" s="2341"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6">IF(Z2622="","",", "&amp;Z2622)</f>
        <v/>
      </c>
      <c r="AB2622" s="2341"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7" t="str">
        <f t="shared" ref="AC2622" si="187">IF(AB2622="","",", "&amp;AB2622)</f>
        <v/>
      </c>
      <c r="AD2622" s="2317" t="str">
        <f>IF(OR(AE2622=0,ISNUMBER(MATCH(AE2622,$AE$2614:$AE2621,0))),"",MAX($AD$2613:AD2621)+1)</f>
        <v/>
      </c>
      <c r="AE2622" s="2349">
        <f>Principal!V50</f>
        <v>0</v>
      </c>
    </row>
    <row r="2623" spans="1:31" ht="12.75" customHeight="1" x14ac:dyDescent="0.2">
      <c r="A2623" s="2029">
        <v>211</v>
      </c>
      <c r="B2623" s="4995"/>
      <c r="C2623" s="2416" t="str">
        <f t="shared" ref="C2623:C2641" si="18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1"/>
        <v/>
      </c>
      <c r="F2623" s="5124"/>
      <c r="H2623" s="2304" t="str">
        <f>IF(ISNA(VLOOKUP(A12,Principal!$S$42:$AH$69,10,FALSE)),"",IF(VLOOKUP(A12,Principal!$S$42:$AH$69,10,FALSE)=0,"",INDEX(PoderesDeCriatura_Adquiridos,MATCH(A12,Principal!$S$42:$S$69,0))))</f>
        <v/>
      </c>
      <c r="I2623" s="2475" t="str">
        <f t="shared" si="122"/>
        <v/>
      </c>
      <c r="J2623" s="2341"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3"/>
        <v/>
      </c>
      <c r="L2623" s="2341"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3"/>
        <v/>
      </c>
      <c r="N2623" s="2341"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89">IF(N2623="","",", "&amp;N2623)</f>
        <v/>
      </c>
      <c r="P2623" s="2341"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90">IF(P2623="","",", "&amp;P2623)</f>
        <v/>
      </c>
      <c r="R2623" s="2341"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1">IF(R2623="","",", "&amp;R2623)</f>
        <v/>
      </c>
      <c r="T2623" s="2341"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2">IF(T2623="","",", "&amp;T2623)</f>
        <v/>
      </c>
      <c r="V2623" s="2341"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3">IF(V2623="","",", "&amp;V2623)</f>
        <v/>
      </c>
      <c r="X2623" s="2341"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4">IF(X2623="","",", "&amp;X2623)</f>
        <v/>
      </c>
      <c r="Z2623" s="2341"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5">IF(Z2623="","",", "&amp;Z2623)</f>
        <v/>
      </c>
      <c r="AB2623" s="2341"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7" t="str">
        <f t="shared" ref="AC2623" si="196">IF(AB2623="","",", "&amp;AB2623)</f>
        <v/>
      </c>
      <c r="AD2623" s="2317" t="str">
        <f>IF(OR(AE2623=0,ISNUMBER(MATCH(AE2623,$AE$2614:$AE2622,0))),"",MAX($AD$2613:AD2622)+1)</f>
        <v/>
      </c>
      <c r="AE2623" s="2349">
        <f>Principal!V51</f>
        <v>0</v>
      </c>
    </row>
    <row r="2624" spans="1:31" ht="12.75" customHeight="1" x14ac:dyDescent="0.2">
      <c r="A2624" s="2029">
        <v>211</v>
      </c>
      <c r="B2624" s="4995"/>
      <c r="C2624" s="2416" t="str">
        <f t="shared" si="188"/>
        <v/>
      </c>
      <c r="D2624" s="1799" t="str">
        <f>Combate!X32</f>
        <v/>
      </c>
      <c r="E2624" s="2334" t="str">
        <f t="shared" si="121"/>
        <v/>
      </c>
      <c r="F2624" s="5124"/>
      <c r="H2624" s="2304" t="str">
        <f>IF(ISNA(VLOOKUP(A13,Principal!$S$42:$AH$69,10,FALSE)),"",IF(VLOOKUP(A13,Principal!$S$42:$AH$69,10,FALSE)=0,"",INDEX(PoderesDeCriatura_Adquiridos,MATCH(A13,Principal!$S$42:$S$69,0))))</f>
        <v/>
      </c>
      <c r="I2624" s="2475" t="str">
        <f t="shared" si="122"/>
        <v/>
      </c>
      <c r="J2624" s="2341"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3"/>
        <v/>
      </c>
      <c r="L2624" s="2341"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3"/>
        <v/>
      </c>
      <c r="N2624" s="2341"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7">IF(N2624="","",", "&amp;N2624)</f>
        <v/>
      </c>
      <c r="P2624" s="2341"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8">IF(P2624="","",", "&amp;P2624)</f>
        <v/>
      </c>
      <c r="R2624" s="2341"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199">IF(R2624="","",", "&amp;R2624)</f>
        <v/>
      </c>
      <c r="T2624" s="2341"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200">IF(T2624="","",", "&amp;T2624)</f>
        <v/>
      </c>
      <c r="V2624" s="2341"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1">IF(V2624="","",", "&amp;V2624)</f>
        <v/>
      </c>
      <c r="X2624" s="2341"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2">IF(X2624="","",", "&amp;X2624)</f>
        <v/>
      </c>
      <c r="Z2624" s="2341"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3">IF(Z2624="","",", "&amp;Z2624)</f>
        <v/>
      </c>
      <c r="AB2624" s="2341"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7" t="str">
        <f t="shared" ref="AC2624" si="204">IF(AB2624="","",", "&amp;AB2624)</f>
        <v/>
      </c>
      <c r="AD2624" s="2317" t="str">
        <f>IF(OR(AE2624=0,ISNUMBER(MATCH(AE2624,$AE$2614:$AE2623,0))),"",MAX($AD$2613:AD2623)+1)</f>
        <v/>
      </c>
      <c r="AE2624" s="2349">
        <f>Principal!V52</f>
        <v>0</v>
      </c>
    </row>
    <row r="2625" spans="1:31" ht="12.75" customHeight="1" x14ac:dyDescent="0.2">
      <c r="A2625" s="2029">
        <v>211</v>
      </c>
      <c r="B2625" s="4995"/>
      <c r="C2625" s="2416" t="str">
        <f t="shared" si="188"/>
        <v/>
      </c>
      <c r="D2625" s="1799" t="str">
        <f>Combate!X33</f>
        <v/>
      </c>
      <c r="E2625" s="2334" t="str">
        <f t="shared" si="121"/>
        <v/>
      </c>
      <c r="F2625" s="5124"/>
      <c r="H2625" s="2304" t="str">
        <f>IF(ISNA(VLOOKUP(A14,Principal!$S$42:$AH$69,10,FALSE)),"",IF(VLOOKUP(A14,Principal!$S$42:$AH$69,10,FALSE)=0,"",INDEX(PoderesDeCriatura_Adquiridos,MATCH(A14,Principal!$S$42:$S$69,0))))</f>
        <v/>
      </c>
      <c r="I2625" s="2475" t="str">
        <f t="shared" si="122"/>
        <v/>
      </c>
      <c r="J2625" s="2341"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3"/>
        <v/>
      </c>
      <c r="L2625" s="2341"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3"/>
        <v/>
      </c>
      <c r="N2625" s="2341"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5">IF(N2625="","",", "&amp;N2625)</f>
        <v/>
      </c>
      <c r="P2625" s="2341"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6">IF(P2625="","",", "&amp;P2625)</f>
        <v/>
      </c>
      <c r="R2625" s="2341"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7">IF(R2625="","",", "&amp;R2625)</f>
        <v/>
      </c>
      <c r="T2625" s="2341"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8">IF(T2625="","",", "&amp;T2625)</f>
        <v/>
      </c>
      <c r="V2625" s="2341"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09">IF(V2625="","",", "&amp;V2625)</f>
        <v/>
      </c>
      <c r="X2625" s="2341"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10">IF(X2625="","",", "&amp;X2625)</f>
        <v/>
      </c>
      <c r="Z2625" s="2341"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1">IF(Z2625="","",", "&amp;Z2625)</f>
        <v/>
      </c>
      <c r="AB2625" s="2341"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7" t="str">
        <f t="shared" ref="AC2625" si="212">IF(AB2625="","",", "&amp;AB2625)</f>
        <v/>
      </c>
      <c r="AD2625" s="2317" t="str">
        <f>IF(OR(AE2625=0,ISNUMBER(MATCH(AE2625,$AE$2614:$AE2624,0))),"",MAX($AD$2613:AD2624)+1)</f>
        <v/>
      </c>
      <c r="AE2625" s="2349">
        <f>Principal!V53</f>
        <v>0</v>
      </c>
    </row>
    <row r="2626" spans="1:31" ht="12.75" customHeight="1" x14ac:dyDescent="0.2">
      <c r="A2626" s="2029">
        <v>211</v>
      </c>
      <c r="B2626" s="4995"/>
      <c r="C2626" s="2416" t="str">
        <f t="shared" si="188"/>
        <v/>
      </c>
      <c r="D2626" s="1799" t="str">
        <f>Combate!X34</f>
        <v/>
      </c>
      <c r="E2626" s="2334" t="str">
        <f t="shared" si="121"/>
        <v/>
      </c>
      <c r="F2626" s="5124"/>
      <c r="H2626" s="2304" t="str">
        <f>IF(ISNA(VLOOKUP(A15,Principal!$S$42:$AH$69,10,FALSE)),"",IF(VLOOKUP(A15,Principal!$S$42:$AH$69,10,FALSE)=0,"",INDEX(PoderesDeCriatura_Adquiridos,MATCH(A15,Principal!$S$42:$S$69,0))))</f>
        <v/>
      </c>
      <c r="I2626" s="2475" t="str">
        <f t="shared" si="122"/>
        <v/>
      </c>
      <c r="J2626" s="2341"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3"/>
        <v/>
      </c>
      <c r="L2626" s="2341"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3"/>
        <v/>
      </c>
      <c r="N2626" s="2341"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3">IF(N2626="","",", "&amp;N2626)</f>
        <v/>
      </c>
      <c r="P2626" s="2341"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4">IF(P2626="","",", "&amp;P2626)</f>
        <v/>
      </c>
      <c r="R2626" s="2341"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5">IF(R2626="","",", "&amp;R2626)</f>
        <v/>
      </c>
      <c r="T2626" s="2341"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6">IF(T2626="","",", "&amp;T2626)</f>
        <v/>
      </c>
      <c r="V2626" s="2341"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7">IF(V2626="","",", "&amp;V2626)</f>
        <v/>
      </c>
      <c r="X2626" s="2341"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8">IF(X2626="","",", "&amp;X2626)</f>
        <v/>
      </c>
      <c r="Z2626" s="2341"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19">IF(Z2626="","",", "&amp;Z2626)</f>
        <v/>
      </c>
      <c r="AB2626" s="2341"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7" t="str">
        <f t="shared" ref="AC2626" si="220">IF(AB2626="","",", "&amp;AB2626)</f>
        <v/>
      </c>
      <c r="AD2626" s="2317" t="str">
        <f>IF(OR(AE2626=0,ISNUMBER(MATCH(AE2626,$AE$2614:$AE2625,0))),"",MAX($AD$2613:AD2625)+1)</f>
        <v/>
      </c>
      <c r="AE2626" s="2349">
        <f>Principal!V54</f>
        <v>0</v>
      </c>
    </row>
    <row r="2627" spans="1:31" ht="12.75" customHeight="1" x14ac:dyDescent="0.2">
      <c r="A2627" s="2029">
        <v>211</v>
      </c>
      <c r="B2627" s="4995"/>
      <c r="C2627" s="2416" t="str">
        <f t="shared" si="188"/>
        <v/>
      </c>
      <c r="D2627" s="1799" t="str">
        <f>Combate!X35</f>
        <v/>
      </c>
      <c r="E2627" s="2334" t="str">
        <f t="shared" si="121"/>
        <v/>
      </c>
      <c r="F2627" s="5124"/>
      <c r="H2627" s="2304" t="str">
        <f>IF(ISNA(VLOOKUP(A16,Principal!$S$42:$AH$69,10,FALSE)),"",IF(VLOOKUP(A16,Principal!$S$42:$AH$69,10,FALSE)=0,"",INDEX(PoderesDeCriatura_Adquiridos,MATCH(A16,Principal!$S$42:$S$69,0))))</f>
        <v/>
      </c>
      <c r="I2627" s="2475" t="str">
        <f t="shared" si="122"/>
        <v/>
      </c>
      <c r="J2627" s="2341"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3"/>
        <v/>
      </c>
      <c r="L2627" s="2341"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3"/>
        <v/>
      </c>
      <c r="N2627" s="2341"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1">IF(N2627="","",", "&amp;N2627)</f>
        <v/>
      </c>
      <c r="P2627" s="2341"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2">IF(P2627="","",", "&amp;P2627)</f>
        <v/>
      </c>
      <c r="R2627" s="2341"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3">IF(R2627="","",", "&amp;R2627)</f>
        <v/>
      </c>
      <c r="T2627" s="2341"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4">IF(T2627="","",", "&amp;T2627)</f>
        <v/>
      </c>
      <c r="V2627" s="2341"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5">IF(V2627="","",", "&amp;V2627)</f>
        <v/>
      </c>
      <c r="X2627" s="2341"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6">IF(X2627="","",", "&amp;X2627)</f>
        <v/>
      </c>
      <c r="Z2627" s="2341"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7">IF(Z2627="","",", "&amp;Z2627)</f>
        <v/>
      </c>
      <c r="AB2627" s="2341"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7" t="str">
        <f t="shared" ref="AC2627" si="228">IF(AB2627="","",", "&amp;AB2627)</f>
        <v/>
      </c>
      <c r="AD2627" s="2317" t="str">
        <f>IF(OR(AE2627=0,ISNUMBER(MATCH(AE2627,$AE$2614:$AE2626,0))),"",MAX($AD$2613:AD2626)+1)</f>
        <v/>
      </c>
      <c r="AE2627" s="2349">
        <f>Principal!V55</f>
        <v>0</v>
      </c>
    </row>
    <row r="2628" spans="1:31" ht="12.75" customHeight="1" x14ac:dyDescent="0.2">
      <c r="A2628" s="2029">
        <v>211</v>
      </c>
      <c r="B2628" s="4995"/>
      <c r="C2628" s="2416" t="str">
        <f t="shared" si="188"/>
        <v/>
      </c>
      <c r="D2628" s="1799" t="str">
        <f>Combate!X36</f>
        <v/>
      </c>
      <c r="E2628" s="2334" t="str">
        <f t="shared" si="121"/>
        <v/>
      </c>
      <c r="F2628" s="5124"/>
      <c r="H2628" s="2304" t="str">
        <f>IF(ISNA(VLOOKUP(A17,Principal!$S$42:$AH$69,10,FALSE)),"",IF(VLOOKUP(A17,Principal!$S$42:$AH$69,10,FALSE)=0,"",INDEX(PoderesDeCriatura_Adquiridos,MATCH(A17,Principal!$S$42:$S$69,0))))</f>
        <v/>
      </c>
      <c r="I2628" s="2475" t="str">
        <f t="shared" si="122"/>
        <v/>
      </c>
      <c r="J2628" s="2341"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3"/>
        <v/>
      </c>
      <c r="L2628" s="2341"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3"/>
        <v/>
      </c>
      <c r="N2628" s="2341"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29">IF(N2628="","",", "&amp;N2628)</f>
        <v/>
      </c>
      <c r="P2628" s="2341"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30">IF(P2628="","",", "&amp;P2628)</f>
        <v/>
      </c>
      <c r="R2628" s="2341"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1">IF(R2628="","",", "&amp;R2628)</f>
        <v/>
      </c>
      <c r="T2628" s="2341"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2">IF(T2628="","",", "&amp;T2628)</f>
        <v/>
      </c>
      <c r="V2628" s="2341"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3">IF(V2628="","",", "&amp;V2628)</f>
        <v/>
      </c>
      <c r="X2628" s="2341"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4">IF(X2628="","",", "&amp;X2628)</f>
        <v/>
      </c>
      <c r="Z2628" s="2341"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5">IF(Z2628="","",", "&amp;Z2628)</f>
        <v/>
      </c>
      <c r="AB2628" s="2341"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7" t="str">
        <f t="shared" ref="AC2628" si="236">IF(AB2628="","",", "&amp;AB2628)</f>
        <v/>
      </c>
      <c r="AD2628" s="2317" t="str">
        <f>IF(OR(AE2628=0,ISNUMBER(MATCH(AE2628,$AE$2614:$AE2627,0))),"",MAX($AD$2613:AD2627)+1)</f>
        <v/>
      </c>
      <c r="AE2628" s="2349">
        <f>Principal!V56</f>
        <v>0</v>
      </c>
    </row>
    <row r="2629" spans="1:31" ht="12.75" customHeight="1" x14ac:dyDescent="0.2">
      <c r="A2629" s="2029">
        <v>211</v>
      </c>
      <c r="B2629" s="4995"/>
      <c r="C2629" s="2416" t="str">
        <f t="shared" si="188"/>
        <v/>
      </c>
      <c r="D2629" s="1799" t="str">
        <f>Combate!X37</f>
        <v/>
      </c>
      <c r="E2629" s="2334" t="str">
        <f t="shared" si="121"/>
        <v/>
      </c>
      <c r="F2629" s="5124"/>
      <c r="H2629" s="2304" t="str">
        <f>IF(ISNA(VLOOKUP(A18,Principal!$S$42:$AH$69,10,FALSE)),"",IF(VLOOKUP(A18,Principal!$S$42:$AH$69,10,FALSE)=0,"",INDEX(PoderesDeCriatura_Adquiridos,MATCH(A18,Principal!$S$42:$S$69,0))))</f>
        <v/>
      </c>
      <c r="I2629" s="2475" t="str">
        <f t="shared" si="122"/>
        <v/>
      </c>
      <c r="J2629" s="2341"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3"/>
        <v/>
      </c>
      <c r="L2629" s="2341"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3"/>
        <v/>
      </c>
      <c r="N2629" s="2341"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7">IF(N2629="","",", "&amp;N2629)</f>
        <v/>
      </c>
      <c r="P2629" s="2341"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8">IF(P2629="","",", "&amp;P2629)</f>
        <v/>
      </c>
      <c r="R2629" s="2341"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39">IF(R2629="","",", "&amp;R2629)</f>
        <v/>
      </c>
      <c r="T2629" s="2341"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40">IF(T2629="","",", "&amp;T2629)</f>
        <v/>
      </c>
      <c r="V2629" s="2341"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1">IF(V2629="","",", "&amp;V2629)</f>
        <v/>
      </c>
      <c r="X2629" s="2341"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2">IF(X2629="","",", "&amp;X2629)</f>
        <v/>
      </c>
      <c r="Z2629" s="2341"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3">IF(Z2629="","",", "&amp;Z2629)</f>
        <v/>
      </c>
      <c r="AB2629" s="2341"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7" t="str">
        <f t="shared" ref="AC2629" si="244">IF(AB2629="","",", "&amp;AB2629)</f>
        <v/>
      </c>
      <c r="AD2629" s="2317" t="str">
        <f>IF(OR(AE2629=0,ISNUMBER(MATCH(AE2629,$AE$2614:$AE2628,0))),"",MAX($AD$2613:AD2628)+1)</f>
        <v/>
      </c>
      <c r="AE2629" s="2349">
        <f>Principal!V57</f>
        <v>0</v>
      </c>
    </row>
    <row r="2630" spans="1:31" ht="12.75" customHeight="1" x14ac:dyDescent="0.2">
      <c r="A2630" s="2029">
        <v>211</v>
      </c>
      <c r="B2630" s="4995"/>
      <c r="C2630" s="2416" t="str">
        <f t="shared" si="188"/>
        <v/>
      </c>
      <c r="D2630" s="1799" t="str">
        <f>Combate!X38</f>
        <v/>
      </c>
      <c r="E2630" s="2334" t="str">
        <f t="shared" si="121"/>
        <v/>
      </c>
      <c r="F2630" s="5124"/>
      <c r="H2630" s="2304" t="str">
        <f>IF(ISNA(VLOOKUP(A19,Principal!$S$42:$AH$69,10,FALSE)),"",IF(VLOOKUP(A19,Principal!$S$42:$AH$69,10,FALSE)=0,"",INDEX(PoderesDeCriatura_Adquiridos,MATCH(A19,Principal!$S$42:$S$69,0))))</f>
        <v/>
      </c>
      <c r="I2630" s="2475" t="str">
        <f t="shared" si="122"/>
        <v/>
      </c>
      <c r="J2630" s="2341"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3"/>
        <v/>
      </c>
      <c r="L2630" s="2341"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3"/>
        <v/>
      </c>
      <c r="N2630" s="2341"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5">IF(N2630="","",", "&amp;N2630)</f>
        <v/>
      </c>
      <c r="P2630" s="2341"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6">IF(P2630="","",", "&amp;P2630)</f>
        <v/>
      </c>
      <c r="R2630" s="2341"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7">IF(R2630="","",", "&amp;R2630)</f>
        <v/>
      </c>
      <c r="T2630" s="2341"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8">IF(T2630="","",", "&amp;T2630)</f>
        <v/>
      </c>
      <c r="V2630" s="2341"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49">IF(V2630="","",", "&amp;V2630)</f>
        <v/>
      </c>
      <c r="X2630" s="2341"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50">IF(X2630="","",", "&amp;X2630)</f>
        <v/>
      </c>
      <c r="Z2630" s="2341"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1">IF(Z2630="","",", "&amp;Z2630)</f>
        <v/>
      </c>
      <c r="AB2630" s="2341"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7" t="str">
        <f t="shared" ref="AC2630" si="252">IF(AB2630="","",", "&amp;AB2630)</f>
        <v/>
      </c>
      <c r="AD2630" s="2317" t="str">
        <f>IF(OR(AE2630=0,ISNUMBER(MATCH(AE2630,$AE$2614:$AE2629,0))),"",MAX($AD$2613:AD2629)+1)</f>
        <v/>
      </c>
      <c r="AE2630" s="2349">
        <f>Principal!V58</f>
        <v>0</v>
      </c>
    </row>
    <row r="2631" spans="1:31" ht="12.75" customHeight="1" x14ac:dyDescent="0.2">
      <c r="A2631" s="2029">
        <v>211</v>
      </c>
      <c r="B2631" s="4995"/>
      <c r="C2631" s="2416" t="str">
        <f t="shared" si="188"/>
        <v/>
      </c>
      <c r="D2631" s="1799" t="str">
        <f>Combate!X39</f>
        <v/>
      </c>
      <c r="E2631" s="2334" t="str">
        <f t="shared" si="121"/>
        <v/>
      </c>
      <c r="F2631" s="5124"/>
      <c r="H2631" s="2304" t="str">
        <f>IF(ISNA(VLOOKUP(A20,Principal!$S$42:$AH$69,10,FALSE)),"",IF(VLOOKUP(A20,Principal!$S$42:$AH$69,10,FALSE)=0,"",INDEX(PoderesDeCriatura_Adquiridos,MATCH(A20,Principal!$S$42:$S$69,0))))</f>
        <v/>
      </c>
      <c r="I2631" s="2475" t="str">
        <f t="shared" si="122"/>
        <v/>
      </c>
      <c r="J2631" s="2341"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3"/>
        <v/>
      </c>
      <c r="L2631" s="2341"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3"/>
        <v/>
      </c>
      <c r="N2631" s="2341"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3">IF(N2631="","",", "&amp;N2631)</f>
        <v/>
      </c>
      <c r="P2631" s="2341"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4">IF(P2631="","",", "&amp;P2631)</f>
        <v/>
      </c>
      <c r="R2631" s="2341"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5">IF(R2631="","",", "&amp;R2631)</f>
        <v/>
      </c>
      <c r="T2631" s="2341"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6">IF(T2631="","",", "&amp;T2631)</f>
        <v/>
      </c>
      <c r="V2631" s="2341"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7">IF(V2631="","",", "&amp;V2631)</f>
        <v/>
      </c>
      <c r="X2631" s="2341"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8">IF(X2631="","",", "&amp;X2631)</f>
        <v/>
      </c>
      <c r="Z2631" s="2341"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59">IF(Z2631="","",", "&amp;Z2631)</f>
        <v/>
      </c>
      <c r="AB2631" s="2341"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7" t="str">
        <f t="shared" ref="AC2631" si="260">IF(AB2631="","",", "&amp;AB2631)</f>
        <v/>
      </c>
      <c r="AD2631" s="2317" t="str">
        <f>IF(OR(AE2631=0,ISNUMBER(MATCH(AE2631,$AE$2614:$AE2630,0))),"",MAX($AD$2613:AD2630)+1)</f>
        <v/>
      </c>
      <c r="AE2631" s="2349">
        <f>Principal!V59</f>
        <v>0</v>
      </c>
    </row>
    <row r="2632" spans="1:31" ht="12.75" customHeight="1" x14ac:dyDescent="0.2">
      <c r="A2632" s="2029">
        <v>211</v>
      </c>
      <c r="B2632" s="4995"/>
      <c r="C2632" s="2416" t="str">
        <f t="shared" si="188"/>
        <v/>
      </c>
      <c r="D2632" s="1799" t="str">
        <f>Combate!X40</f>
        <v/>
      </c>
      <c r="E2632" s="2334" t="str">
        <f t="shared" si="121"/>
        <v/>
      </c>
      <c r="F2632" s="5124"/>
      <c r="H2632" s="2304" t="str">
        <f>IF(ISNA(VLOOKUP(A21,Principal!$S$42:$AH$69,10,FALSE)),"",IF(VLOOKUP(A21,Principal!$S$42:$AH$69,10,FALSE)=0,"",INDEX(PoderesDeCriatura_Adquiridos,MATCH(A21,Principal!$S$42:$S$69,0))))</f>
        <v/>
      </c>
      <c r="I2632" s="2475" t="str">
        <f t="shared" si="122"/>
        <v/>
      </c>
      <c r="J2632" s="2341"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3"/>
        <v/>
      </c>
      <c r="L2632" s="2341"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3"/>
        <v/>
      </c>
      <c r="N2632" s="2341"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1">IF(N2632="","",", "&amp;N2632)</f>
        <v/>
      </c>
      <c r="P2632" s="2341"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2">IF(P2632="","",", "&amp;P2632)</f>
        <v/>
      </c>
      <c r="R2632" s="2341"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3">IF(R2632="","",", "&amp;R2632)</f>
        <v/>
      </c>
      <c r="T2632" s="2341"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4">IF(T2632="","",", "&amp;T2632)</f>
        <v/>
      </c>
      <c r="V2632" s="2341"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5">IF(V2632="","",", "&amp;V2632)</f>
        <v/>
      </c>
      <c r="X2632" s="2341"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6">IF(X2632="","",", "&amp;X2632)</f>
        <v/>
      </c>
      <c r="Z2632" s="2341"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7">IF(Z2632="","",", "&amp;Z2632)</f>
        <v/>
      </c>
      <c r="AB2632" s="2341"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7" t="str">
        <f t="shared" ref="AC2632" si="268">IF(AB2632="","",", "&amp;AB2632)</f>
        <v/>
      </c>
      <c r="AD2632" s="2317" t="str">
        <f>IF(OR(AE2632=0,ISNUMBER(MATCH(AE2632,$AE$2614:$AE2631,0))),"",MAX($AD$2613:AD2631)+1)</f>
        <v/>
      </c>
      <c r="AE2632" s="2349">
        <f>Principal!V60</f>
        <v>0</v>
      </c>
    </row>
    <row r="2633" spans="1:31" ht="12.75" customHeight="1" x14ac:dyDescent="0.2">
      <c r="A2633" s="2029">
        <v>211</v>
      </c>
      <c r="B2633" s="4995"/>
      <c r="C2633" s="2416" t="str">
        <f t="shared" si="188"/>
        <v/>
      </c>
      <c r="D2633" s="1799" t="str">
        <f>Combate!X41</f>
        <v/>
      </c>
      <c r="E2633" s="2334" t="str">
        <f t="shared" si="121"/>
        <v/>
      </c>
      <c r="F2633" s="5124"/>
      <c r="H2633" s="2304" t="str">
        <f>IF(ISNA(VLOOKUP(A22,Principal!$S$42:$AH$69,10,FALSE)),"",IF(VLOOKUP(A22,Principal!$S$42:$AH$69,10,FALSE)=0,"",INDEX(PoderesDeCriatura_Adquiridos,MATCH(A22,Principal!$S$42:$S$69,0))))</f>
        <v/>
      </c>
      <c r="I2633" s="2475" t="str">
        <f t="shared" si="122"/>
        <v/>
      </c>
      <c r="J2633" s="2341"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3"/>
        <v/>
      </c>
      <c r="L2633" s="2341"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3"/>
        <v/>
      </c>
      <c r="N2633" s="2341"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69">IF(N2633="","",", "&amp;N2633)</f>
        <v/>
      </c>
      <c r="P2633" s="2341"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70">IF(P2633="","",", "&amp;P2633)</f>
        <v/>
      </c>
      <c r="R2633" s="2341"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1">IF(R2633="","",", "&amp;R2633)</f>
        <v/>
      </c>
      <c r="T2633" s="2341"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2">IF(T2633="","",", "&amp;T2633)</f>
        <v/>
      </c>
      <c r="V2633" s="2341"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3">IF(V2633="","",", "&amp;V2633)</f>
        <v/>
      </c>
      <c r="X2633" s="2341"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4">IF(X2633="","",", "&amp;X2633)</f>
        <v/>
      </c>
      <c r="Z2633" s="2341"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5">IF(Z2633="","",", "&amp;Z2633)</f>
        <v/>
      </c>
      <c r="AB2633" s="2341"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7" t="str">
        <f t="shared" ref="AC2633" si="276">IF(AB2633="","",", "&amp;AB2633)</f>
        <v/>
      </c>
      <c r="AD2633" s="2317" t="str">
        <f>IF(OR(AE2633=0,ISNUMBER(MATCH(AE2633,$AE$2614:$AE2632,0))),"",MAX($AD$2613:AD2632)+1)</f>
        <v/>
      </c>
      <c r="AE2633" s="2349">
        <f>Principal!V61</f>
        <v>0</v>
      </c>
    </row>
    <row r="2634" spans="1:31" ht="12.75" customHeight="1" x14ac:dyDescent="0.2">
      <c r="A2634" s="2029">
        <v>211</v>
      </c>
      <c r="B2634" s="4995"/>
      <c r="C2634" s="2416" t="str">
        <f t="shared" si="188"/>
        <v/>
      </c>
      <c r="D2634" s="1799" t="str">
        <f>Combate!X42</f>
        <v/>
      </c>
      <c r="E2634" s="2334" t="str">
        <f t="shared" si="121"/>
        <v/>
      </c>
      <c r="F2634" s="5124"/>
      <c r="H2634" s="2304" t="str">
        <f>IF(ISNA(VLOOKUP(A23,Principal!$S$42:$AH$69,10,FALSE)),"",IF(VLOOKUP(A23,Principal!$S$42:$AH$69,10,FALSE)=0,"",INDEX(PoderesDeCriatura_Adquiridos,MATCH(A23,Principal!$S$42:$S$69,0))))</f>
        <v/>
      </c>
      <c r="I2634" s="2475" t="str">
        <f t="shared" si="122"/>
        <v/>
      </c>
      <c r="J2634" s="2341"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3"/>
        <v/>
      </c>
      <c r="L2634" s="2341"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3"/>
        <v/>
      </c>
      <c r="N2634" s="2341"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7">IF(N2634="","",", "&amp;N2634)</f>
        <v/>
      </c>
      <c r="P2634" s="2341"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8">IF(P2634="","",", "&amp;P2634)</f>
        <v/>
      </c>
      <c r="R2634" s="2341"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79">IF(R2634="","",", "&amp;R2634)</f>
        <v/>
      </c>
      <c r="T2634" s="2341"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80">IF(T2634="","",", "&amp;T2634)</f>
        <v/>
      </c>
      <c r="V2634" s="2341"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1">IF(V2634="","",", "&amp;V2634)</f>
        <v/>
      </c>
      <c r="X2634" s="2341"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2">IF(X2634="","",", "&amp;X2634)</f>
        <v/>
      </c>
      <c r="Z2634" s="2341"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3">IF(Z2634="","",", "&amp;Z2634)</f>
        <v/>
      </c>
      <c r="AB2634" s="2341"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7" t="str">
        <f t="shared" ref="AC2634" si="284">IF(AB2634="","",", "&amp;AB2634)</f>
        <v/>
      </c>
      <c r="AD2634" s="2317" t="str">
        <f>IF(OR(AE2634=0,ISNUMBER(MATCH(AE2634,$AE$2614:$AE2633,0))),"",MAX($AD$2613:AD2633)+1)</f>
        <v/>
      </c>
      <c r="AE2634" s="2349">
        <f>Principal!V62</f>
        <v>0</v>
      </c>
    </row>
    <row r="2635" spans="1:31" ht="12.75" customHeight="1" x14ac:dyDescent="0.2">
      <c r="A2635" s="2029">
        <v>211</v>
      </c>
      <c r="B2635" s="4995"/>
      <c r="C2635" s="2416" t="str">
        <f t="shared" si="188"/>
        <v/>
      </c>
      <c r="D2635" s="1799" t="str">
        <f>Combate!X43</f>
        <v/>
      </c>
      <c r="E2635" s="2334" t="str">
        <f t="shared" si="121"/>
        <v/>
      </c>
      <c r="F2635" s="5124"/>
      <c r="H2635" s="2304" t="str">
        <f>IF(ISNA(VLOOKUP(A24,Principal!$S$42:$AH$69,10,FALSE)),"",IF(VLOOKUP(A24,Principal!$S$42:$AH$69,10,FALSE)=0,"",INDEX(PoderesDeCriatura_Adquiridos,MATCH(A24,Principal!$S$42:$S$69,0))))</f>
        <v/>
      </c>
      <c r="I2635" s="2475" t="str">
        <f t="shared" si="122"/>
        <v/>
      </c>
      <c r="J2635" s="2341"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3"/>
        <v/>
      </c>
      <c r="L2635" s="2341"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3"/>
        <v/>
      </c>
      <c r="N2635" s="2341"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5">IF(N2635="","",", "&amp;N2635)</f>
        <v/>
      </c>
      <c r="P2635" s="2341"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6">IF(P2635="","",", "&amp;P2635)</f>
        <v/>
      </c>
      <c r="R2635" s="2341"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7">IF(R2635="","",", "&amp;R2635)</f>
        <v/>
      </c>
      <c r="T2635" s="2341"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8">IF(T2635="","",", "&amp;T2635)</f>
        <v/>
      </c>
      <c r="V2635" s="2341"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89">IF(V2635="","",", "&amp;V2635)</f>
        <v/>
      </c>
      <c r="X2635" s="2341"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90">IF(X2635="","",", "&amp;X2635)</f>
        <v/>
      </c>
      <c r="Z2635" s="2341"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1">IF(Z2635="","",", "&amp;Z2635)</f>
        <v/>
      </c>
      <c r="AB2635" s="2341"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7" t="str">
        <f t="shared" ref="AC2635" si="292">IF(AB2635="","",", "&amp;AB2635)</f>
        <v/>
      </c>
      <c r="AD2635" s="2317" t="str">
        <f>IF(OR(AE2635=0,ISNUMBER(MATCH(AE2635,$AE$2614:$AE2634,0))),"",MAX($AD$2613:AD2634)+1)</f>
        <v/>
      </c>
      <c r="AE2635" s="2349">
        <f>Principal!V63</f>
        <v>0</v>
      </c>
    </row>
    <row r="2636" spans="1:31" ht="12.75" customHeight="1" x14ac:dyDescent="0.2">
      <c r="A2636" s="2029">
        <v>211</v>
      </c>
      <c r="B2636" s="4995"/>
      <c r="C2636" s="2416" t="str">
        <f t="shared" si="188"/>
        <v/>
      </c>
      <c r="D2636" s="1799" t="str">
        <f>Combate!X44</f>
        <v/>
      </c>
      <c r="E2636" s="2334" t="str">
        <f t="shared" si="121"/>
        <v/>
      </c>
      <c r="F2636" s="5124"/>
      <c r="H2636" s="2304" t="str">
        <f>IF(ISNA(VLOOKUP(A25,Principal!$S$42:$AH$69,10,FALSE)),"",IF(VLOOKUP(A25,Principal!$S$42:$AH$69,10,FALSE)=0,"",INDEX(PoderesDeCriatura_Adquiridos,MATCH(A25,Principal!$S$42:$S$69,0))))</f>
        <v/>
      </c>
      <c r="I2636" s="2475" t="str">
        <f t="shared" si="122"/>
        <v/>
      </c>
      <c r="J2636" s="2341"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3"/>
        <v/>
      </c>
      <c r="L2636" s="2341"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3"/>
        <v/>
      </c>
      <c r="N2636" s="2341"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3">IF(N2636="","",", "&amp;N2636)</f>
        <v/>
      </c>
      <c r="P2636" s="2341"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4">IF(P2636="","",", "&amp;P2636)</f>
        <v/>
      </c>
      <c r="R2636" s="2341"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5">IF(R2636="","",", "&amp;R2636)</f>
        <v/>
      </c>
      <c r="T2636" s="2341"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6">IF(T2636="","",", "&amp;T2636)</f>
        <v/>
      </c>
      <c r="V2636" s="2341"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7">IF(V2636="","",", "&amp;V2636)</f>
        <v/>
      </c>
      <c r="X2636" s="2341"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8">IF(X2636="","",", "&amp;X2636)</f>
        <v/>
      </c>
      <c r="Z2636" s="2341"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299">IF(Z2636="","",", "&amp;Z2636)</f>
        <v/>
      </c>
      <c r="AB2636" s="2341"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7" t="str">
        <f t="shared" ref="AC2636" si="300">IF(AB2636="","",", "&amp;AB2636)</f>
        <v/>
      </c>
      <c r="AD2636" s="2317" t="str">
        <f>IF(OR(AE2636=0,ISNUMBER(MATCH(AE2636,$AE$2614:$AE2635,0))),"",MAX($AD$2613:AD2635)+1)</f>
        <v/>
      </c>
      <c r="AE2636" s="2349">
        <f>Principal!V64</f>
        <v>0</v>
      </c>
    </row>
    <row r="2637" spans="1:31" ht="12.75" customHeight="1" x14ac:dyDescent="0.2">
      <c r="A2637" s="2029">
        <v>211</v>
      </c>
      <c r="B2637" s="4995"/>
      <c r="C2637" s="2416" t="str">
        <f t="shared" si="188"/>
        <v/>
      </c>
      <c r="D2637" s="1799" t="str">
        <f>Combate!X45</f>
        <v/>
      </c>
      <c r="E2637" s="2334" t="str">
        <f t="shared" si="121"/>
        <v/>
      </c>
      <c r="F2637" s="5124"/>
      <c r="H2637" s="2304" t="str">
        <f>IF(ISNA(VLOOKUP(A26,Principal!$S$42:$AH$69,10,FALSE)),"",IF(VLOOKUP(A26,Principal!$S$42:$AH$69,10,FALSE)=0,"",INDEX(PoderesDeCriatura_Adquiridos,MATCH(A26,Principal!$S$42:$S$69,0))))</f>
        <v/>
      </c>
      <c r="I2637" s="2475" t="str">
        <f t="shared" si="122"/>
        <v/>
      </c>
      <c r="J2637" s="2341"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3"/>
        <v/>
      </c>
      <c r="L2637" s="2341"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3"/>
        <v/>
      </c>
      <c r="N2637" s="2341"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1">IF(N2637="","",", "&amp;N2637)</f>
        <v/>
      </c>
      <c r="P2637" s="2341"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2">IF(P2637="","",", "&amp;P2637)</f>
        <v/>
      </c>
      <c r="R2637" s="2341"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3">IF(R2637="","",", "&amp;R2637)</f>
        <v/>
      </c>
      <c r="T2637" s="2341"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4">IF(T2637="","",", "&amp;T2637)</f>
        <v/>
      </c>
      <c r="V2637" s="2341"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5">IF(V2637="","",", "&amp;V2637)</f>
        <v/>
      </c>
      <c r="X2637" s="2341"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6">IF(X2637="","",", "&amp;X2637)</f>
        <v/>
      </c>
      <c r="Z2637" s="2341"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7">IF(Z2637="","",", "&amp;Z2637)</f>
        <v/>
      </c>
      <c r="AB2637" s="2341"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7" t="str">
        <f t="shared" ref="AC2637" si="308">IF(AB2637="","",", "&amp;AB2637)</f>
        <v/>
      </c>
      <c r="AD2637" s="2317" t="str">
        <f>IF(OR(AE2637=0,ISNUMBER(MATCH(AE2637,$AE$2614:$AE2636,0))),"",MAX($AD$2613:AD2636)+1)</f>
        <v/>
      </c>
      <c r="AE2637" s="2349">
        <f>Principal!V65</f>
        <v>0</v>
      </c>
    </row>
    <row r="2638" spans="1:31" ht="12.75" customHeight="1" x14ac:dyDescent="0.2">
      <c r="A2638" s="2029">
        <v>211</v>
      </c>
      <c r="B2638" s="4995"/>
      <c r="C2638" s="2416" t="str">
        <f t="shared" si="188"/>
        <v/>
      </c>
      <c r="D2638" s="1799" t="str">
        <f>Combate!X46</f>
        <v/>
      </c>
      <c r="E2638" s="2334" t="str">
        <f t="shared" si="121"/>
        <v/>
      </c>
      <c r="F2638" s="5124"/>
      <c r="H2638" s="2304" t="str">
        <f>IF(ISNA(VLOOKUP(A27,Principal!$S$42:$AH$69,10,FALSE)),"",IF(VLOOKUP(A27,Principal!$S$42:$AH$69,10,FALSE)=0,"",INDEX(PoderesDeCriatura_Adquiridos,MATCH(A27,Principal!$S$42:$S$69,0))))</f>
        <v/>
      </c>
      <c r="I2638" s="2475" t="str">
        <f t="shared" si="122"/>
        <v/>
      </c>
      <c r="J2638" s="2341"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3"/>
        <v/>
      </c>
      <c r="L2638" s="2341"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3"/>
        <v/>
      </c>
      <c r="N2638" s="2341"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09">IF(N2638="","",", "&amp;N2638)</f>
        <v/>
      </c>
      <c r="P2638" s="2341"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10">IF(P2638="","",", "&amp;P2638)</f>
        <v/>
      </c>
      <c r="R2638" s="2341"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1">IF(R2638="","",", "&amp;R2638)</f>
        <v/>
      </c>
      <c r="T2638" s="2341"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2">IF(T2638="","",", "&amp;T2638)</f>
        <v/>
      </c>
      <c r="V2638" s="2341"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3">IF(V2638="","",", "&amp;V2638)</f>
        <v/>
      </c>
      <c r="X2638" s="2341"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4">IF(X2638="","",", "&amp;X2638)</f>
        <v/>
      </c>
      <c r="Z2638" s="2341"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5">IF(Z2638="","",", "&amp;Z2638)</f>
        <v/>
      </c>
      <c r="AB2638" s="2341"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7" t="str">
        <f t="shared" ref="AC2638" si="316">IF(AB2638="","",", "&amp;AB2638)</f>
        <v/>
      </c>
      <c r="AD2638" s="2317" t="str">
        <f>IF(OR(AE2638=0,ISNUMBER(MATCH(AE2638,$AE$2614:$AE2637,0))),"",MAX($AD$2613:AD2637)+1)</f>
        <v/>
      </c>
      <c r="AE2638" s="2349">
        <f>Principal!V66</f>
        <v>0</v>
      </c>
    </row>
    <row r="2639" spans="1:31" ht="12.75" customHeight="1" x14ac:dyDescent="0.2">
      <c r="A2639" s="2029">
        <v>211</v>
      </c>
      <c r="B2639" s="4995"/>
      <c r="C2639" s="2416" t="str">
        <f t="shared" si="188"/>
        <v/>
      </c>
      <c r="D2639" s="1799" t="str">
        <f>Combate!X47</f>
        <v/>
      </c>
      <c r="E2639" s="2334" t="str">
        <f t="shared" si="121"/>
        <v/>
      </c>
      <c r="F2639" s="5124"/>
      <c r="H2639" s="2304" t="str">
        <f>IF(ISNA(VLOOKUP(A28,Principal!$S$42:$AH$69,10,FALSE)),"",IF(VLOOKUP(A28,Principal!$S$42:$AH$69,10,FALSE)=0,"",INDEX(PoderesDeCriatura_Adquiridos,MATCH(A28,Principal!$S$42:$S$69,0))))</f>
        <v/>
      </c>
      <c r="I2639" s="2475" t="str">
        <f t="shared" si="122"/>
        <v/>
      </c>
      <c r="J2639" s="2341"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3"/>
        <v/>
      </c>
      <c r="L2639" s="2341"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3"/>
        <v/>
      </c>
      <c r="N2639" s="2341"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7">IF(N2639="","",", "&amp;N2639)</f>
        <v/>
      </c>
      <c r="P2639" s="2341"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8">IF(P2639="","",", "&amp;P2639)</f>
        <v/>
      </c>
      <c r="R2639" s="2341"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19">IF(R2639="","",", "&amp;R2639)</f>
        <v/>
      </c>
      <c r="T2639" s="2341"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20">IF(T2639="","",", "&amp;T2639)</f>
        <v/>
      </c>
      <c r="V2639" s="2341"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1">IF(V2639="","",", "&amp;V2639)</f>
        <v/>
      </c>
      <c r="X2639" s="2341"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2">IF(X2639="","",", "&amp;X2639)</f>
        <v/>
      </c>
      <c r="Z2639" s="2341"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3">IF(Z2639="","",", "&amp;Z2639)</f>
        <v/>
      </c>
      <c r="AB2639" s="2341"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7" t="str">
        <f t="shared" ref="AC2639" si="324">IF(AB2639="","",", "&amp;AB2639)</f>
        <v/>
      </c>
      <c r="AD2639" s="2317" t="str">
        <f>IF(OR(AE2639=0,ISNUMBER(MATCH(AE2639,$AE$2614:$AE2638,0))),"",MAX($AD$2613:AD2638)+1)</f>
        <v/>
      </c>
      <c r="AE2639" s="2349">
        <f>Principal!V67</f>
        <v>0</v>
      </c>
    </row>
    <row r="2640" spans="1:31" ht="12.75" customHeight="1" x14ac:dyDescent="0.2">
      <c r="A2640" s="2029">
        <v>211</v>
      </c>
      <c r="B2640" s="4995"/>
      <c r="C2640" s="2416" t="str">
        <f t="shared" si="188"/>
        <v/>
      </c>
      <c r="D2640" s="1799" t="str">
        <f>Combate!X48</f>
        <v/>
      </c>
      <c r="E2640" s="2334" t="str">
        <f t="shared" si="121"/>
        <v/>
      </c>
      <c r="F2640" s="5124"/>
      <c r="H2640" s="2304" t="str">
        <f>IF(ISNA(VLOOKUP(A29,Principal!$S$42:$AH$69,10,FALSE)),"",IF(VLOOKUP(A29,Principal!$S$42:$AH$69,10,FALSE)=0,"",INDEX(PoderesDeCriatura_Adquiridos,MATCH(A29,Principal!$S$42:$S$69,0))))</f>
        <v/>
      </c>
      <c r="I2640" s="2475" t="str">
        <f t="shared" si="122"/>
        <v/>
      </c>
      <c r="J2640" s="2341"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3"/>
        <v/>
      </c>
      <c r="L2640" s="2341"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3"/>
        <v/>
      </c>
      <c r="N2640" s="2341"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5">IF(N2640="","",", "&amp;N2640)</f>
        <v/>
      </c>
      <c r="P2640" s="2341"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6">IF(P2640="","",", "&amp;P2640)</f>
        <v/>
      </c>
      <c r="R2640" s="2341"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7">IF(R2640="","",", "&amp;R2640)</f>
        <v/>
      </c>
      <c r="T2640" s="2341"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8">IF(T2640="","",", "&amp;T2640)</f>
        <v/>
      </c>
      <c r="V2640" s="2341"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29">IF(V2640="","",", "&amp;V2640)</f>
        <v/>
      </c>
      <c r="X2640" s="2341"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30">IF(X2640="","",", "&amp;X2640)</f>
        <v/>
      </c>
      <c r="Z2640" s="2341"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1">IF(Z2640="","",", "&amp;Z2640)</f>
        <v/>
      </c>
      <c r="AB2640" s="2341"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7" t="str">
        <f t="shared" ref="AC2640" si="332">IF(AB2640="","",", "&amp;AB2640)</f>
        <v/>
      </c>
      <c r="AD2640" s="2317" t="str">
        <f>IF(OR(AE2640=0,ISNUMBER(MATCH(AE2640,$AE$2614:$AE2639,0))),"",MAX($AD$2613:AD2639)+1)</f>
        <v/>
      </c>
      <c r="AE2640" s="2349">
        <f>Principal!V68</f>
        <v>0</v>
      </c>
    </row>
    <row r="2641" spans="1:31" ht="12.75" customHeight="1" x14ac:dyDescent="0.2">
      <c r="A2641" s="2029">
        <v>211</v>
      </c>
      <c r="B2641" s="4995"/>
      <c r="C2641" s="2416" t="str">
        <f t="shared" si="188"/>
        <v/>
      </c>
      <c r="D2641" s="1799" t="str">
        <f>Combate!X49</f>
        <v/>
      </c>
      <c r="E2641" s="2334" t="str">
        <f t="shared" si="121"/>
        <v/>
      </c>
      <c r="F2641" s="5124"/>
      <c r="H2641" s="2304" t="str">
        <f>IF(ISNA(VLOOKUP(A30,Principal!$S$42:$AH$69,10,FALSE)),"",IF(VLOOKUP(A30,Principal!$S$42:$AH$69,10,FALSE)=0,"",INDEX(PoderesDeCriatura_Adquiridos,MATCH(A30,Principal!$S$42:$S$69,0))))</f>
        <v/>
      </c>
      <c r="I2641" s="2896" t="str">
        <f t="shared" si="122"/>
        <v/>
      </c>
      <c r="J2641" s="2341"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3"/>
        <v/>
      </c>
      <c r="L2641" s="2341"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3"/>
        <v/>
      </c>
      <c r="N2641" s="2341"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3">IF(N2641="","",", "&amp;N2641)</f>
        <v/>
      </c>
      <c r="P2641" s="2341"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4">IF(P2641="","",", "&amp;P2641)</f>
        <v/>
      </c>
      <c r="R2641" s="2341"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5">IF(R2641="","",", "&amp;R2641)</f>
        <v/>
      </c>
      <c r="T2641" s="2341"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6">IF(T2641="","",", "&amp;T2641)</f>
        <v/>
      </c>
      <c r="V2641" s="2341"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7">IF(V2641="","",", "&amp;V2641)</f>
        <v/>
      </c>
      <c r="X2641" s="2341"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8">IF(X2641="","",", "&amp;X2641)</f>
        <v/>
      </c>
      <c r="Z2641" s="2341"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39">IF(Z2641="","",", "&amp;Z2641)</f>
        <v/>
      </c>
      <c r="AB2641" s="2341"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7" t="str">
        <f t="shared" ref="AC2641" si="340">IF(AB2641="","",", "&amp;AB2641)</f>
        <v/>
      </c>
      <c r="AD2641" s="2351" t="str">
        <f>IF(OR(AE2641=0,ISNUMBER(MATCH(AE2641,$AE$2614:$AE2640,0))),"",MAX($AD$2613:AD2640)+1)</f>
        <v/>
      </c>
      <c r="AE2641" s="2350">
        <f>Principal!V69</f>
        <v>0</v>
      </c>
    </row>
    <row r="2642" spans="1:31" ht="12.75" customHeight="1" x14ac:dyDescent="0.2">
      <c r="A2642" s="2029">
        <v>211</v>
      </c>
      <c r="B2642" s="4995"/>
      <c r="C2642" s="2412" t="str">
        <f t="shared" ref="C2642:C2649" si="341">IF(D2642="","",COUNTIF($D$2607:$D$2649,"&lt;="&amp;D2642)-SUMPRODUCT(--($D$2607:$D$2649="")))</f>
        <v/>
      </c>
      <c r="D2642" s="1799" t="str">
        <f>Combate!X50</f>
        <v/>
      </c>
      <c r="E2642" s="2334" t="str">
        <f t="shared" si="121"/>
        <v/>
      </c>
      <c r="F2642" s="5124"/>
      <c r="H2642" s="5126" t="str">
        <f>I2612&amp;I2613&amp;I2614&amp;I2615&amp;I2616&amp;I2617&amp;I2618&amp;I2619&amp;I2620&amp;I2621&amp;I2622&amp;I2623&amp;I2624&amp;I2625&amp;I2626&amp;I2627&amp;I2628&amp;I2629&amp;I2630&amp;I2631&amp;I2632&amp;I2633&amp;I2634&amp;I2636&amp;I2635&amp;I2637&amp;I2638&amp;I2640&amp;I2639&amp;I2641</f>
        <v/>
      </c>
      <c r="I2642" s="5127"/>
      <c r="J2642" s="5133" t="str">
        <f>IF(J2611="","",J2611&amp;" ("&amp;K2613&amp;K2614&amp;K2615&amp;K2616&amp;K2617&amp;K2618&amp;K2619&amp;K2620&amp;K2621&amp;K2622&amp;K2623&amp;K2624&amp;K2625&amp;K2626&amp;K2627&amp;K2628&amp;K2629&amp;K2630&amp;K2631&amp;K2632&amp;K2633&amp;K2634&amp;K2635&amp;K2636&amp;K2637&amp;K2638&amp;K2639&amp;K2640&amp;K2641&amp;")")</f>
        <v/>
      </c>
      <c r="K2642" s="5133"/>
      <c r="L2642" s="5133" t="str">
        <f>IF(L2611="","",L2611&amp;" ("&amp;M2613&amp;M2614&amp;M2615&amp;M2616&amp;M2617&amp;M2618&amp;M2619&amp;M2620&amp;M2621&amp;M2622&amp;M2623&amp;M2624&amp;M2625&amp;M2626&amp;M2627&amp;M2628&amp;M2629&amp;M2630&amp;M2631&amp;M2632&amp;M2633&amp;M2634&amp;M2635&amp;M2636&amp;M2637&amp;M2638&amp;M2639&amp;M2640&amp;M2641&amp;")")</f>
        <v/>
      </c>
      <c r="M2642" s="5133"/>
      <c r="N2642" s="5133" t="str">
        <f>IF(N2611="","",N2611&amp;" ("&amp;O2613&amp;O2614&amp;O2615&amp;O2616&amp;O2617&amp;O2618&amp;O2619&amp;O2620&amp;O2621&amp;O2622&amp;O2623&amp;O2624&amp;O2625&amp;O2626&amp;O2627&amp;O2628&amp;O2629&amp;O2630&amp;O2631&amp;O2632&amp;O2633&amp;O2634&amp;O2635&amp;O2636&amp;O2637&amp;O2638&amp;O2639&amp;O2640&amp;O2641&amp;")")</f>
        <v/>
      </c>
      <c r="O2642" s="5133"/>
      <c r="P2642" s="5133" t="str">
        <f>IF(P2611="","",P2611&amp;" ("&amp;Q2613&amp;Q2614&amp;Q2615&amp;Q2616&amp;Q2617&amp;Q2618&amp;Q2619&amp;Q2620&amp;Q2621&amp;Q2622&amp;Q2623&amp;Q2624&amp;Q2625&amp;Q2626&amp;Q2627&amp;Q2628&amp;Q2629&amp;Q2630&amp;Q2631&amp;Q2632&amp;Q2633&amp;Q2634&amp;Q2635&amp;Q2636&amp;Q2637&amp;Q2638&amp;Q2639&amp;Q2640&amp;Q2641&amp;")")</f>
        <v/>
      </c>
      <c r="Q2642" s="5133"/>
      <c r="R2642" s="5133" t="str">
        <f>IF(R2611="","",R2611&amp;" ("&amp;S2613&amp;S2614&amp;S2615&amp;S2616&amp;S2617&amp;S2618&amp;S2619&amp;S2620&amp;S2621&amp;S2622&amp;S2623&amp;S2624&amp;S2625&amp;S2626&amp;S2627&amp;S2628&amp;S2629&amp;S2630&amp;S2631&amp;S2632&amp;S2633&amp;S2634&amp;S2635&amp;S2636&amp;S2637&amp;S2638&amp;S2639&amp;S2640&amp;S2641&amp;")")</f>
        <v/>
      </c>
      <c r="S2642" s="5133"/>
      <c r="T2642" s="5133" t="str">
        <f>IF(T2611="","",T2611&amp;" ("&amp;U2613&amp;U2614&amp;U2615&amp;U2616&amp;U2617&amp;U2618&amp;U2619&amp;U2620&amp;U2621&amp;U2622&amp;U2623&amp;U2624&amp;U2625&amp;U2626&amp;U2627&amp;U2628&amp;U2629&amp;U2630&amp;U2631&amp;U2632&amp;U2633&amp;U2634&amp;U2635&amp;U2636&amp;U2637&amp;U2638&amp;U2639&amp;U2640&amp;U2641&amp;")")</f>
        <v/>
      </c>
      <c r="U2642" s="5133"/>
      <c r="V2642" s="5133" t="str">
        <f>IF(V2611="","",V2611&amp;" ("&amp;W2613&amp;W2614&amp;W2615&amp;W2616&amp;W2617&amp;W2618&amp;W2619&amp;W2620&amp;W2621&amp;W2622&amp;W2623&amp;W2624&amp;W2625&amp;W2626&amp;W2627&amp;W2628&amp;W2629&amp;W2630&amp;W2631&amp;W2632&amp;W2633&amp;W2634&amp;W2635&amp;W2636&amp;W2637&amp;W2638&amp;W2639&amp;W2640&amp;W2641&amp;")")</f>
        <v/>
      </c>
      <c r="W2642" s="5133"/>
      <c r="X2642" s="5133" t="str">
        <f>IF(X2611="","",X2611&amp;" ("&amp;Y2613&amp;Y2614&amp;Y2615&amp;Y2616&amp;Y2617&amp;Y2618&amp;Y2619&amp;Y2620&amp;Y2621&amp;Y2622&amp;Y2623&amp;Y2624&amp;Y2625&amp;Y2626&amp;Y2627&amp;Y2628&amp;Y2629&amp;Y2630&amp;Y2631&amp;Y2632&amp;Y2633&amp;Y2634&amp;Y2635&amp;Y2636&amp;Y2637&amp;Y2638&amp;Y2639&amp;Y2640&amp;Y2641&amp;")")</f>
        <v/>
      </c>
      <c r="Y2642" s="5133"/>
      <c r="Z2642" s="5133"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33"/>
      <c r="AB2642" s="5133"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33"/>
    </row>
    <row r="2643" spans="1:31" ht="12.75" customHeight="1" x14ac:dyDescent="0.2">
      <c r="A2643" s="2029">
        <v>211</v>
      </c>
      <c r="B2643" s="4995"/>
      <c r="C2643" s="2412" t="str">
        <f t="shared" si="341"/>
        <v/>
      </c>
      <c r="D2643" s="1799" t="str">
        <f>Combate!X51</f>
        <v/>
      </c>
      <c r="E2643" s="2334" t="str">
        <f t="shared" si="121"/>
        <v/>
      </c>
      <c r="F2643" s="5124"/>
      <c r="H2643" s="5126"/>
      <c r="I2643" s="5127"/>
      <c r="J2643" s="5134" t="str">
        <f>J2642&amp;IF(L2642="","",", "&amp;L2642)&amp;IF(N2642="","",", "&amp;N2642)&amp;IF(P2642="","",", "&amp;P2642)&amp;IF(R2642="","",", "&amp;R2642)&amp;IF(T2642="","",", "&amp;T2642)&amp;IF(V2642="","",", "&amp;V2642)&amp;IF(X2642="","",", "&amp;X2642)&amp;IF(Z2642="","",", "&amp;Z2642)&amp;IF(AB2642="","",", "&amp;AB2642)</f>
        <v/>
      </c>
      <c r="K2643" s="5134"/>
      <c r="L2643" s="5134"/>
      <c r="M2643" s="5134"/>
      <c r="N2643" s="5134"/>
      <c r="O2643" s="5134"/>
      <c r="P2643" s="5134"/>
      <c r="Q2643" s="5134"/>
      <c r="R2643" s="5134"/>
      <c r="S2643" s="5134"/>
      <c r="T2643" s="5134"/>
      <c r="U2643" s="5134"/>
      <c r="V2643" s="5134"/>
      <c r="W2643" s="5134"/>
      <c r="X2643" s="5134"/>
      <c r="Y2643" s="5134"/>
      <c r="Z2643" s="5134"/>
      <c r="AA2643" s="5134"/>
      <c r="AB2643" s="5134"/>
      <c r="AC2643" s="5135"/>
    </row>
    <row r="2644" spans="1:31" ht="12.75" customHeight="1" x14ac:dyDescent="0.2">
      <c r="A2644" s="2029">
        <v>211</v>
      </c>
      <c r="B2644" s="4995"/>
      <c r="C2644" s="2412" t="str">
        <f t="shared" si="341"/>
        <v/>
      </c>
      <c r="D2644" s="1799" t="str">
        <f>Combate!X52</f>
        <v/>
      </c>
      <c r="E2644" s="2334" t="str">
        <f t="shared" si="121"/>
        <v/>
      </c>
      <c r="F2644" s="5124"/>
      <c r="H2644" s="5118" t="str">
        <f>J2643&amp;IF(J2643="",H2642,", "&amp;H2642)</f>
        <v/>
      </c>
      <c r="I2644" s="5119"/>
      <c r="J2644" s="5119"/>
      <c r="K2644" s="5119"/>
      <c r="L2644" s="5119"/>
      <c r="M2644" s="5119"/>
      <c r="N2644" s="5119"/>
      <c r="O2644" s="5119"/>
      <c r="P2644" s="5119"/>
      <c r="Q2644" s="5119"/>
      <c r="R2644" s="5119"/>
      <c r="S2644" s="5119"/>
      <c r="T2644" s="5119"/>
      <c r="U2644" s="5119"/>
      <c r="V2644" s="5119"/>
      <c r="W2644" s="5119"/>
      <c r="X2644" s="5119"/>
      <c r="Y2644" s="5119"/>
      <c r="Z2644" s="5119"/>
      <c r="AA2644" s="5119"/>
      <c r="AB2644" s="5119"/>
      <c r="AC2644" s="5120"/>
    </row>
    <row r="2645" spans="1:31" ht="12.75" customHeight="1" thickBot="1" x14ac:dyDescent="0.25">
      <c r="A2645" s="2029">
        <v>211</v>
      </c>
      <c r="B2645" s="4995"/>
      <c r="C2645" s="2412" t="str">
        <f t="shared" si="341"/>
        <v/>
      </c>
      <c r="D2645" s="2101" t="str">
        <f>Combate!X55</f>
        <v/>
      </c>
      <c r="E2645" s="2334" t="str">
        <f t="shared" si="121"/>
        <v/>
      </c>
      <c r="F2645" s="5124"/>
      <c r="H2645" s="5121"/>
      <c r="I2645" s="5122"/>
      <c r="J2645" s="5122"/>
      <c r="K2645" s="5122"/>
      <c r="L2645" s="5122"/>
      <c r="M2645" s="5122"/>
      <c r="N2645" s="5122"/>
      <c r="O2645" s="5122"/>
      <c r="P2645" s="5122"/>
      <c r="Q2645" s="5122"/>
      <c r="R2645" s="5122"/>
      <c r="S2645" s="5122"/>
      <c r="T2645" s="5122"/>
      <c r="U2645" s="5122"/>
      <c r="V2645" s="5122"/>
      <c r="W2645" s="5122"/>
      <c r="X2645" s="5122"/>
      <c r="Y2645" s="5122"/>
      <c r="Z2645" s="5122"/>
      <c r="AA2645" s="5122"/>
      <c r="AB2645" s="5122"/>
      <c r="AC2645" s="5123"/>
    </row>
    <row r="2646" spans="1:31" ht="12.75" customHeight="1" x14ac:dyDescent="0.2">
      <c r="A2646" s="2029">
        <v>211</v>
      </c>
      <c r="B2646" s="4995"/>
      <c r="C2646" s="2412" t="str">
        <f t="shared" si="341"/>
        <v/>
      </c>
      <c r="D2646" s="1799" t="str">
        <f>Combate!X57</f>
        <v/>
      </c>
      <c r="E2646" s="2334" t="str">
        <f t="shared" si="121"/>
        <v/>
      </c>
      <c r="F2646" s="5124"/>
      <c r="H2646" s="2342"/>
      <c r="I2646" s="2342"/>
      <c r="J2646" s="2342"/>
      <c r="K2646" s="2342"/>
      <c r="L2646" s="2342"/>
      <c r="M2646" s="2342"/>
      <c r="N2646" s="2342"/>
      <c r="O2646" s="2342"/>
      <c r="P2646" s="2342"/>
      <c r="Q2646" s="2342"/>
      <c r="R2646" s="2342"/>
      <c r="S2646" s="2342"/>
      <c r="T2646" s="2342"/>
      <c r="AB2646" s="413"/>
      <c r="AC2646" s="2795"/>
    </row>
    <row r="2647" spans="1:31" ht="12.75" customHeight="1" x14ac:dyDescent="0.2">
      <c r="A2647" s="2029">
        <v>211</v>
      </c>
      <c r="B2647" s="4995"/>
      <c r="C2647" s="2412" t="str">
        <f t="shared" si="341"/>
        <v/>
      </c>
      <c r="D2647" s="1799" t="str">
        <f>Combate!X59</f>
        <v/>
      </c>
      <c r="E2647" s="2334" t="str">
        <f t="shared" si="121"/>
        <v/>
      </c>
      <c r="F2647" s="5124"/>
      <c r="H2647" s="2342"/>
      <c r="I2647" s="2342"/>
      <c r="J2647" s="2342"/>
      <c r="K2647" s="2342"/>
      <c r="L2647" s="2342"/>
      <c r="M2647" s="2342"/>
      <c r="N2647" s="2342"/>
      <c r="O2647" s="2342"/>
      <c r="P2647" s="2342"/>
      <c r="Q2647" s="2342"/>
      <c r="R2647" s="2342"/>
      <c r="S2647" s="2342"/>
      <c r="T2647" s="2342"/>
      <c r="AB2647" s="413"/>
      <c r="AC2647" s="2795"/>
    </row>
    <row r="2648" spans="1:31" ht="12.75" customHeight="1" x14ac:dyDescent="0.2">
      <c r="A2648" s="2029">
        <v>211</v>
      </c>
      <c r="B2648" s="4995"/>
      <c r="C2648" s="2412" t="str">
        <f t="shared" si="341"/>
        <v/>
      </c>
      <c r="D2648" s="1799" t="str">
        <f>Combate!X61</f>
        <v/>
      </c>
      <c r="E2648" s="2334" t="str">
        <f t="shared" si="121"/>
        <v/>
      </c>
      <c r="F2648" s="5124"/>
      <c r="H2648" s="413"/>
      <c r="I2648" s="1761"/>
      <c r="N2648" s="413"/>
      <c r="O2648" s="2112"/>
      <c r="AB2648" s="413"/>
      <c r="AC2648" s="2795"/>
    </row>
    <row r="2649" spans="1:31" ht="12.75" customHeight="1" thickBot="1" x14ac:dyDescent="0.25">
      <c r="A2649" s="2029">
        <v>211</v>
      </c>
      <c r="B2649" s="4995"/>
      <c r="C2649" s="2414" t="str">
        <f t="shared" si="341"/>
        <v/>
      </c>
      <c r="D2649" s="1800" t="str">
        <f>Combate!X63</f>
        <v/>
      </c>
      <c r="E2649" s="2335" t="str">
        <f t="shared" si="121"/>
        <v/>
      </c>
      <c r="F2649" s="5125"/>
      <c r="H2649" s="413"/>
      <c r="I2649" s="1761"/>
      <c r="N2649" s="413"/>
      <c r="O2649" s="2112"/>
      <c r="AB2649" s="413"/>
      <c r="AC2649" s="2795"/>
    </row>
    <row r="2650" spans="1:31" ht="12.75" customHeight="1" x14ac:dyDescent="0.2">
      <c r="B2650" s="2028"/>
      <c r="H2650" s="413"/>
      <c r="I2650" s="1761"/>
      <c r="N2650" s="413"/>
      <c r="O2650" s="2112"/>
      <c r="Z2650" s="2795"/>
      <c r="AB2650" s="413"/>
      <c r="AC2650" s="2795"/>
    </row>
    <row r="2651" spans="1:31" ht="12.75" customHeight="1" x14ac:dyDescent="0.2">
      <c r="H2651" s="413"/>
      <c r="I2651" s="1761"/>
      <c r="N2651" s="413"/>
      <c r="O2651" s="2112"/>
      <c r="AB2651" s="413"/>
      <c r="AC2651" s="2795"/>
    </row>
    <row r="2652" spans="1:31" ht="12.75" customHeight="1" x14ac:dyDescent="0.2">
      <c r="H2652" s="413"/>
      <c r="I2652" s="1761"/>
      <c r="N2652" s="413"/>
      <c r="O2652" s="2112"/>
      <c r="AB2652" s="413"/>
      <c r="AC2652" s="2795"/>
    </row>
    <row r="2653" spans="1:31" ht="12.75" customHeight="1" x14ac:dyDescent="0.2">
      <c r="A2653" s="413"/>
      <c r="B2653" s="2028"/>
      <c r="H2653" s="413"/>
      <c r="I2653" s="1761"/>
      <c r="N2653" s="413"/>
      <c r="O2653" s="2112"/>
      <c r="Z2653" s="2795"/>
    </row>
    <row r="2654" spans="1:31" ht="12.75" customHeight="1" x14ac:dyDescent="0.2">
      <c r="A2654" s="413"/>
      <c r="B2654" s="2028"/>
      <c r="H2654" s="413"/>
      <c r="I2654" s="1761"/>
      <c r="N2654" s="413"/>
      <c r="O2654" s="2112"/>
      <c r="Z2654" s="2795"/>
    </row>
    <row r="2655" spans="1:31" ht="12.75" customHeight="1" x14ac:dyDescent="0.2">
      <c r="A2655" s="413"/>
      <c r="B2655" s="2028"/>
      <c r="H2655" s="413"/>
      <c r="I2655" s="1761"/>
      <c r="N2655" s="413"/>
      <c r="O2655" s="2112"/>
      <c r="Z2655" s="2795"/>
    </row>
    <row r="2656" spans="1:31" ht="12.75" customHeight="1" x14ac:dyDescent="0.2">
      <c r="A2656" s="413"/>
      <c r="B2656" s="2028"/>
      <c r="H2656" s="413"/>
      <c r="I2656" s="1761"/>
      <c r="N2656" s="413"/>
      <c r="O2656" s="2112"/>
      <c r="Z2656" s="2795"/>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5"/>
    </row>
    <row r="2664" spans="1:25" ht="12.75" customHeight="1" x14ac:dyDescent="0.2">
      <c r="Y2664" s="2795"/>
    </row>
    <row r="2665" spans="1:25" ht="12.75" customHeight="1" x14ac:dyDescent="0.2">
      <c r="Y2665" s="2795"/>
    </row>
    <row r="2666" spans="1:25" ht="12.75" customHeight="1" x14ac:dyDescent="0.2">
      <c r="Y2666" s="2795"/>
    </row>
    <row r="2667" spans="1:25" ht="12.75" customHeight="1" x14ac:dyDescent="0.2">
      <c r="Y2667" s="2795"/>
    </row>
    <row r="2668" spans="1:25" ht="12.75" customHeight="1" x14ac:dyDescent="0.2">
      <c r="Y2668" s="2795"/>
    </row>
    <row r="2669" spans="1:25" ht="12.75" customHeight="1" x14ac:dyDescent="0.2">
      <c r="Y2669" s="2795"/>
    </row>
    <row r="2670" spans="1:25" ht="12.75" customHeight="1" x14ac:dyDescent="0.2">
      <c r="Y2670" s="2795"/>
    </row>
    <row r="2671" spans="1:25" ht="12.75" customHeight="1" x14ac:dyDescent="0.2">
      <c r="Y2671" s="2795"/>
    </row>
    <row r="2672" spans="1:25" ht="12.75" customHeight="1" x14ac:dyDescent="0.2">
      <c r="Y2672" s="2795"/>
    </row>
    <row r="2673" spans="25:25" ht="12.75" customHeight="1" x14ac:dyDescent="0.2">
      <c r="Y2673" s="2795"/>
    </row>
    <row r="2674" spans="25:25" ht="12.75" customHeight="1" x14ac:dyDescent="0.2">
      <c r="Y2674" s="2795"/>
    </row>
    <row r="2675" spans="25:25" ht="12.75" customHeight="1" x14ac:dyDescent="0.2">
      <c r="Y2675" s="2795"/>
    </row>
    <row r="2676" spans="25:25" ht="12.75" customHeight="1" x14ac:dyDescent="0.2">
      <c r="Y2676" s="2795"/>
    </row>
    <row r="2677" spans="25:25" ht="12.75" customHeight="1" x14ac:dyDescent="0.2">
      <c r="Y2677" s="2795"/>
    </row>
    <row r="2678" spans="25:25" ht="12.75" customHeight="1" x14ac:dyDescent="0.2">
      <c r="Y2678" s="2795"/>
    </row>
    <row r="2679" spans="25:25" ht="12.75" customHeight="1" x14ac:dyDescent="0.2">
      <c r="Y2679" s="2795"/>
    </row>
    <row r="2680" spans="25:25" ht="12.75" customHeight="1" x14ac:dyDescent="0.2">
      <c r="Y2680" s="2795"/>
    </row>
    <row r="2681" spans="25:25" ht="12.75" customHeight="1" x14ac:dyDescent="0.2">
      <c r="Y2681" s="2795"/>
    </row>
    <row r="2682" spans="25:25" ht="12.75" customHeight="1" x14ac:dyDescent="0.2">
      <c r="Y2682" s="2795"/>
    </row>
    <row r="2683" spans="25:25" ht="12.75" customHeight="1" x14ac:dyDescent="0.2">
      <c r="Y2683" s="2795"/>
    </row>
    <row r="2684" spans="25:25" ht="12.75" customHeight="1" x14ac:dyDescent="0.2">
      <c r="Y2684" s="2795"/>
    </row>
    <row r="2685" spans="25:25" ht="12.75" customHeight="1" x14ac:dyDescent="0.2">
      <c r="Y2685" s="2795"/>
    </row>
    <row r="2686" spans="25:25" ht="12.75" customHeight="1" x14ac:dyDescent="0.2">
      <c r="Y2686" s="2795"/>
    </row>
    <row r="2687" spans="25:25" ht="12.75" customHeight="1" x14ac:dyDescent="0.2">
      <c r="Y2687" s="2795"/>
    </row>
    <row r="2688" spans="25:25" ht="12.75" customHeight="1" x14ac:dyDescent="0.2">
      <c r="Y2688" s="2795"/>
    </row>
    <row r="2689" spans="25:25" ht="12.75" customHeight="1" x14ac:dyDescent="0.2">
      <c r="Y2689" s="2795"/>
    </row>
    <row r="2690" spans="25:25" ht="12.75" customHeight="1" x14ac:dyDescent="0.2">
      <c r="Y2690" s="2795"/>
    </row>
    <row r="2691" spans="25:25" ht="12.75" customHeight="1" x14ac:dyDescent="0.2">
      <c r="Y2691" s="2795"/>
    </row>
    <row r="2692" spans="25:25" ht="12.75" customHeight="1" x14ac:dyDescent="0.2">
      <c r="Y2692" s="2795"/>
    </row>
    <row r="2693" spans="25:25" ht="12.75" customHeight="1" x14ac:dyDescent="0.2">
      <c r="Y2693" s="2795"/>
    </row>
    <row r="2694" spans="25:25" ht="12.75" customHeight="1" x14ac:dyDescent="0.2">
      <c r="Y2694" s="2795"/>
    </row>
    <row r="2695" spans="25:25" ht="12.75" customHeight="1" x14ac:dyDescent="0.2">
      <c r="Y2695" s="2795"/>
    </row>
    <row r="2696" spans="25:25" ht="12.75" customHeight="1" x14ac:dyDescent="0.2">
      <c r="Y2696" s="2795"/>
    </row>
    <row r="2697" spans="25:25" ht="12.75" customHeight="1" x14ac:dyDescent="0.2">
      <c r="Y2697" s="2795"/>
    </row>
    <row r="2698" spans="25:25" ht="12.75" customHeight="1" x14ac:dyDescent="0.2">
      <c r="Y2698" s="2795"/>
    </row>
    <row r="2699" spans="25:25" ht="12.75" customHeight="1" x14ac:dyDescent="0.2">
      <c r="Y2699" s="2795"/>
    </row>
    <row r="2700" spans="25:25" ht="12.75" customHeight="1" x14ac:dyDescent="0.2">
      <c r="Y2700" s="2795"/>
    </row>
    <row r="2701" spans="25:25" ht="12.75" customHeight="1" x14ac:dyDescent="0.2">
      <c r="Y2701" s="2795"/>
    </row>
    <row r="2702" spans="25:25" ht="12.75" customHeight="1" x14ac:dyDescent="0.2">
      <c r="Y2702" s="2795"/>
    </row>
    <row r="2703" spans="25:25" ht="12.75" customHeight="1" x14ac:dyDescent="0.2">
      <c r="Y2703" s="2795"/>
    </row>
    <row r="2704" spans="25:25" ht="12.75" customHeight="1" x14ac:dyDescent="0.2">
      <c r="Y2704" s="2795"/>
    </row>
    <row r="2705" spans="25:25" ht="12.75" customHeight="1" x14ac:dyDescent="0.2">
      <c r="Y2705" s="2795"/>
    </row>
    <row r="2706" spans="25:25" ht="12.75" customHeight="1" x14ac:dyDescent="0.2">
      <c r="Y2706" s="2795"/>
    </row>
    <row r="2707" spans="25:25" ht="12.75" customHeight="1" x14ac:dyDescent="0.2">
      <c r="Y2707" s="2795"/>
    </row>
    <row r="2708" spans="25:25" ht="12.75" customHeight="1" x14ac:dyDescent="0.2">
      <c r="Y2708" s="2795"/>
    </row>
    <row r="2709" spans="25:25" ht="12.75" customHeight="1" x14ac:dyDescent="0.2">
      <c r="Y2709" s="2795"/>
    </row>
    <row r="2710" spans="25:25" ht="12.75" customHeight="1" x14ac:dyDescent="0.2">
      <c r="Y2710" s="2795"/>
    </row>
    <row r="2711" spans="25:25" ht="12.75" customHeight="1" x14ac:dyDescent="0.2">
      <c r="Y2711" s="2795"/>
    </row>
    <row r="2712" spans="25:25" ht="12.75" customHeight="1" x14ac:dyDescent="0.2">
      <c r="Y2712" s="2795"/>
    </row>
    <row r="2713" spans="25:25" ht="12.75" customHeight="1" x14ac:dyDescent="0.2">
      <c r="Y2713" s="2795"/>
    </row>
    <row r="2714" spans="25:25" ht="12.75" customHeight="1" x14ac:dyDescent="0.2">
      <c r="Y2714" s="2795"/>
    </row>
    <row r="2715" spans="25:25" ht="12.75" customHeight="1" x14ac:dyDescent="0.2">
      <c r="Y2715" s="2795"/>
    </row>
    <row r="2716" spans="25:25" ht="12.75" customHeight="1" x14ac:dyDescent="0.2">
      <c r="Y2716" s="2795"/>
    </row>
    <row r="2717" spans="25:25" ht="12.75" customHeight="1" x14ac:dyDescent="0.2">
      <c r="Y2717" s="2795"/>
    </row>
    <row r="2718" spans="25:25" ht="12.75" customHeight="1" x14ac:dyDescent="0.2">
      <c r="Y2718" s="2795"/>
    </row>
    <row r="2719" spans="25:25" ht="12.75" customHeight="1" x14ac:dyDescent="0.2">
      <c r="Y2719" s="2795"/>
    </row>
    <row r="2720" spans="25:25" ht="12.75" customHeight="1" x14ac:dyDescent="0.2">
      <c r="Y2720" s="2795"/>
    </row>
    <row r="2721" spans="25:25" ht="12.75" customHeight="1" x14ac:dyDescent="0.2">
      <c r="Y2721" s="2795"/>
    </row>
    <row r="2722" spans="25:25" ht="12.75" customHeight="1" x14ac:dyDescent="0.2">
      <c r="Y2722" s="2795"/>
    </row>
    <row r="2723" spans="25:25" ht="12.75" customHeight="1" x14ac:dyDescent="0.2">
      <c r="Y2723" s="2795"/>
    </row>
    <row r="2724" spans="25:25" ht="12.75" customHeight="1" x14ac:dyDescent="0.2">
      <c r="Y2724" s="2795"/>
    </row>
    <row r="2725" spans="25:25" ht="12.75" customHeight="1" x14ac:dyDescent="0.2">
      <c r="Y2725" s="2795"/>
    </row>
    <row r="2726" spans="25:25" ht="12.75" customHeight="1" x14ac:dyDescent="0.2">
      <c r="Y2726" s="2795"/>
    </row>
    <row r="2727" spans="25:25" ht="12.75" customHeight="1" x14ac:dyDescent="0.2">
      <c r="Y2727" s="2795"/>
    </row>
    <row r="2728" spans="25:25" ht="12.75" customHeight="1" x14ac:dyDescent="0.2">
      <c r="Y2728" s="2795"/>
    </row>
    <row r="2729" spans="25:25" ht="12.75" customHeight="1" x14ac:dyDescent="0.2">
      <c r="Y2729" s="2795"/>
    </row>
    <row r="2730" spans="25:25" ht="12.75" customHeight="1" x14ac:dyDescent="0.2">
      <c r="Y2730" s="2795"/>
    </row>
    <row r="2731" spans="25:25" ht="12.75" customHeight="1" x14ac:dyDescent="0.2">
      <c r="Y2731" s="2795"/>
    </row>
    <row r="2732" spans="25:25" ht="12.75" customHeight="1" x14ac:dyDescent="0.2">
      <c r="Y2732" s="2795"/>
    </row>
    <row r="2733" spans="25:25" ht="12.75" customHeight="1" x14ac:dyDescent="0.2">
      <c r="Y2733" s="2795"/>
    </row>
    <row r="2734" spans="25:25" ht="12.75" customHeight="1" x14ac:dyDescent="0.2">
      <c r="Y2734" s="2795"/>
    </row>
    <row r="2735" spans="25:25" ht="12.75" customHeight="1" x14ac:dyDescent="0.2">
      <c r="Y2735" s="2795"/>
    </row>
    <row r="2736" spans="25:25" ht="12.75" customHeight="1" x14ac:dyDescent="0.2">
      <c r="Y2736" s="2795"/>
    </row>
    <row r="2737" spans="25:25" ht="12.75" customHeight="1" x14ac:dyDescent="0.2">
      <c r="Y2737" s="2795"/>
    </row>
    <row r="2738" spans="25:25" ht="12.75" customHeight="1" x14ac:dyDescent="0.2">
      <c r="Y2738" s="2795"/>
    </row>
    <row r="2739" spans="25:25" ht="12.75" customHeight="1" x14ac:dyDescent="0.2">
      <c r="Y2739" s="2795"/>
    </row>
    <row r="2740" spans="25:25" ht="12.75" customHeight="1" x14ac:dyDescent="0.2">
      <c r="Y2740" s="2795"/>
    </row>
    <row r="2741" spans="25:25" ht="12.75" customHeight="1" x14ac:dyDescent="0.2">
      <c r="Y2741" s="2795"/>
    </row>
    <row r="2742" spans="25:25" ht="12.75" customHeight="1" x14ac:dyDescent="0.2">
      <c r="Y2742" s="2795"/>
    </row>
    <row r="2743" spans="25:25" ht="12.75" customHeight="1" x14ac:dyDescent="0.2">
      <c r="Y2743" s="2795"/>
    </row>
    <row r="2744" spans="25:25" ht="12.75" customHeight="1" x14ac:dyDescent="0.2">
      <c r="Y2744" s="2795"/>
    </row>
    <row r="2745" spans="25:25" ht="12.75" customHeight="1" x14ac:dyDescent="0.2">
      <c r="Y2745" s="2795"/>
    </row>
    <row r="2746" spans="25:25" ht="12.75" customHeight="1" x14ac:dyDescent="0.2">
      <c r="Y2746" s="2795"/>
    </row>
    <row r="2747" spans="25:25" ht="12.75" customHeight="1" x14ac:dyDescent="0.2">
      <c r="Y2747" s="2795"/>
    </row>
    <row r="2748" spans="25:25" ht="12.75" customHeight="1" x14ac:dyDescent="0.2">
      <c r="Y2748" s="2795"/>
    </row>
    <row r="2749" spans="25:25" ht="12.75" customHeight="1" x14ac:dyDescent="0.2">
      <c r="Y2749" s="2795"/>
    </row>
    <row r="2750" spans="25:25" ht="12.75" customHeight="1" x14ac:dyDescent="0.2">
      <c r="Y2750" s="2795"/>
    </row>
    <row r="2751" spans="25:25" ht="12.75" customHeight="1" x14ac:dyDescent="0.2">
      <c r="Y2751" s="2795"/>
    </row>
    <row r="2752" spans="25:25" ht="12.75" customHeight="1" x14ac:dyDescent="0.2">
      <c r="Y2752" s="2795"/>
    </row>
    <row r="2753" spans="25:25" ht="12.75" customHeight="1" x14ac:dyDescent="0.2">
      <c r="Y2753" s="2795"/>
    </row>
    <row r="2754" spans="25:25" ht="12.75" customHeight="1" x14ac:dyDescent="0.2">
      <c r="Y2754" s="2795"/>
    </row>
    <row r="2755" spans="25:25" ht="12.75" customHeight="1" x14ac:dyDescent="0.2">
      <c r="Y2755" s="2795"/>
    </row>
    <row r="2756" spans="25:25" ht="12.75" customHeight="1" x14ac:dyDescent="0.2">
      <c r="Y2756" s="2795"/>
    </row>
    <row r="2757" spans="25:25" ht="12.75" customHeight="1" x14ac:dyDescent="0.2">
      <c r="Y2757" s="2795"/>
    </row>
    <row r="2758" spans="25:25" ht="12.75" customHeight="1" x14ac:dyDescent="0.2">
      <c r="Y2758" s="2795"/>
    </row>
    <row r="2759" spans="25:25" ht="12.75" customHeight="1" x14ac:dyDescent="0.2">
      <c r="Y2759" s="2795"/>
    </row>
    <row r="2760" spans="25:25" ht="12.75" customHeight="1" x14ac:dyDescent="0.2">
      <c r="Y2760" s="2795"/>
    </row>
    <row r="2761" spans="25:25" ht="12.75" customHeight="1" x14ac:dyDescent="0.2">
      <c r="Y2761" s="2795"/>
    </row>
    <row r="2762" spans="25:25" ht="12.75" customHeight="1" x14ac:dyDescent="0.2">
      <c r="Y2762" s="2795"/>
    </row>
    <row r="2763" spans="25:25" ht="12.75" customHeight="1" x14ac:dyDescent="0.2">
      <c r="Y2763" s="2795"/>
    </row>
    <row r="2764" spans="25:25" ht="12.75" customHeight="1" x14ac:dyDescent="0.2">
      <c r="Y2764" s="2795"/>
    </row>
    <row r="2765" spans="25:25" ht="12.75" customHeight="1" x14ac:dyDescent="0.2">
      <c r="Y2765" s="2795"/>
    </row>
    <row r="2766" spans="25:25" ht="12.75" customHeight="1" x14ac:dyDescent="0.2">
      <c r="Y2766" s="2795"/>
    </row>
    <row r="2767" spans="25:25" ht="12.75" customHeight="1" x14ac:dyDescent="0.2">
      <c r="Y2767" s="2795"/>
    </row>
    <row r="2768" spans="25:25" ht="12.75" customHeight="1" x14ac:dyDescent="0.2">
      <c r="Y2768" s="2795"/>
    </row>
    <row r="2769" spans="25:25" ht="12.75" customHeight="1" x14ac:dyDescent="0.2">
      <c r="Y2769" s="2795"/>
    </row>
    <row r="2770" spans="25:25" ht="12.75" customHeight="1" x14ac:dyDescent="0.2">
      <c r="Y2770" s="2795"/>
    </row>
    <row r="2771" spans="25:25" ht="12.75" customHeight="1" x14ac:dyDescent="0.2">
      <c r="Y2771" s="2795"/>
    </row>
    <row r="2772" spans="25:25" ht="12.75" customHeight="1" x14ac:dyDescent="0.2">
      <c r="Y2772" s="2795"/>
    </row>
    <row r="2773" spans="25:25" ht="12.75" customHeight="1" x14ac:dyDescent="0.2">
      <c r="Y2773" s="2795"/>
    </row>
    <row r="2774" spans="25:25" ht="12.75" customHeight="1" x14ac:dyDescent="0.2">
      <c r="Y2774" s="2795"/>
    </row>
    <row r="2775" spans="25:25" ht="12.75" customHeight="1" x14ac:dyDescent="0.2">
      <c r="Y2775" s="2795"/>
    </row>
    <row r="2776" spans="25:25" ht="12.75" customHeight="1" x14ac:dyDescent="0.2">
      <c r="Y2776" s="2795"/>
    </row>
    <row r="2777" spans="25:25" ht="12.75" customHeight="1" x14ac:dyDescent="0.2">
      <c r="Y2777" s="2795"/>
    </row>
    <row r="2778" spans="25:25" ht="12.75" customHeight="1" x14ac:dyDescent="0.2">
      <c r="Y2778" s="2795"/>
    </row>
    <row r="2779" spans="25:25" ht="12.75" customHeight="1" x14ac:dyDescent="0.2">
      <c r="Y2779" s="2795"/>
    </row>
    <row r="2780" spans="25:25" ht="12.75" customHeight="1" x14ac:dyDescent="0.2">
      <c r="Y2780" s="2795"/>
    </row>
    <row r="2781" spans="25:25" ht="12.75" customHeight="1" x14ac:dyDescent="0.2">
      <c r="Y2781" s="2795"/>
    </row>
    <row r="2782" spans="25:25" ht="12.75" customHeight="1" x14ac:dyDescent="0.2">
      <c r="Y2782" s="2795"/>
    </row>
    <row r="2783" spans="25:25" ht="12.75" customHeight="1" x14ac:dyDescent="0.2">
      <c r="Y2783" s="2795"/>
    </row>
    <row r="2784" spans="25:25" ht="12.75" customHeight="1" x14ac:dyDescent="0.2">
      <c r="Y2784" s="2795"/>
    </row>
    <row r="2785" spans="25:25" ht="12.75" customHeight="1" x14ac:dyDescent="0.2">
      <c r="Y2785" s="2795"/>
    </row>
    <row r="2786" spans="25:25" ht="12.75" customHeight="1" x14ac:dyDescent="0.2">
      <c r="Y2786" s="2795"/>
    </row>
    <row r="2787" spans="25:25" ht="12.75" customHeight="1" x14ac:dyDescent="0.2">
      <c r="Y2787" s="2795"/>
    </row>
    <row r="2788" spans="25:25" ht="12.75" customHeight="1" x14ac:dyDescent="0.2">
      <c r="Y2788" s="2795"/>
    </row>
    <row r="2789" spans="25:25" ht="12.75" customHeight="1" x14ac:dyDescent="0.2">
      <c r="Y2789" s="2795"/>
    </row>
    <row r="2790" spans="25:25" ht="12.75" customHeight="1" x14ac:dyDescent="0.2">
      <c r="Y2790" s="2795"/>
    </row>
    <row r="2791" spans="25:25" ht="12.75" customHeight="1" x14ac:dyDescent="0.2">
      <c r="Y2791" s="2795"/>
    </row>
    <row r="2792" spans="25:25" ht="12.75" customHeight="1" x14ac:dyDescent="0.2">
      <c r="Y2792" s="2795"/>
    </row>
    <row r="2793" spans="25:25" ht="12.75" customHeight="1" x14ac:dyDescent="0.2">
      <c r="Y2793" s="2795"/>
    </row>
    <row r="2794" spans="25:25" ht="12.75" customHeight="1" x14ac:dyDescent="0.2">
      <c r="Y2794" s="2795"/>
    </row>
    <row r="2795" spans="25:25" ht="12.75" customHeight="1" x14ac:dyDescent="0.2">
      <c r="Y2795" s="2795"/>
    </row>
    <row r="2796" spans="25:25" ht="12.75" customHeight="1" x14ac:dyDescent="0.2">
      <c r="Y2796" s="2795"/>
    </row>
    <row r="2797" spans="25:25" ht="12.75" customHeight="1" x14ac:dyDescent="0.2">
      <c r="Y2797" s="2795"/>
    </row>
    <row r="2798" spans="25:25" ht="12.75" customHeight="1" x14ac:dyDescent="0.2">
      <c r="Y2798" s="2795"/>
    </row>
    <row r="2799" spans="25:25" ht="12.75" customHeight="1" x14ac:dyDescent="0.2">
      <c r="Y2799" s="2795"/>
    </row>
    <row r="2800" spans="25:25" ht="12.75" customHeight="1" x14ac:dyDescent="0.2">
      <c r="Y2800" s="2795"/>
    </row>
    <row r="2801" spans="25:25" ht="12.75" customHeight="1" x14ac:dyDescent="0.2">
      <c r="Y2801" s="2795"/>
    </row>
    <row r="2802" spans="25:25" ht="12.75" customHeight="1" x14ac:dyDescent="0.2">
      <c r="Y2802" s="2795"/>
    </row>
    <row r="2803" spans="25:25" ht="12.75" customHeight="1" x14ac:dyDescent="0.2">
      <c r="Y2803" s="2795"/>
    </row>
    <row r="2804" spans="25:25" ht="12.75" customHeight="1" x14ac:dyDescent="0.2">
      <c r="Y2804" s="2795"/>
    </row>
    <row r="2805" spans="25:25" ht="12.75" customHeight="1" x14ac:dyDescent="0.2">
      <c r="Y2805" s="2795"/>
    </row>
    <row r="2806" spans="25:25" ht="12.75" customHeight="1" x14ac:dyDescent="0.2">
      <c r="Y2806" s="2795"/>
    </row>
    <row r="2807" spans="25:25" ht="12.75" customHeight="1" x14ac:dyDescent="0.2">
      <c r="Y2807" s="2795"/>
    </row>
    <row r="2808" spans="25:25" ht="12.75" customHeight="1" x14ac:dyDescent="0.2">
      <c r="Y2808" s="2795"/>
    </row>
    <row r="2809" spans="25:25" ht="12.75" customHeight="1" x14ac:dyDescent="0.2">
      <c r="Y2809" s="2795"/>
    </row>
    <row r="2810" spans="25:25" ht="12.75" customHeight="1" x14ac:dyDescent="0.2">
      <c r="Y2810" s="2795"/>
    </row>
    <row r="2811" spans="25:25" ht="12.75" customHeight="1" x14ac:dyDescent="0.2">
      <c r="Y2811" s="2795"/>
    </row>
    <row r="2812" spans="25:25" ht="12.75" customHeight="1" x14ac:dyDescent="0.2">
      <c r="Y2812" s="2795"/>
    </row>
    <row r="2813" spans="25:25" ht="12.75" customHeight="1" x14ac:dyDescent="0.2">
      <c r="Y2813" s="2795"/>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electLockedCells="1"/>
  <dataConsolidate/>
  <mergeCells count="677">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P2323:P2324"/>
    <mergeCell ref="O2323:O2324"/>
    <mergeCell ref="L2326:Q2326"/>
    <mergeCell ref="L2327:Q2327"/>
    <mergeCell ref="L2328:Q2328"/>
    <mergeCell ref="L2329:Q2329"/>
    <mergeCell ref="L2330:Q2330"/>
    <mergeCell ref="L2331:Q2331"/>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332:Q2332"/>
    <mergeCell ref="L2333:Q2333"/>
    <mergeCell ref="L2334:Q2334"/>
    <mergeCell ref="L2335:Q2335"/>
    <mergeCell ref="L2336:Q2336"/>
    <mergeCell ref="L2337:Q2337"/>
    <mergeCell ref="L2339:Q2339"/>
    <mergeCell ref="L2340:Q2340"/>
    <mergeCell ref="L2341:Q2341"/>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T595:U595"/>
    <mergeCell ref="T596:U596"/>
    <mergeCell ref="T597:U597"/>
    <mergeCell ref="V721:X721"/>
    <mergeCell ref="J67:L68"/>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5:X715"/>
    <mergeCell ref="V716:X716"/>
    <mergeCell ref="V717:X717"/>
    <mergeCell ref="C609:Q609"/>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K138:L138"/>
    <mergeCell ref="F133:DE134"/>
    <mergeCell ref="F135:G135"/>
    <mergeCell ref="AC129:AD129"/>
    <mergeCell ref="H138:J138"/>
    <mergeCell ref="Y138:AA138"/>
    <mergeCell ref="AB138:AC138"/>
    <mergeCell ref="AD138:AE138"/>
    <mergeCell ref="BS138:BT138"/>
    <mergeCell ref="BU138:BX138"/>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38:AO138"/>
    <mergeCell ref="T572:U572"/>
    <mergeCell ref="T584:U584"/>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C998:E998"/>
    <mergeCell ref="G998:L998"/>
    <mergeCell ref="P1021:Q1022"/>
    <mergeCell ref="C805:D805"/>
    <mergeCell ref="V773:X773"/>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I1126:M1127"/>
    <mergeCell ref="I1128:K1128"/>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s>
  <phoneticPr fontId="10" type="noConversion"/>
  <conditionalFormatting sqref="W1814:X1815 W1818 W1820:W1861 W1870 W1863 W1865:W1867 W1892:X1902 W1873:W1886 W1889:W1890 W1816 X1816:X1891 W1905:X1991">
    <cfRule type="expression" dxfId="219"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4" t="s">
        <v>4691</v>
      </c>
      <c r="D2" s="5235"/>
      <c r="E2" s="5235"/>
      <c r="F2" s="5235"/>
      <c r="G2" s="5235"/>
      <c r="H2" s="5235"/>
      <c r="I2" s="5235"/>
      <c r="J2" s="5235"/>
      <c r="K2" s="5235"/>
      <c r="L2" s="5235"/>
      <c r="M2" s="5235"/>
      <c r="N2" s="5235"/>
      <c r="O2" s="5235"/>
      <c r="P2" s="5235"/>
      <c r="Q2" s="5235"/>
      <c r="R2" s="5235"/>
      <c r="S2" s="5235"/>
      <c r="T2" s="5235"/>
      <c r="U2" s="5235"/>
      <c r="V2" s="5235"/>
      <c r="W2" s="5235"/>
      <c r="X2" s="5235"/>
      <c r="Y2" s="5235"/>
      <c r="Z2" s="5236"/>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37"/>
      <c r="D3" s="5238"/>
      <c r="E3" s="5238"/>
      <c r="F3" s="5238"/>
      <c r="G3" s="5238"/>
      <c r="H3" s="5238"/>
      <c r="I3" s="5238"/>
      <c r="J3" s="5238"/>
      <c r="K3" s="5238"/>
      <c r="L3" s="5238"/>
      <c r="M3" s="5238"/>
      <c r="N3" s="5238"/>
      <c r="O3" s="5238"/>
      <c r="P3" s="5238"/>
      <c r="Q3" s="5238"/>
      <c r="R3" s="5238"/>
      <c r="S3" s="5238"/>
      <c r="T3" s="5238"/>
      <c r="U3" s="5238"/>
      <c r="V3" s="5238"/>
      <c r="W3" s="5238"/>
      <c r="X3" s="5238"/>
      <c r="Y3" s="5238"/>
      <c r="Z3" s="5239"/>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3"/>
      <c r="AB4" s="5233"/>
      <c r="AC4" s="1165"/>
      <c r="AD4" s="5233"/>
      <c r="AE4" s="5233"/>
      <c r="AF4" s="1165"/>
      <c r="AG4" s="1166"/>
      <c r="AH4" s="1167"/>
      <c r="AI4" s="1165"/>
      <c r="AJ4" s="5233"/>
      <c r="AK4" s="5233"/>
      <c r="AL4" s="1165"/>
      <c r="AM4" s="5233"/>
      <c r="AN4" s="5233"/>
      <c r="AO4" s="1165"/>
      <c r="AP4" s="5233"/>
      <c r="AQ4" s="5233"/>
      <c r="AR4" s="1165"/>
      <c r="AS4" s="5233"/>
      <c r="AT4" s="5233"/>
      <c r="AU4" s="1165"/>
      <c r="AV4" s="5233"/>
      <c r="AW4" s="5233"/>
      <c r="AX4" s="1165"/>
      <c r="AY4" s="5233"/>
      <c r="AZ4" s="5233"/>
      <c r="BA4" s="1165"/>
      <c r="BB4" s="5233"/>
      <c r="BC4" s="5233"/>
      <c r="BD4" s="1165"/>
      <c r="BE4" s="5233"/>
      <c r="BF4" s="5233"/>
      <c r="BG4" s="1165"/>
      <c r="BH4" s="1155"/>
      <c r="BI4" s="1155"/>
      <c r="BJ4" s="1155"/>
      <c r="BK4" s="1155"/>
    </row>
    <row r="5" spans="2:63" ht="12.75" customHeight="1" thickBot="1" x14ac:dyDescent="0.25">
      <c r="B5" s="555"/>
      <c r="C5" s="1168"/>
      <c r="D5" s="1169" t="s">
        <v>2023</v>
      </c>
      <c r="E5" s="1169" t="s">
        <v>2024</v>
      </c>
      <c r="F5" s="1169" t="s">
        <v>1715</v>
      </c>
      <c r="G5" s="1169" t="s">
        <v>4692</v>
      </c>
      <c r="H5" s="1169" t="s">
        <v>1711</v>
      </c>
      <c r="I5" s="1169" t="s">
        <v>3436</v>
      </c>
      <c r="J5" s="1169" t="s">
        <v>4693</v>
      </c>
      <c r="K5" s="1169" t="s">
        <v>4694</v>
      </c>
      <c r="L5" s="1169" t="s">
        <v>4695</v>
      </c>
      <c r="M5" s="1169" t="s">
        <v>4696</v>
      </c>
      <c r="N5" s="1169" t="s">
        <v>4697</v>
      </c>
      <c r="O5" s="1169" t="s">
        <v>4698</v>
      </c>
      <c r="P5" s="1169" t="s">
        <v>4699</v>
      </c>
      <c r="Q5" s="1169" t="s">
        <v>4700</v>
      </c>
      <c r="R5" s="1169" t="s">
        <v>4701</v>
      </c>
      <c r="S5" s="1169" t="s">
        <v>4702</v>
      </c>
      <c r="T5" s="1169" t="s">
        <v>4703</v>
      </c>
      <c r="U5" s="1169" t="s">
        <v>4704</v>
      </c>
      <c r="V5" s="631" t="s">
        <v>1677</v>
      </c>
      <c r="W5" s="631" t="s">
        <v>4705</v>
      </c>
      <c r="X5" s="631" t="s">
        <v>4706</v>
      </c>
      <c r="Y5" s="631" t="s">
        <v>4707</v>
      </c>
      <c r="Z5" s="632" t="s">
        <v>1539</v>
      </c>
      <c r="AA5" s="5232"/>
      <c r="AB5" s="5232"/>
      <c r="AC5" s="1170"/>
      <c r="AD5" s="5232"/>
      <c r="AE5" s="5232"/>
      <c r="AF5" s="1170"/>
      <c r="AG5" s="1171"/>
      <c r="AH5" s="1172"/>
      <c r="AI5" s="1170"/>
      <c r="AJ5" s="5232"/>
      <c r="AK5" s="5232"/>
      <c r="AL5" s="1170"/>
      <c r="AM5" s="5232"/>
      <c r="AN5" s="5232"/>
      <c r="AO5" s="1170"/>
      <c r="AP5" s="5232"/>
      <c r="AQ5" s="5232"/>
      <c r="AR5" s="1170"/>
      <c r="AS5" s="5232"/>
      <c r="AT5" s="5232"/>
      <c r="AU5" s="1170"/>
      <c r="AV5" s="5232"/>
      <c r="AW5" s="5232"/>
      <c r="AX5" s="1170"/>
      <c r="AY5" s="5232"/>
      <c r="AZ5" s="5232"/>
      <c r="BA5" s="1170"/>
      <c r="BB5" s="5232"/>
      <c r="BC5" s="5232"/>
      <c r="BD5" s="1170"/>
      <c r="BE5" s="5232"/>
      <c r="BF5" s="5232"/>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2029</v>
      </c>
      <c r="F7" s="1175">
        <v>2</v>
      </c>
      <c r="G7" s="1176" t="s">
        <v>2549</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4708</v>
      </c>
      <c r="W7" s="1181" t="s">
        <v>4709</v>
      </c>
      <c r="X7" s="1181" t="s">
        <v>4710</v>
      </c>
      <c r="Y7" s="1181" t="s">
        <v>4711</v>
      </c>
      <c r="Z7" s="1182" t="s">
        <v>4712</v>
      </c>
    </row>
    <row r="8" spans="2:63" ht="12.75" customHeight="1" x14ac:dyDescent="0.2">
      <c r="B8" s="2252" t="str">
        <f t="shared" ref="B8:B71" si="0">E8&amp;F8</f>
        <v>Luz6</v>
      </c>
      <c r="C8" s="1183"/>
      <c r="D8" s="1184" t="s">
        <v>256</v>
      </c>
      <c r="E8" s="1175" t="s">
        <v>2029</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4713</v>
      </c>
      <c r="W8" s="1181" t="s">
        <v>4714</v>
      </c>
      <c r="X8" s="1181" t="s">
        <v>4715</v>
      </c>
      <c r="Y8" s="1181" t="s">
        <v>4716</v>
      </c>
      <c r="Z8" s="1182" t="s">
        <v>4717</v>
      </c>
    </row>
    <row r="9" spans="2:63" ht="12.75" customHeight="1" x14ac:dyDescent="0.2">
      <c r="B9" s="2252" t="str">
        <f t="shared" si="0"/>
        <v>Luz8</v>
      </c>
      <c r="C9" s="1183"/>
      <c r="D9" s="1184" t="s">
        <v>257</v>
      </c>
      <c r="E9" s="1175" t="s">
        <v>2029</v>
      </c>
      <c r="F9" s="1175">
        <v>8</v>
      </c>
      <c r="G9" s="1176" t="s">
        <v>1693</v>
      </c>
      <c r="H9" s="1176" t="s">
        <v>4718</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4719</v>
      </c>
      <c r="W9" s="1181" t="s">
        <v>4720</v>
      </c>
      <c r="X9" s="1181" t="s">
        <v>4721</v>
      </c>
      <c r="Y9" s="1181" t="s">
        <v>4722</v>
      </c>
      <c r="Z9" s="1182" t="s">
        <v>4723</v>
      </c>
    </row>
    <row r="10" spans="2:63" ht="12.75" customHeight="1" x14ac:dyDescent="0.2">
      <c r="B10" s="2252" t="str">
        <f t="shared" si="0"/>
        <v>Luz10</v>
      </c>
      <c r="C10" s="1183"/>
      <c r="D10" s="1184" t="s">
        <v>258</v>
      </c>
      <c r="E10" s="1175" t="s">
        <v>2029</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4724</v>
      </c>
      <c r="W10" s="1181" t="s">
        <v>4725</v>
      </c>
      <c r="X10" s="1181" t="s">
        <v>4726</v>
      </c>
      <c r="Y10" s="1181" t="s">
        <v>4727</v>
      </c>
      <c r="Z10" s="1182" t="s">
        <v>4728</v>
      </c>
    </row>
    <row r="11" spans="2:63" ht="12.75" customHeight="1" x14ac:dyDescent="0.2">
      <c r="B11" s="2252" t="str">
        <f t="shared" si="0"/>
        <v>Luz12</v>
      </c>
      <c r="C11" s="1183"/>
      <c r="D11" s="1184" t="s">
        <v>259</v>
      </c>
      <c r="E11" s="1175" t="s">
        <v>2029</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4729</v>
      </c>
      <c r="W11" s="1181" t="s">
        <v>4730</v>
      </c>
      <c r="X11" s="1181" t="s">
        <v>4731</v>
      </c>
      <c r="Y11" s="1181" t="s">
        <v>4732</v>
      </c>
      <c r="Z11" s="1182" t="s">
        <v>4733</v>
      </c>
    </row>
    <row r="12" spans="2:63" ht="12.75" customHeight="1" x14ac:dyDescent="0.2">
      <c r="B12" s="2252" t="str">
        <f t="shared" si="0"/>
        <v>Luz16</v>
      </c>
      <c r="C12" s="1183"/>
      <c r="D12" s="1184" t="s">
        <v>260</v>
      </c>
      <c r="E12" s="1175" t="s">
        <v>2029</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4734</v>
      </c>
      <c r="W12" s="1181" t="s">
        <v>4735</v>
      </c>
      <c r="X12" s="1181" t="s">
        <v>4736</v>
      </c>
      <c r="Y12" s="1181" t="s">
        <v>4737</v>
      </c>
      <c r="Z12" s="1182" t="s">
        <v>4738</v>
      </c>
    </row>
    <row r="13" spans="2:63" ht="12.75" customHeight="1" x14ac:dyDescent="0.2">
      <c r="B13" s="2252" t="str">
        <f t="shared" si="0"/>
        <v>Luz18</v>
      </c>
      <c r="C13" s="1183"/>
      <c r="D13" s="1184" t="s">
        <v>261</v>
      </c>
      <c r="E13" s="1175" t="s">
        <v>2029</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4739</v>
      </c>
      <c r="W13" s="1181" t="s">
        <v>4740</v>
      </c>
      <c r="X13" s="1181" t="s">
        <v>4741</v>
      </c>
      <c r="Y13" s="1181" t="s">
        <v>4742</v>
      </c>
      <c r="Z13" s="1182" t="s">
        <v>4743</v>
      </c>
    </row>
    <row r="14" spans="2:63" ht="12.75" customHeight="1" x14ac:dyDescent="0.2">
      <c r="B14" s="2252" t="str">
        <f t="shared" si="0"/>
        <v>Luz20</v>
      </c>
      <c r="C14" s="1183"/>
      <c r="D14" s="1184" t="s">
        <v>262</v>
      </c>
      <c r="E14" s="1175" t="s">
        <v>2029</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4744</v>
      </c>
      <c r="W14" s="1181" t="s">
        <v>4745</v>
      </c>
      <c r="X14" s="1181" t="s">
        <v>4746</v>
      </c>
      <c r="Y14" s="1181" t="s">
        <v>4747</v>
      </c>
      <c r="Z14" s="1182" t="s">
        <v>4748</v>
      </c>
    </row>
    <row r="15" spans="2:63" ht="12.75" customHeight="1" x14ac:dyDescent="0.2">
      <c r="B15" s="2252" t="str">
        <f t="shared" si="0"/>
        <v>Luz22</v>
      </c>
      <c r="C15" s="1183"/>
      <c r="D15" s="1184" t="s">
        <v>263</v>
      </c>
      <c r="E15" s="1175" t="s">
        <v>2029</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4749</v>
      </c>
      <c r="W15" s="1181" t="s">
        <v>4750</v>
      </c>
      <c r="X15" s="1181" t="s">
        <v>4751</v>
      </c>
      <c r="Y15" s="1181" t="s">
        <v>4752</v>
      </c>
      <c r="Z15" s="1182" t="s">
        <v>4753</v>
      </c>
    </row>
    <row r="16" spans="2:63" ht="12.75" customHeight="1" x14ac:dyDescent="0.2">
      <c r="B16" s="2252" t="str">
        <f t="shared" si="0"/>
        <v>Luz26</v>
      </c>
      <c r="C16" s="1183"/>
      <c r="D16" s="1184" t="s">
        <v>244</v>
      </c>
      <c r="E16" s="1175" t="s">
        <v>2029</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4754</v>
      </c>
      <c r="W16" s="1181" t="s">
        <v>4755</v>
      </c>
      <c r="X16" s="1181" t="s">
        <v>4756</v>
      </c>
      <c r="Y16" s="1181" t="s">
        <v>4757</v>
      </c>
      <c r="Z16" s="1182" t="s">
        <v>4758</v>
      </c>
    </row>
    <row r="17" spans="2:26" ht="12.75" customHeight="1" x14ac:dyDescent="0.2">
      <c r="B17" s="2252" t="str">
        <f t="shared" si="0"/>
        <v>Luz28</v>
      </c>
      <c r="C17" s="1183"/>
      <c r="D17" s="1184" t="s">
        <v>264</v>
      </c>
      <c r="E17" s="1175" t="s">
        <v>2029</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4759</v>
      </c>
      <c r="W17" s="1181" t="s">
        <v>4760</v>
      </c>
      <c r="X17" s="1181" t="s">
        <v>4761</v>
      </c>
      <c r="Y17" s="1181" t="s">
        <v>4762</v>
      </c>
      <c r="Z17" s="1182" t="s">
        <v>4763</v>
      </c>
    </row>
    <row r="18" spans="2:26" ht="12.75" customHeight="1" x14ac:dyDescent="0.2">
      <c r="B18" s="2252" t="str">
        <f t="shared" si="0"/>
        <v>Luz30</v>
      </c>
      <c r="C18" s="1183"/>
      <c r="D18" s="1184" t="s">
        <v>265</v>
      </c>
      <c r="E18" s="1175" t="s">
        <v>2029</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4764</v>
      </c>
      <c r="W18" s="1181" t="s">
        <v>4765</v>
      </c>
      <c r="X18" s="1181" t="s">
        <v>4766</v>
      </c>
      <c r="Y18" s="1181" t="s">
        <v>4767</v>
      </c>
      <c r="Z18" s="1182" t="s">
        <v>4768</v>
      </c>
    </row>
    <row r="19" spans="2:26" ht="12.75" customHeight="1" x14ac:dyDescent="0.2">
      <c r="B19" s="2252" t="str">
        <f t="shared" si="0"/>
        <v>Luz32</v>
      </c>
      <c r="C19" s="1183"/>
      <c r="D19" s="1184" t="s">
        <v>266</v>
      </c>
      <c r="E19" s="1175" t="s">
        <v>2029</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4769</v>
      </c>
      <c r="W19" s="1181" t="s">
        <v>4770</v>
      </c>
      <c r="X19" s="1181" t="s">
        <v>4771</v>
      </c>
      <c r="Y19" s="1181" t="s">
        <v>4772</v>
      </c>
      <c r="Z19" s="1182" t="s">
        <v>4773</v>
      </c>
    </row>
    <row r="20" spans="2:26" ht="12.75" customHeight="1" x14ac:dyDescent="0.2">
      <c r="B20" s="2252" t="str">
        <f t="shared" si="0"/>
        <v>Luz36</v>
      </c>
      <c r="C20" s="1183"/>
      <c r="D20" s="1184" t="s">
        <v>267</v>
      </c>
      <c r="E20" s="1175" t="s">
        <v>2029</v>
      </c>
      <c r="F20" s="1175">
        <v>36</v>
      </c>
      <c r="G20" s="1176" t="s">
        <v>2549</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4774</v>
      </c>
      <c r="W20" s="1181" t="s">
        <v>4775</v>
      </c>
      <c r="X20" s="1181" t="s">
        <v>4776</v>
      </c>
      <c r="Y20" s="1181" t="s">
        <v>4777</v>
      </c>
      <c r="Z20" s="1182" t="s">
        <v>4778</v>
      </c>
    </row>
    <row r="21" spans="2:26" ht="12.75" customHeight="1" x14ac:dyDescent="0.2">
      <c r="B21" s="2252" t="str">
        <f t="shared" si="0"/>
        <v>Luz38</v>
      </c>
      <c r="C21" s="1183"/>
      <c r="D21" s="1184" t="s">
        <v>268</v>
      </c>
      <c r="E21" s="1175" t="s">
        <v>2029</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4779</v>
      </c>
      <c r="W21" s="1181" t="s">
        <v>4780</v>
      </c>
      <c r="X21" s="1181" t="s">
        <v>4781</v>
      </c>
      <c r="Y21" s="1181" t="s">
        <v>4782</v>
      </c>
      <c r="Z21" s="1182" t="s">
        <v>4783</v>
      </c>
    </row>
    <row r="22" spans="2:26" ht="12.75" customHeight="1" x14ac:dyDescent="0.2">
      <c r="B22" s="2252" t="str">
        <f t="shared" si="0"/>
        <v>Luz40</v>
      </c>
      <c r="C22" s="1183"/>
      <c r="D22" s="1184" t="s">
        <v>4784</v>
      </c>
      <c r="E22" s="1175" t="s">
        <v>2029</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4785</v>
      </c>
      <c r="W22" s="1181" t="s">
        <v>4786</v>
      </c>
      <c r="X22" s="1181" t="s">
        <v>4787</v>
      </c>
      <c r="Y22" s="1181" t="s">
        <v>4788</v>
      </c>
      <c r="Z22" s="1182" t="s">
        <v>4789</v>
      </c>
    </row>
    <row r="23" spans="2:26" ht="12.75" customHeight="1" x14ac:dyDescent="0.2">
      <c r="B23" s="2252" t="str">
        <f t="shared" si="0"/>
        <v>Luz42</v>
      </c>
      <c r="C23" s="1183"/>
      <c r="D23" s="1184" t="s">
        <v>270</v>
      </c>
      <c r="E23" s="1175" t="s">
        <v>2029</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4790</v>
      </c>
      <c r="W23" s="1181" t="s">
        <v>4791</v>
      </c>
      <c r="X23" s="1181" t="s">
        <v>4792</v>
      </c>
      <c r="Y23" s="1181" t="s">
        <v>4793</v>
      </c>
      <c r="Z23" s="1182" t="s">
        <v>4794</v>
      </c>
    </row>
    <row r="24" spans="2:26" ht="12.75" customHeight="1" x14ac:dyDescent="0.2">
      <c r="B24" s="2252" t="str">
        <f t="shared" si="0"/>
        <v>Luz46</v>
      </c>
      <c r="C24" s="1183"/>
      <c r="D24" s="1184" t="s">
        <v>271</v>
      </c>
      <c r="E24" s="1175" t="s">
        <v>2029</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4795</v>
      </c>
      <c r="W24" s="1181" t="s">
        <v>4796</v>
      </c>
      <c r="X24" s="1181" t="s">
        <v>4797</v>
      </c>
      <c r="Y24" s="1181" t="s">
        <v>4798</v>
      </c>
      <c r="Z24" s="1182" t="s">
        <v>4799</v>
      </c>
    </row>
    <row r="25" spans="2:26" ht="12.75" customHeight="1" x14ac:dyDescent="0.2">
      <c r="B25" s="2252" t="str">
        <f t="shared" si="0"/>
        <v>Luz48</v>
      </c>
      <c r="C25" s="1183"/>
      <c r="D25" s="1184" t="s">
        <v>272</v>
      </c>
      <c r="E25" s="1175" t="s">
        <v>2029</v>
      </c>
      <c r="F25" s="1175">
        <v>48</v>
      </c>
      <c r="G25" s="1176" t="s">
        <v>2549</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4800</v>
      </c>
      <c r="W25" s="1181" t="s">
        <v>4801</v>
      </c>
      <c r="X25" s="1181" t="s">
        <v>4802</v>
      </c>
      <c r="Y25" s="1181" t="s">
        <v>4803</v>
      </c>
      <c r="Z25" s="1182" t="s">
        <v>4804</v>
      </c>
    </row>
    <row r="26" spans="2:26" ht="12.75" customHeight="1" x14ac:dyDescent="0.2">
      <c r="B26" s="2252" t="str">
        <f t="shared" si="0"/>
        <v>Luz50</v>
      </c>
      <c r="C26" s="1183"/>
      <c r="D26" s="1184" t="s">
        <v>9126</v>
      </c>
      <c r="E26" s="1175" t="s">
        <v>2029</v>
      </c>
      <c r="F26" s="1175">
        <v>50</v>
      </c>
      <c r="G26" s="1176" t="s">
        <v>2549</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4805</v>
      </c>
      <c r="W26" s="1181" t="s">
        <v>4806</v>
      </c>
      <c r="X26" s="1181" t="s">
        <v>4807</v>
      </c>
      <c r="Y26" s="1181" t="s">
        <v>4808</v>
      </c>
      <c r="Z26" s="1182" t="s">
        <v>9127</v>
      </c>
    </row>
    <row r="27" spans="2:26" ht="12.75" customHeight="1" x14ac:dyDescent="0.2">
      <c r="B27" s="2252" t="str">
        <f t="shared" si="0"/>
        <v>Luz52</v>
      </c>
      <c r="C27" s="1183"/>
      <c r="D27" s="1184" t="s">
        <v>274</v>
      </c>
      <c r="E27" s="1175" t="s">
        <v>2029</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4809</v>
      </c>
      <c r="W27" s="1181" t="s">
        <v>4810</v>
      </c>
      <c r="X27" s="1181" t="s">
        <v>4811</v>
      </c>
      <c r="Y27" s="1181" t="s">
        <v>4812</v>
      </c>
      <c r="Z27" s="1182" t="s">
        <v>4813</v>
      </c>
    </row>
    <row r="28" spans="2:26" ht="12.75" customHeight="1" x14ac:dyDescent="0.2">
      <c r="B28" s="2252" t="str">
        <f t="shared" si="0"/>
        <v>Luz56</v>
      </c>
      <c r="C28" s="1183"/>
      <c r="D28" s="1184" t="s">
        <v>275</v>
      </c>
      <c r="E28" s="1175" t="s">
        <v>2029</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4814</v>
      </c>
      <c r="W28" s="1181" t="s">
        <v>4815</v>
      </c>
      <c r="X28" s="1181" t="s">
        <v>4816</v>
      </c>
      <c r="Y28" s="1181" t="s">
        <v>4817</v>
      </c>
      <c r="Z28" s="1182" t="s">
        <v>4818</v>
      </c>
    </row>
    <row r="29" spans="2:26" ht="12.75" customHeight="1" x14ac:dyDescent="0.2">
      <c r="B29" s="2252" t="str">
        <f t="shared" si="0"/>
        <v>Luz58</v>
      </c>
      <c r="C29" s="1183"/>
      <c r="D29" s="1184" t="s">
        <v>4819</v>
      </c>
      <c r="E29" s="1175" t="s">
        <v>2029</v>
      </c>
      <c r="F29" s="1175">
        <v>58</v>
      </c>
      <c r="G29" s="1176" t="s">
        <v>2549</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4820</v>
      </c>
      <c r="W29" s="1181" t="s">
        <v>4821</v>
      </c>
      <c r="X29" s="1181" t="s">
        <v>4822</v>
      </c>
      <c r="Y29" s="1181" t="s">
        <v>4823</v>
      </c>
      <c r="Z29" s="1182" t="s">
        <v>4824</v>
      </c>
    </row>
    <row r="30" spans="2:26" ht="12.75" customHeight="1" x14ac:dyDescent="0.2">
      <c r="B30" s="2252" t="str">
        <f t="shared" si="0"/>
        <v>Luz60</v>
      </c>
      <c r="C30" s="1183"/>
      <c r="D30" s="1184" t="s">
        <v>4825</v>
      </c>
      <c r="E30" s="1175" t="s">
        <v>2029</v>
      </c>
      <c r="F30" s="1175">
        <v>60</v>
      </c>
      <c r="G30" s="1176" t="s">
        <v>2549</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9110</v>
      </c>
      <c r="W30" s="1181" t="s">
        <v>4826</v>
      </c>
      <c r="X30" s="1181" t="s">
        <v>9111</v>
      </c>
      <c r="Y30" s="1181" t="s">
        <v>9112</v>
      </c>
      <c r="Z30" s="1182" t="s">
        <v>9113</v>
      </c>
    </row>
    <row r="31" spans="2:26" ht="12.75" customHeight="1" x14ac:dyDescent="0.2">
      <c r="B31" s="2252" t="str">
        <f t="shared" si="0"/>
        <v>Luz62</v>
      </c>
      <c r="C31" s="1183"/>
      <c r="D31" s="1184" t="s">
        <v>4827</v>
      </c>
      <c r="E31" s="1175" t="s">
        <v>2029</v>
      </c>
      <c r="F31" s="1175">
        <v>62</v>
      </c>
      <c r="G31" s="1176" t="s">
        <v>2549</v>
      </c>
      <c r="H31" s="1176" t="s">
        <v>4718</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4828</v>
      </c>
      <c r="W31" s="1181" t="s">
        <v>4829</v>
      </c>
      <c r="X31" s="1181" t="s">
        <v>4830</v>
      </c>
      <c r="Y31" s="1181" t="s">
        <v>4831</v>
      </c>
      <c r="Z31" s="1182" t="s">
        <v>4832</v>
      </c>
    </row>
    <row r="32" spans="2:26" ht="12.75" customHeight="1" x14ac:dyDescent="0.2">
      <c r="B32" s="2252" t="str">
        <f t="shared" si="0"/>
        <v>Luz66</v>
      </c>
      <c r="C32" s="1183"/>
      <c r="D32" s="1184" t="s">
        <v>279</v>
      </c>
      <c r="E32" s="1175" t="s">
        <v>2029</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4833</v>
      </c>
      <c r="W32" s="1181" t="s">
        <v>4834</v>
      </c>
      <c r="X32" s="1181" t="s">
        <v>4835</v>
      </c>
      <c r="Y32" s="1181" t="s">
        <v>4836</v>
      </c>
      <c r="Z32" s="1182" t="s">
        <v>4837</v>
      </c>
    </row>
    <row r="33" spans="2:26" ht="12.75" customHeight="1" x14ac:dyDescent="0.2">
      <c r="B33" s="2252" t="str">
        <f t="shared" si="0"/>
        <v>Luz68</v>
      </c>
      <c r="C33" s="1183"/>
      <c r="D33" s="1184" t="s">
        <v>280</v>
      </c>
      <c r="E33" s="1175" t="s">
        <v>2029</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4838</v>
      </c>
      <c r="W33" s="1181" t="s">
        <v>4839</v>
      </c>
      <c r="X33" s="1181" t="s">
        <v>4840</v>
      </c>
      <c r="Y33" s="1181" t="s">
        <v>4841</v>
      </c>
      <c r="Z33" s="1182" t="s">
        <v>4842</v>
      </c>
    </row>
    <row r="34" spans="2:26" ht="12.75" customHeight="1" x14ac:dyDescent="0.2">
      <c r="B34" s="2252" t="str">
        <f t="shared" si="0"/>
        <v>Luz70</v>
      </c>
      <c r="C34" s="1183"/>
      <c r="D34" s="1184" t="s">
        <v>4843</v>
      </c>
      <c r="E34" s="1175" t="s">
        <v>2029</v>
      </c>
      <c r="F34" s="1175">
        <v>70</v>
      </c>
      <c r="G34" s="1176" t="s">
        <v>1693</v>
      </c>
      <c r="H34" s="1176" t="s">
        <v>4718</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4844</v>
      </c>
      <c r="W34" s="1181" t="s">
        <v>4845</v>
      </c>
      <c r="X34" s="1181" t="s">
        <v>4846</v>
      </c>
      <c r="Y34" s="1181" t="s">
        <v>4847</v>
      </c>
      <c r="Z34" s="1182" t="s">
        <v>4848</v>
      </c>
    </row>
    <row r="35" spans="2:26" ht="12.75" customHeight="1" x14ac:dyDescent="0.2">
      <c r="B35" s="2252" t="str">
        <f t="shared" si="0"/>
        <v>Luz72</v>
      </c>
      <c r="C35" s="1183"/>
      <c r="D35" s="1184" t="s">
        <v>4849</v>
      </c>
      <c r="E35" s="1175" t="s">
        <v>2029</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4850</v>
      </c>
      <c r="W35" s="1181" t="s">
        <v>4851</v>
      </c>
      <c r="X35" s="1181" t="s">
        <v>4852</v>
      </c>
      <c r="Y35" s="1181" t="s">
        <v>4853</v>
      </c>
      <c r="Z35" s="1182" t="s">
        <v>4854</v>
      </c>
    </row>
    <row r="36" spans="2:26" ht="12.75" customHeight="1" x14ac:dyDescent="0.2">
      <c r="B36" s="2252" t="str">
        <f t="shared" si="0"/>
        <v>Luz76</v>
      </c>
      <c r="C36" s="1183"/>
      <c r="D36" s="1184" t="s">
        <v>4855</v>
      </c>
      <c r="E36" s="1175" t="s">
        <v>2029</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4856</v>
      </c>
      <c r="W36" s="1181" t="s">
        <v>4857</v>
      </c>
      <c r="X36" s="1181" t="s">
        <v>4858</v>
      </c>
      <c r="Y36" s="1181" t="s">
        <v>4859</v>
      </c>
      <c r="Z36" s="1182" t="s">
        <v>4860</v>
      </c>
    </row>
    <row r="37" spans="2:26" ht="12.75" customHeight="1" x14ac:dyDescent="0.2">
      <c r="B37" s="2252" t="str">
        <f t="shared" si="0"/>
        <v>Luz78</v>
      </c>
      <c r="C37" s="1183"/>
      <c r="D37" s="1184" t="s">
        <v>4861</v>
      </c>
      <c r="E37" s="1175" t="s">
        <v>2029</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4862</v>
      </c>
      <c r="W37" s="1181" t="s">
        <v>4863</v>
      </c>
      <c r="X37" s="1181" t="s">
        <v>4864</v>
      </c>
      <c r="Y37" s="1181" t="s">
        <v>4865</v>
      </c>
      <c r="Z37" s="1182" t="s">
        <v>4866</v>
      </c>
    </row>
    <row r="38" spans="2:26" ht="12.75" customHeight="1" x14ac:dyDescent="0.2">
      <c r="B38" s="2252" t="str">
        <f t="shared" si="0"/>
        <v>Luz80</v>
      </c>
      <c r="C38" s="1183"/>
      <c r="D38" s="1184" t="s">
        <v>9128</v>
      </c>
      <c r="E38" s="1175" t="s">
        <v>2029</v>
      </c>
      <c r="F38" s="1175">
        <v>80</v>
      </c>
      <c r="G38" s="1176" t="s">
        <v>2549</v>
      </c>
      <c r="H38" s="1176" t="s">
        <v>4867</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4833</v>
      </c>
      <c r="W38" s="1181" t="s">
        <v>4868</v>
      </c>
      <c r="X38" s="1181" t="s">
        <v>4869</v>
      </c>
      <c r="Y38" s="1181" t="s">
        <v>4870</v>
      </c>
      <c r="Z38" s="1182" t="s">
        <v>9129</v>
      </c>
    </row>
    <row r="39" spans="2:26" ht="12.75" customHeight="1" x14ac:dyDescent="0.2">
      <c r="B39" s="2252" t="str">
        <f t="shared" si="0"/>
        <v>Luz82</v>
      </c>
      <c r="C39" s="1183"/>
      <c r="D39" s="1184" t="s">
        <v>4871</v>
      </c>
      <c r="E39" s="1175" t="s">
        <v>2029</v>
      </c>
      <c r="F39" s="1175">
        <v>82</v>
      </c>
      <c r="G39" s="1176" t="s">
        <v>2549</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4872</v>
      </c>
      <c r="W39" s="1181" t="s">
        <v>4873</v>
      </c>
      <c r="X39" s="1181" t="s">
        <v>4874</v>
      </c>
      <c r="Y39" s="1181" t="s">
        <v>4875</v>
      </c>
      <c r="Z39" s="1182" t="s">
        <v>4876</v>
      </c>
    </row>
    <row r="40" spans="2:26" ht="12.75" customHeight="1" x14ac:dyDescent="0.2">
      <c r="B40" s="2252" t="str">
        <f t="shared" si="0"/>
        <v>Luz86</v>
      </c>
      <c r="C40" s="1183"/>
      <c r="D40" s="1184" t="s">
        <v>4877</v>
      </c>
      <c r="E40" s="1175" t="s">
        <v>2029</v>
      </c>
      <c r="F40" s="1175">
        <v>86</v>
      </c>
      <c r="G40" s="1176" t="s">
        <v>2549</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4878</v>
      </c>
      <c r="W40" s="1181" t="s">
        <v>4879</v>
      </c>
      <c r="X40" s="1181" t="s">
        <v>4880</v>
      </c>
      <c r="Y40" s="1181" t="s">
        <v>4881</v>
      </c>
      <c r="Z40" s="1182" t="s">
        <v>4882</v>
      </c>
    </row>
    <row r="41" spans="2:26" ht="12.75" customHeight="1" x14ac:dyDescent="0.2">
      <c r="B41" s="2252" t="str">
        <f t="shared" si="0"/>
        <v>Luz88</v>
      </c>
      <c r="C41" s="1183"/>
      <c r="D41" s="1184" t="s">
        <v>4883</v>
      </c>
      <c r="E41" s="1175" t="s">
        <v>2029</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4884</v>
      </c>
      <c r="W41" s="1181" t="s">
        <v>4885</v>
      </c>
      <c r="X41" s="1181" t="s">
        <v>4886</v>
      </c>
      <c r="Y41" s="1181" t="s">
        <v>4887</v>
      </c>
      <c r="Z41" s="1182" t="s">
        <v>4888</v>
      </c>
    </row>
    <row r="42" spans="2:26" ht="12.75" customHeight="1" x14ac:dyDescent="0.2">
      <c r="B42" s="2252" t="str">
        <f t="shared" si="0"/>
        <v>Luz90</v>
      </c>
      <c r="C42" s="1183"/>
      <c r="D42" s="1184" t="s">
        <v>289</v>
      </c>
      <c r="E42" s="1175" t="s">
        <v>2029</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4889</v>
      </c>
      <c r="W42" s="1181" t="s">
        <v>4890</v>
      </c>
      <c r="X42" s="1181" t="s">
        <v>4891</v>
      </c>
      <c r="Y42" s="1181" t="s">
        <v>4892</v>
      </c>
      <c r="Z42" s="1182" t="s">
        <v>4893</v>
      </c>
    </row>
    <row r="43" spans="2:26" ht="12.75" customHeight="1" x14ac:dyDescent="0.2">
      <c r="B43" s="2252" t="str">
        <f t="shared" si="0"/>
        <v>Luz92</v>
      </c>
      <c r="C43" s="1183"/>
      <c r="D43" s="1184" t="s">
        <v>4894</v>
      </c>
      <c r="E43" s="1175" t="s">
        <v>2029</v>
      </c>
      <c r="F43" s="1175">
        <v>92</v>
      </c>
      <c r="G43" s="1176" t="s">
        <v>2549</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4895</v>
      </c>
      <c r="W43" s="1181" t="s">
        <v>4896</v>
      </c>
      <c r="X43" s="1181" t="s">
        <v>4897</v>
      </c>
      <c r="Y43" s="1181" t="s">
        <v>4898</v>
      </c>
      <c r="Z43" s="1182" t="s">
        <v>4899</v>
      </c>
    </row>
    <row r="44" spans="2:26" ht="12.75" customHeight="1" x14ac:dyDescent="0.2">
      <c r="B44" s="2252" t="str">
        <f t="shared" si="0"/>
        <v>Luz96</v>
      </c>
      <c r="C44" s="1183"/>
      <c r="D44" s="1184" t="s">
        <v>4900</v>
      </c>
      <c r="E44" s="1175" t="s">
        <v>2029</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4901</v>
      </c>
      <c r="W44" s="1181" t="s">
        <v>4902</v>
      </c>
      <c r="X44" s="1181" t="s">
        <v>4903</v>
      </c>
      <c r="Y44" s="1181" t="s">
        <v>4889</v>
      </c>
      <c r="Z44" s="1186" t="s">
        <v>4904</v>
      </c>
    </row>
    <row r="45" spans="2:26" ht="12.75" customHeight="1" x14ac:dyDescent="0.2">
      <c r="B45" s="2252" t="str">
        <f t="shared" si="0"/>
        <v>Luz98</v>
      </c>
      <c r="C45" s="1183"/>
      <c r="D45" s="1184" t="s">
        <v>292</v>
      </c>
      <c r="E45" s="1175" t="s">
        <v>2029</v>
      </c>
      <c r="F45" s="1175">
        <v>98</v>
      </c>
      <c r="G45" s="1176" t="s">
        <v>2549</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4905</v>
      </c>
      <c r="W45" s="1181" t="s">
        <v>4906</v>
      </c>
      <c r="X45" s="1181" t="s">
        <v>4907</v>
      </c>
      <c r="Y45" s="1181" t="s">
        <v>4908</v>
      </c>
      <c r="Z45" s="1182" t="s">
        <v>4909</v>
      </c>
    </row>
    <row r="46" spans="2:26" ht="12.75" customHeight="1" x14ac:dyDescent="0.2">
      <c r="B46" s="2252" t="str">
        <f t="shared" si="0"/>
        <v>Luz100</v>
      </c>
      <c r="C46" s="1183"/>
      <c r="D46" s="1184" t="s">
        <v>4910</v>
      </c>
      <c r="E46" s="1175" t="s">
        <v>2029</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4911</v>
      </c>
      <c r="W46" s="1181" t="s">
        <v>4912</v>
      </c>
      <c r="X46" s="1181" t="s">
        <v>4913</v>
      </c>
      <c r="Y46" s="1181" t="s">
        <v>4914</v>
      </c>
      <c r="Z46" s="1182" t="s">
        <v>4915</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4916</v>
      </c>
      <c r="E48" s="1175" t="s">
        <v>2030</v>
      </c>
      <c r="F48" s="1175">
        <v>2</v>
      </c>
      <c r="G48" s="1176" t="s">
        <v>2549</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4917</v>
      </c>
      <c r="W48" s="1181" t="s">
        <v>4918</v>
      </c>
      <c r="X48" s="1181" t="s">
        <v>4919</v>
      </c>
      <c r="Y48" s="1181" t="s">
        <v>4920</v>
      </c>
      <c r="Z48" s="1182" t="s">
        <v>4921</v>
      </c>
    </row>
    <row r="49" spans="2:26" ht="12.75" customHeight="1" x14ac:dyDescent="0.2">
      <c r="B49" s="2252" t="str">
        <f t="shared" si="0"/>
        <v>Oscuridad6</v>
      </c>
      <c r="C49" s="1183"/>
      <c r="D49" s="1184" t="s">
        <v>4922</v>
      </c>
      <c r="E49" s="1175" t="s">
        <v>2030</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4923</v>
      </c>
      <c r="W49" s="1181" t="s">
        <v>4924</v>
      </c>
      <c r="X49" s="1181" t="s">
        <v>4925</v>
      </c>
      <c r="Y49" s="1181" t="s">
        <v>4926</v>
      </c>
      <c r="Z49" s="1182" t="s">
        <v>4927</v>
      </c>
    </row>
    <row r="50" spans="2:26" ht="12.75" customHeight="1" x14ac:dyDescent="0.2">
      <c r="B50" s="2252" t="str">
        <f t="shared" si="0"/>
        <v>Oscuridad8</v>
      </c>
      <c r="C50" s="1183"/>
      <c r="D50" s="1184" t="s">
        <v>4928</v>
      </c>
      <c r="E50" s="1175" t="s">
        <v>2030</v>
      </c>
      <c r="F50" s="1175">
        <v>8</v>
      </c>
      <c r="G50" s="1176" t="s">
        <v>2549</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4929</v>
      </c>
      <c r="W50" s="1181" t="s">
        <v>4930</v>
      </c>
      <c r="X50" s="1181" t="s">
        <v>4931</v>
      </c>
      <c r="Y50" s="1181" t="s">
        <v>4932</v>
      </c>
      <c r="Z50" s="1182" t="s">
        <v>4933</v>
      </c>
    </row>
    <row r="51" spans="2:26" ht="12.75" customHeight="1" x14ac:dyDescent="0.2">
      <c r="B51" s="2252" t="str">
        <f t="shared" si="0"/>
        <v>Oscuridad10</v>
      </c>
      <c r="C51" s="1183"/>
      <c r="D51" s="1184" t="s">
        <v>4934</v>
      </c>
      <c r="E51" s="1175" t="s">
        <v>2030</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4724</v>
      </c>
      <c r="W51" s="1181" t="s">
        <v>4725</v>
      </c>
      <c r="X51" s="1181" t="s">
        <v>4726</v>
      </c>
      <c r="Y51" s="1181" t="s">
        <v>4727</v>
      </c>
      <c r="Z51" s="1182" t="s">
        <v>4935</v>
      </c>
    </row>
    <row r="52" spans="2:26" ht="12.75" customHeight="1" x14ac:dyDescent="0.2">
      <c r="B52" s="2252" t="str">
        <f t="shared" si="0"/>
        <v>Oscuridad12</v>
      </c>
      <c r="C52" s="1183"/>
      <c r="D52" s="1184" t="s">
        <v>299</v>
      </c>
      <c r="E52" s="1175" t="s">
        <v>2030</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4936</v>
      </c>
      <c r="W52" s="1181" t="s">
        <v>4937</v>
      </c>
      <c r="X52" s="1181" t="s">
        <v>4938</v>
      </c>
      <c r="Y52" s="1181" t="s">
        <v>4939</v>
      </c>
      <c r="Z52" s="1182" t="s">
        <v>4940</v>
      </c>
    </row>
    <row r="53" spans="2:26" ht="12.75" customHeight="1" x14ac:dyDescent="0.2">
      <c r="B53" s="2252" t="str">
        <f t="shared" si="0"/>
        <v>Oscuridad16</v>
      </c>
      <c r="C53" s="1183"/>
      <c r="D53" s="1184" t="s">
        <v>4941</v>
      </c>
      <c r="E53" s="1175" t="s">
        <v>2030</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4734</v>
      </c>
      <c r="W53" s="1181" t="s">
        <v>4735</v>
      </c>
      <c r="X53" s="1181" t="s">
        <v>4942</v>
      </c>
      <c r="Y53" s="1181" t="s">
        <v>4943</v>
      </c>
      <c r="Z53" s="1182" t="s">
        <v>4944</v>
      </c>
    </row>
    <row r="54" spans="2:26" ht="12.75" customHeight="1" x14ac:dyDescent="0.2">
      <c r="B54" s="2252" t="str">
        <f t="shared" si="0"/>
        <v>Oscuridad18</v>
      </c>
      <c r="C54" s="1183"/>
      <c r="D54" s="1184" t="s">
        <v>4945</v>
      </c>
      <c r="E54" s="1175" t="s">
        <v>2030</v>
      </c>
      <c r="F54" s="1175">
        <v>18</v>
      </c>
      <c r="G54" s="1176" t="s">
        <v>1693</v>
      </c>
      <c r="H54" s="1176" t="s">
        <v>4946</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4739</v>
      </c>
      <c r="W54" s="1181" t="s">
        <v>4947</v>
      </c>
      <c r="X54" s="1181" t="s">
        <v>4948</v>
      </c>
      <c r="Y54" s="1181" t="s">
        <v>4742</v>
      </c>
      <c r="Z54" s="1182" t="s">
        <v>4949</v>
      </c>
    </row>
    <row r="55" spans="2:26" ht="12.75" customHeight="1" x14ac:dyDescent="0.2">
      <c r="B55" s="2252" t="str">
        <f t="shared" si="0"/>
        <v>Oscuridad20</v>
      </c>
      <c r="C55" s="1183"/>
      <c r="D55" s="1184" t="s">
        <v>4950</v>
      </c>
      <c r="E55" s="1175" t="s">
        <v>2030</v>
      </c>
      <c r="F55" s="1175">
        <v>20</v>
      </c>
      <c r="G55" s="1176" t="s">
        <v>2549</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4951</v>
      </c>
      <c r="W55" s="1181" t="s">
        <v>4952</v>
      </c>
      <c r="X55" s="1181" t="s">
        <v>4953</v>
      </c>
      <c r="Y55" s="1181" t="s">
        <v>4954</v>
      </c>
      <c r="Z55" s="1182" t="s">
        <v>4955</v>
      </c>
    </row>
    <row r="56" spans="2:26" ht="12.75" customHeight="1" x14ac:dyDescent="0.2">
      <c r="B56" s="2252" t="str">
        <f t="shared" si="0"/>
        <v>Oscuridad22</v>
      </c>
      <c r="C56" s="1183"/>
      <c r="D56" s="1184" t="s">
        <v>4956</v>
      </c>
      <c r="E56" s="1175" t="s">
        <v>2030</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4749</v>
      </c>
      <c r="W56" s="1181" t="s">
        <v>4750</v>
      </c>
      <c r="X56" s="1181" t="s">
        <v>4957</v>
      </c>
      <c r="Y56" s="1181" t="s">
        <v>4958</v>
      </c>
      <c r="Z56" s="1182" t="s">
        <v>4959</v>
      </c>
    </row>
    <row r="57" spans="2:26" ht="12.75" customHeight="1" x14ac:dyDescent="0.2">
      <c r="B57" s="2252" t="str">
        <f t="shared" si="0"/>
        <v>Oscuridad26</v>
      </c>
      <c r="C57" s="1183"/>
      <c r="D57" s="1184" t="s">
        <v>4960</v>
      </c>
      <c r="E57" s="1175" t="s">
        <v>2030</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4961</v>
      </c>
      <c r="W57" s="1181" t="s">
        <v>4962</v>
      </c>
      <c r="X57" s="1181" t="s">
        <v>4963</v>
      </c>
      <c r="Y57" s="1181" t="s">
        <v>4964</v>
      </c>
      <c r="Z57" s="1182" t="s">
        <v>4965</v>
      </c>
    </row>
    <row r="58" spans="2:26" ht="12.75" customHeight="1" x14ac:dyDescent="0.2">
      <c r="B58" s="2252" t="str">
        <f t="shared" si="0"/>
        <v>Oscuridad28</v>
      </c>
      <c r="C58" s="1183"/>
      <c r="D58" s="1184" t="s">
        <v>4966</v>
      </c>
      <c r="E58" s="1175" t="s">
        <v>2030</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4759</v>
      </c>
      <c r="W58" s="1181" t="s">
        <v>4760</v>
      </c>
      <c r="X58" s="1181" t="s">
        <v>4761</v>
      </c>
      <c r="Y58" s="1181" t="s">
        <v>4762</v>
      </c>
      <c r="Z58" s="1182" t="s">
        <v>4967</v>
      </c>
    </row>
    <row r="59" spans="2:26" ht="12.75" customHeight="1" x14ac:dyDescent="0.2">
      <c r="B59" s="2252" t="str">
        <f t="shared" si="0"/>
        <v>Oscuridad30</v>
      </c>
      <c r="C59" s="1183"/>
      <c r="D59" s="1184" t="s">
        <v>4968</v>
      </c>
      <c r="E59" s="1175" t="s">
        <v>2030</v>
      </c>
      <c r="F59" s="1175">
        <v>30</v>
      </c>
      <c r="G59" s="1176" t="s">
        <v>1693</v>
      </c>
      <c r="H59" s="1176" t="s">
        <v>4946</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4764</v>
      </c>
      <c r="W59" s="1181" t="s">
        <v>4765</v>
      </c>
      <c r="X59" s="1181" t="s">
        <v>4969</v>
      </c>
      <c r="Y59" s="1181" t="s">
        <v>4767</v>
      </c>
      <c r="Z59" s="1182" t="s">
        <v>4970</v>
      </c>
    </row>
    <row r="60" spans="2:26" ht="12.75" customHeight="1" x14ac:dyDescent="0.2">
      <c r="B60" s="2252" t="str">
        <f t="shared" si="0"/>
        <v>Oscuridad32</v>
      </c>
      <c r="C60" s="1183"/>
      <c r="D60" s="1184" t="s">
        <v>307</v>
      </c>
      <c r="E60" s="1175" t="s">
        <v>2030</v>
      </c>
      <c r="F60" s="1175">
        <v>32</v>
      </c>
      <c r="G60" s="1176" t="s">
        <v>2549</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4971</v>
      </c>
      <c r="W60" s="1181" t="s">
        <v>4972</v>
      </c>
      <c r="X60" s="1181" t="s">
        <v>4973</v>
      </c>
      <c r="Y60" s="1181" t="s">
        <v>4974</v>
      </c>
      <c r="Z60" s="1182" t="s">
        <v>4975</v>
      </c>
    </row>
    <row r="61" spans="2:26" ht="12.75" customHeight="1" x14ac:dyDescent="0.2">
      <c r="B61" s="2252" t="str">
        <f t="shared" si="0"/>
        <v>Oscuridad36</v>
      </c>
      <c r="C61" s="1183"/>
      <c r="D61" s="1184" t="s">
        <v>308</v>
      </c>
      <c r="E61" s="1175" t="s">
        <v>2030</v>
      </c>
      <c r="F61" s="1175">
        <v>36</v>
      </c>
      <c r="G61" s="1176" t="s">
        <v>2549</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4976</v>
      </c>
      <c r="W61" s="1181" t="s">
        <v>4977</v>
      </c>
      <c r="X61" s="1181" t="s">
        <v>4978</v>
      </c>
      <c r="Y61" s="1181" t="s">
        <v>4979</v>
      </c>
      <c r="Z61" s="1182" t="s">
        <v>4980</v>
      </c>
    </row>
    <row r="62" spans="2:26" ht="12.75" customHeight="1" x14ac:dyDescent="0.2">
      <c r="B62" s="2252" t="str">
        <f t="shared" si="0"/>
        <v>Oscuridad38</v>
      </c>
      <c r="C62" s="1183"/>
      <c r="D62" s="1184" t="s">
        <v>309</v>
      </c>
      <c r="E62" s="1175" t="s">
        <v>2030</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4981</v>
      </c>
      <c r="W62" s="1181" t="s">
        <v>4982</v>
      </c>
      <c r="X62" s="1181" t="s">
        <v>4983</v>
      </c>
      <c r="Y62" s="1181" t="s">
        <v>4984</v>
      </c>
      <c r="Z62" s="1182" t="s">
        <v>4985</v>
      </c>
    </row>
    <row r="63" spans="2:26" ht="12.75" customHeight="1" x14ac:dyDescent="0.2">
      <c r="B63" s="2252" t="str">
        <f t="shared" si="0"/>
        <v>Oscuridad40</v>
      </c>
      <c r="C63" s="1183"/>
      <c r="D63" s="1184" t="s">
        <v>4986</v>
      </c>
      <c r="E63" s="1175" t="s">
        <v>2030</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4785</v>
      </c>
      <c r="W63" s="1181" t="s">
        <v>4786</v>
      </c>
      <c r="X63" s="1181" t="s">
        <v>4787</v>
      </c>
      <c r="Y63" s="1181" t="s">
        <v>4788</v>
      </c>
      <c r="Z63" s="1182" t="s">
        <v>4987</v>
      </c>
    </row>
    <row r="64" spans="2:26" ht="12.75" customHeight="1" x14ac:dyDescent="0.2">
      <c r="B64" s="2252" t="str">
        <f t="shared" si="0"/>
        <v>Oscuridad42</v>
      </c>
      <c r="C64" s="1183"/>
      <c r="D64" s="1184" t="s">
        <v>311</v>
      </c>
      <c r="E64" s="1175" t="s">
        <v>2030</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4988</v>
      </c>
      <c r="W64" s="1181" t="s">
        <v>4989</v>
      </c>
      <c r="X64" s="1181" t="s">
        <v>4990</v>
      </c>
      <c r="Y64" s="1181" t="s">
        <v>4991</v>
      </c>
      <c r="Z64" s="1182" t="s">
        <v>4992</v>
      </c>
    </row>
    <row r="65" spans="2:26" ht="12.75" customHeight="1" x14ac:dyDescent="0.2">
      <c r="B65" s="2252" t="str">
        <f t="shared" si="0"/>
        <v>Oscuridad46</v>
      </c>
      <c r="C65" s="1183"/>
      <c r="D65" s="1184" t="s">
        <v>4993</v>
      </c>
      <c r="E65" s="1175" t="s">
        <v>2030</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4994</v>
      </c>
      <c r="W65" s="1181" t="s">
        <v>4796</v>
      </c>
      <c r="X65" s="1181" t="s">
        <v>4797</v>
      </c>
      <c r="Y65" s="1181" t="s">
        <v>4798</v>
      </c>
      <c r="Z65" s="1182" t="s">
        <v>4995</v>
      </c>
    </row>
    <row r="66" spans="2:26" ht="12.75" customHeight="1" x14ac:dyDescent="0.2">
      <c r="B66" s="2252" t="str">
        <f t="shared" si="0"/>
        <v>Oscuridad48</v>
      </c>
      <c r="C66" s="1183"/>
      <c r="D66" s="1184" t="s">
        <v>4996</v>
      </c>
      <c r="E66" s="1175" t="s">
        <v>2030</v>
      </c>
      <c r="F66" s="1175">
        <v>48</v>
      </c>
      <c r="G66" s="1176" t="s">
        <v>2549</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4997</v>
      </c>
      <c r="W66" s="1181" t="s">
        <v>4998</v>
      </c>
      <c r="X66" s="1181" t="s">
        <v>4999</v>
      </c>
      <c r="Y66" s="1181" t="s">
        <v>5000</v>
      </c>
      <c r="Z66" s="1182" t="s">
        <v>5001</v>
      </c>
    </row>
    <row r="67" spans="2:26" ht="12.75" customHeight="1" x14ac:dyDescent="0.2">
      <c r="B67" s="2252" t="str">
        <f t="shared" si="0"/>
        <v>Oscuridad50</v>
      </c>
      <c r="C67" s="1183"/>
      <c r="D67" s="1184" t="s">
        <v>5002</v>
      </c>
      <c r="E67" s="1175" t="s">
        <v>2030</v>
      </c>
      <c r="F67" s="1175">
        <v>50</v>
      </c>
      <c r="G67" s="1176" t="s">
        <v>2549</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4805</v>
      </c>
      <c r="W67" s="1181" t="s">
        <v>4806</v>
      </c>
      <c r="X67" s="1181" t="s">
        <v>4807</v>
      </c>
      <c r="Y67" s="1181" t="s">
        <v>4808</v>
      </c>
      <c r="Z67" s="1182" t="s">
        <v>9130</v>
      </c>
    </row>
    <row r="68" spans="2:26" ht="12.75" customHeight="1" x14ac:dyDescent="0.2">
      <c r="B68" s="2252" t="str">
        <f t="shared" si="0"/>
        <v>Oscuridad52</v>
      </c>
      <c r="C68" s="1183"/>
      <c r="D68" s="1184" t="s">
        <v>5003</v>
      </c>
      <c r="E68" s="1175" t="s">
        <v>2030</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4809</v>
      </c>
      <c r="W68" s="1181" t="s">
        <v>4810</v>
      </c>
      <c r="X68" s="1181" t="s">
        <v>5004</v>
      </c>
      <c r="Y68" s="1181" t="s">
        <v>5005</v>
      </c>
      <c r="Z68" s="1182" t="s">
        <v>5006</v>
      </c>
    </row>
    <row r="69" spans="2:26" ht="12.75" customHeight="1" x14ac:dyDescent="0.2">
      <c r="B69" s="2252" t="str">
        <f t="shared" si="0"/>
        <v>Oscuridad56</v>
      </c>
      <c r="C69" s="1183"/>
      <c r="D69" s="1184" t="s">
        <v>316</v>
      </c>
      <c r="E69" s="1175" t="s">
        <v>2030</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5007</v>
      </c>
      <c r="W69" s="1181" t="s">
        <v>5008</v>
      </c>
      <c r="X69" s="1181" t="s">
        <v>5009</v>
      </c>
      <c r="Y69" s="1181" t="s">
        <v>5010</v>
      </c>
      <c r="Z69" s="1182" t="s">
        <v>5011</v>
      </c>
    </row>
    <row r="70" spans="2:26" ht="12.75" customHeight="1" x14ac:dyDescent="0.2">
      <c r="B70" s="2252" t="str">
        <f t="shared" si="0"/>
        <v>Oscuridad58</v>
      </c>
      <c r="C70" s="1183"/>
      <c r="D70" s="1184" t="s">
        <v>5012</v>
      </c>
      <c r="E70" s="1175" t="s">
        <v>2030</v>
      </c>
      <c r="F70" s="1175">
        <v>58</v>
      </c>
      <c r="G70" s="1176" t="s">
        <v>2549</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5013</v>
      </c>
      <c r="W70" s="1181" t="s">
        <v>4821</v>
      </c>
      <c r="X70" s="1181" t="s">
        <v>5014</v>
      </c>
      <c r="Y70" s="1181" t="s">
        <v>4823</v>
      </c>
      <c r="Z70" s="1182" t="s">
        <v>5015</v>
      </c>
    </row>
    <row r="71" spans="2:26" ht="12.75" customHeight="1" x14ac:dyDescent="0.2">
      <c r="B71" s="2252" t="str">
        <f t="shared" si="0"/>
        <v>Oscuridad60</v>
      </c>
      <c r="C71" s="1183"/>
      <c r="D71" s="1184" t="s">
        <v>5016</v>
      </c>
      <c r="E71" s="1175" t="s">
        <v>2030</v>
      </c>
      <c r="F71" s="1175">
        <v>60</v>
      </c>
      <c r="G71" s="1176" t="s">
        <v>2549</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5017</v>
      </c>
      <c r="W71" s="1181" t="s">
        <v>5018</v>
      </c>
      <c r="X71" s="1181" t="s">
        <v>5019</v>
      </c>
      <c r="Y71" s="1181" t="s">
        <v>5020</v>
      </c>
      <c r="Z71" s="1182" t="s">
        <v>5021</v>
      </c>
    </row>
    <row r="72" spans="2:26" ht="12.75" customHeight="1" x14ac:dyDescent="0.2">
      <c r="B72" s="2252" t="str">
        <f t="shared" ref="B72:B135" si="1">E72&amp;F72</f>
        <v>Oscuridad62</v>
      </c>
      <c r="C72" s="1183"/>
      <c r="D72" s="1184" t="s">
        <v>5022</v>
      </c>
      <c r="E72" s="1175" t="s">
        <v>2030</v>
      </c>
      <c r="F72" s="1175">
        <v>62</v>
      </c>
      <c r="G72" s="1176" t="s">
        <v>2549</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4828</v>
      </c>
      <c r="W72" s="1181" t="s">
        <v>4829</v>
      </c>
      <c r="X72" s="1181" t="s">
        <v>4830</v>
      </c>
      <c r="Y72" s="1181" t="s">
        <v>4831</v>
      </c>
      <c r="Z72" s="1182" t="s">
        <v>5023</v>
      </c>
    </row>
    <row r="73" spans="2:26" ht="12.75" customHeight="1" x14ac:dyDescent="0.2">
      <c r="B73" s="2252" t="str">
        <f t="shared" si="1"/>
        <v>Oscuridad66</v>
      </c>
      <c r="C73" s="1183"/>
      <c r="D73" s="1184" t="s">
        <v>5024</v>
      </c>
      <c r="E73" s="1175" t="s">
        <v>2030</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5025</v>
      </c>
      <c r="W73" s="1181" t="s">
        <v>5026</v>
      </c>
      <c r="X73" s="1181" t="s">
        <v>5027</v>
      </c>
      <c r="Y73" s="1181" t="s">
        <v>5028</v>
      </c>
      <c r="Z73" s="1182" t="s">
        <v>5029</v>
      </c>
    </row>
    <row r="74" spans="2:26" ht="12.75" customHeight="1" x14ac:dyDescent="0.2">
      <c r="B74" s="2252" t="str">
        <f t="shared" si="1"/>
        <v>Oscuridad68</v>
      </c>
      <c r="C74" s="1183"/>
      <c r="D74" s="1184" t="s">
        <v>321</v>
      </c>
      <c r="E74" s="1175" t="s">
        <v>2030</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5030</v>
      </c>
      <c r="W74" s="1181" t="s">
        <v>5031</v>
      </c>
      <c r="X74" s="1181" t="s">
        <v>5032</v>
      </c>
      <c r="Y74" s="1181" t="s">
        <v>5033</v>
      </c>
      <c r="Z74" s="1182" t="s">
        <v>5034</v>
      </c>
    </row>
    <row r="75" spans="2:26" ht="12.75" customHeight="1" x14ac:dyDescent="0.2">
      <c r="B75" s="2252" t="str">
        <f t="shared" si="1"/>
        <v>Oscuridad70</v>
      </c>
      <c r="C75" s="1183"/>
      <c r="D75" s="1184" t="s">
        <v>5035</v>
      </c>
      <c r="E75" s="1175" t="s">
        <v>2030</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4844</v>
      </c>
      <c r="W75" s="1181" t="s">
        <v>4845</v>
      </c>
      <c r="X75" s="1181" t="s">
        <v>5036</v>
      </c>
      <c r="Y75" s="1181" t="s">
        <v>4847</v>
      </c>
      <c r="Z75" s="1182" t="s">
        <v>5037</v>
      </c>
    </row>
    <row r="76" spans="2:26" ht="12.75" customHeight="1" x14ac:dyDescent="0.2">
      <c r="B76" s="2252" t="str">
        <f t="shared" si="1"/>
        <v>Oscuridad72</v>
      </c>
      <c r="C76" s="1183"/>
      <c r="D76" s="1184" t="s">
        <v>5038</v>
      </c>
      <c r="E76" s="1175" t="s">
        <v>2030</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4850</v>
      </c>
      <c r="W76" s="1181" t="s">
        <v>4851</v>
      </c>
      <c r="X76" s="1181" t="s">
        <v>4852</v>
      </c>
      <c r="Y76" s="1181" t="s">
        <v>5039</v>
      </c>
      <c r="Z76" s="1182" t="s">
        <v>5040</v>
      </c>
    </row>
    <row r="77" spans="2:26" ht="12.75" customHeight="1" x14ac:dyDescent="0.2">
      <c r="B77" s="2252" t="str">
        <f t="shared" si="1"/>
        <v>Oscuridad76</v>
      </c>
      <c r="C77" s="1183"/>
      <c r="D77" s="1184" t="s">
        <v>5041</v>
      </c>
      <c r="E77" s="1175" t="s">
        <v>2030</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5042</v>
      </c>
      <c r="W77" s="1181" t="s">
        <v>4857</v>
      </c>
      <c r="X77" s="1181" t="s">
        <v>4858</v>
      </c>
      <c r="Y77" s="1181" t="s">
        <v>4859</v>
      </c>
      <c r="Z77" s="1182" t="s">
        <v>5043</v>
      </c>
    </row>
    <row r="78" spans="2:26" ht="12.75" customHeight="1" x14ac:dyDescent="0.2">
      <c r="B78" s="2252" t="str">
        <f t="shared" si="1"/>
        <v>Oscuridad78</v>
      </c>
      <c r="C78" s="1183"/>
      <c r="D78" s="1184" t="s">
        <v>5044</v>
      </c>
      <c r="E78" s="1175" t="s">
        <v>2030</v>
      </c>
      <c r="F78" s="1175">
        <v>78</v>
      </c>
      <c r="G78" s="1176" t="s">
        <v>1693</v>
      </c>
      <c r="H78" s="1176" t="s">
        <v>4946</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4862</v>
      </c>
      <c r="W78" s="1181" t="s">
        <v>4863</v>
      </c>
      <c r="X78" s="1181" t="s">
        <v>4864</v>
      </c>
      <c r="Y78" s="1181" t="s">
        <v>4865</v>
      </c>
      <c r="Z78" s="1182" t="s">
        <v>5045</v>
      </c>
    </row>
    <row r="79" spans="2:26" ht="12.75" customHeight="1" x14ac:dyDescent="0.2">
      <c r="B79" s="2252" t="str">
        <f t="shared" si="1"/>
        <v>Oscuridad80</v>
      </c>
      <c r="C79" s="1183"/>
      <c r="D79" s="1184" t="s">
        <v>5046</v>
      </c>
      <c r="E79" s="1175" t="s">
        <v>2030</v>
      </c>
      <c r="F79" s="1175">
        <v>80</v>
      </c>
      <c r="G79" s="1176" t="s">
        <v>2549</v>
      </c>
      <c r="H79" s="1176" t="s">
        <v>4946</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4833</v>
      </c>
      <c r="W79" s="1181" t="s">
        <v>5047</v>
      </c>
      <c r="X79" s="1181" t="s">
        <v>5048</v>
      </c>
      <c r="Y79" s="1181" t="s">
        <v>4870</v>
      </c>
      <c r="Z79" s="1182" t="s">
        <v>9131</v>
      </c>
    </row>
    <row r="80" spans="2:26" ht="12.75" customHeight="1" x14ac:dyDescent="0.2">
      <c r="B80" s="2252" t="str">
        <f t="shared" si="1"/>
        <v>Oscuridad82</v>
      </c>
      <c r="C80" s="1183"/>
      <c r="D80" s="1184" t="s">
        <v>5049</v>
      </c>
      <c r="E80" s="1175" t="s">
        <v>2030</v>
      </c>
      <c r="F80" s="1175">
        <v>82</v>
      </c>
      <c r="G80" s="1176" t="s">
        <v>2549</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4872</v>
      </c>
      <c r="W80" s="1181" t="s">
        <v>5050</v>
      </c>
      <c r="X80" s="1181" t="s">
        <v>4874</v>
      </c>
      <c r="Y80" s="1181" t="s">
        <v>4875</v>
      </c>
      <c r="Z80" s="1182" t="s">
        <v>5051</v>
      </c>
    </row>
    <row r="81" spans="2:26" ht="12.75" customHeight="1" x14ac:dyDescent="0.2">
      <c r="B81" s="2252" t="str">
        <f t="shared" si="1"/>
        <v>Oscuridad86</v>
      </c>
      <c r="C81" s="1183"/>
      <c r="D81" s="1184" t="s">
        <v>5052</v>
      </c>
      <c r="E81" s="1175" t="s">
        <v>2030</v>
      </c>
      <c r="F81" s="1175">
        <v>86</v>
      </c>
      <c r="G81" s="1176" t="s">
        <v>2549</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5053</v>
      </c>
      <c r="W81" s="1181" t="s">
        <v>5054</v>
      </c>
      <c r="X81" s="1181" t="s">
        <v>5055</v>
      </c>
      <c r="Y81" s="1181" t="s">
        <v>5056</v>
      </c>
      <c r="Z81" s="1182" t="s">
        <v>5057</v>
      </c>
    </row>
    <row r="82" spans="2:26" ht="12.75" customHeight="1" x14ac:dyDescent="0.2">
      <c r="B82" s="2252" t="str">
        <f t="shared" si="1"/>
        <v>Oscuridad88</v>
      </c>
      <c r="C82" s="1183"/>
      <c r="D82" s="1184" t="s">
        <v>5058</v>
      </c>
      <c r="E82" s="1175" t="s">
        <v>2030</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5059</v>
      </c>
      <c r="W82" s="1181" t="s">
        <v>4920</v>
      </c>
      <c r="X82" s="1181" t="s">
        <v>5060</v>
      </c>
      <c r="Y82" s="1181" t="s">
        <v>5061</v>
      </c>
      <c r="Z82" s="1182" t="s">
        <v>5062</v>
      </c>
    </row>
    <row r="83" spans="2:26" ht="12.75" customHeight="1" x14ac:dyDescent="0.2">
      <c r="B83" s="2252" t="str">
        <f t="shared" si="1"/>
        <v>Oscuridad90</v>
      </c>
      <c r="C83" s="1183"/>
      <c r="D83" s="1184" t="s">
        <v>330</v>
      </c>
      <c r="E83" s="1175" t="s">
        <v>2030</v>
      </c>
      <c r="F83" s="1175">
        <v>90</v>
      </c>
      <c r="G83" s="1176" t="s">
        <v>2549</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5063</v>
      </c>
      <c r="W83" s="1181" t="s">
        <v>5064</v>
      </c>
      <c r="X83" s="1181" t="s">
        <v>5065</v>
      </c>
      <c r="Y83" s="1181" t="s">
        <v>5066</v>
      </c>
      <c r="Z83" s="1182" t="s">
        <v>5067</v>
      </c>
    </row>
    <row r="84" spans="2:26" ht="12.75" customHeight="1" x14ac:dyDescent="0.2">
      <c r="B84" s="2252" t="str">
        <f t="shared" si="1"/>
        <v>Oscuridad92</v>
      </c>
      <c r="C84" s="1183"/>
      <c r="D84" s="1184" t="s">
        <v>5068</v>
      </c>
      <c r="E84" s="1175" t="s">
        <v>2030</v>
      </c>
      <c r="F84" s="1175">
        <v>92</v>
      </c>
      <c r="G84" s="1176" t="s">
        <v>2549</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4895</v>
      </c>
      <c r="W84" s="1181" t="s">
        <v>4896</v>
      </c>
      <c r="X84" s="1181" t="s">
        <v>4897</v>
      </c>
      <c r="Y84" s="1181" t="s">
        <v>5069</v>
      </c>
      <c r="Z84" s="1182" t="s">
        <v>5070</v>
      </c>
    </row>
    <row r="85" spans="2:26" ht="12.75" customHeight="1" x14ac:dyDescent="0.2">
      <c r="B85" s="2252" t="str">
        <f t="shared" si="1"/>
        <v>Oscuridad96</v>
      </c>
      <c r="C85" s="1183"/>
      <c r="D85" s="1184" t="s">
        <v>5071</v>
      </c>
      <c r="E85" s="1175" t="s">
        <v>2030</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4901</v>
      </c>
      <c r="W85" s="1181" t="s">
        <v>4902</v>
      </c>
      <c r="X85" s="1181" t="s">
        <v>4903</v>
      </c>
      <c r="Y85" s="1181" t="s">
        <v>4889</v>
      </c>
      <c r="Z85" s="1182" t="s">
        <v>5072</v>
      </c>
    </row>
    <row r="86" spans="2:26" ht="12.75" customHeight="1" x14ac:dyDescent="0.2">
      <c r="B86" s="2252" t="str">
        <f t="shared" si="1"/>
        <v>Oscuridad98</v>
      </c>
      <c r="C86" s="1183"/>
      <c r="D86" s="1184" t="s">
        <v>5073</v>
      </c>
      <c r="E86" s="1175" t="s">
        <v>2030</v>
      </c>
      <c r="F86" s="1175">
        <v>98</v>
      </c>
      <c r="G86" s="1176" t="s">
        <v>2549</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4905</v>
      </c>
      <c r="W86" s="1181" t="s">
        <v>4906</v>
      </c>
      <c r="X86" s="1181" t="s">
        <v>4907</v>
      </c>
      <c r="Y86" s="1181" t="s">
        <v>4908</v>
      </c>
      <c r="Z86" s="1182" t="s">
        <v>4909</v>
      </c>
    </row>
    <row r="87" spans="2:26" ht="12.75" customHeight="1" x14ac:dyDescent="0.2">
      <c r="B87" s="2252" t="str">
        <f t="shared" si="1"/>
        <v>Oscuridad100</v>
      </c>
      <c r="C87" s="1183"/>
      <c r="D87" s="1184" t="s">
        <v>5074</v>
      </c>
      <c r="E87" s="1175" t="s">
        <v>2030</v>
      </c>
      <c r="F87" s="1175">
        <v>100</v>
      </c>
      <c r="G87" s="1176" t="s">
        <v>1693</v>
      </c>
      <c r="H87" s="1176" t="s">
        <v>5075</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4911</v>
      </c>
      <c r="W87" s="1181" t="s">
        <v>4912</v>
      </c>
      <c r="X87" s="1181" t="s">
        <v>4913</v>
      </c>
      <c r="Y87" s="1181" t="s">
        <v>4914</v>
      </c>
      <c r="Z87" s="1182" t="s">
        <v>5076</v>
      </c>
    </row>
    <row r="88" spans="2:26" ht="12.75" customHeight="1" x14ac:dyDescent="0.2">
      <c r="B88" s="2252" t="str">
        <f t="shared" si="1"/>
        <v/>
      </c>
      <c r="C88" s="1183"/>
      <c r="D88" s="1184" t="s">
        <v>9107</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5077</v>
      </c>
      <c r="E89" s="1175" t="s">
        <v>2036</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5078</v>
      </c>
      <c r="W89" s="1181" t="s">
        <v>5079</v>
      </c>
      <c r="X89" s="1181" t="s">
        <v>5080</v>
      </c>
      <c r="Y89" s="1181" t="s">
        <v>5081</v>
      </c>
      <c r="Z89" s="1182" t="s">
        <v>5082</v>
      </c>
    </row>
    <row r="90" spans="2:26" ht="12.75" customHeight="1" x14ac:dyDescent="0.2">
      <c r="B90" s="2252" t="str">
        <f t="shared" si="1"/>
        <v>Creación6</v>
      </c>
      <c r="C90" s="1183"/>
      <c r="D90" s="1184" t="s">
        <v>338</v>
      </c>
      <c r="E90" s="1175" t="s">
        <v>2036</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5083</v>
      </c>
      <c r="W90" s="1181" t="s">
        <v>5084</v>
      </c>
      <c r="X90" s="1181" t="s">
        <v>5085</v>
      </c>
      <c r="Y90" s="1181" t="s">
        <v>5086</v>
      </c>
      <c r="Z90" s="1182" t="s">
        <v>5087</v>
      </c>
    </row>
    <row r="91" spans="2:26" ht="12.75" customHeight="1" x14ac:dyDescent="0.2">
      <c r="B91" s="2252" t="str">
        <f t="shared" si="1"/>
        <v>Creación8</v>
      </c>
      <c r="C91" s="1183"/>
      <c r="D91" s="1184" t="s">
        <v>5088</v>
      </c>
      <c r="E91" s="1175" t="s">
        <v>2036</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5089</v>
      </c>
      <c r="W91" s="1181" t="s">
        <v>5090</v>
      </c>
      <c r="X91" s="1181" t="s">
        <v>5091</v>
      </c>
      <c r="Y91" s="1181" t="s">
        <v>5092</v>
      </c>
      <c r="Z91" s="1182" t="s">
        <v>5093</v>
      </c>
    </row>
    <row r="92" spans="2:26" ht="12.75" customHeight="1" x14ac:dyDescent="0.2">
      <c r="B92" s="2252" t="str">
        <f t="shared" si="1"/>
        <v>Creación10</v>
      </c>
      <c r="C92" s="1183"/>
      <c r="D92" s="1184" t="s">
        <v>340</v>
      </c>
      <c r="E92" s="1175" t="s">
        <v>2036</v>
      </c>
      <c r="F92" s="1175">
        <v>10</v>
      </c>
      <c r="G92" s="1176" t="s">
        <v>2549</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5094</v>
      </c>
      <c r="W92" s="1181" t="s">
        <v>5095</v>
      </c>
      <c r="X92" s="1181" t="s">
        <v>5096</v>
      </c>
      <c r="Y92" s="1181" t="s">
        <v>5097</v>
      </c>
      <c r="Z92" s="1182" t="s">
        <v>5098</v>
      </c>
    </row>
    <row r="93" spans="2:26" ht="12.75" customHeight="1" x14ac:dyDescent="0.2">
      <c r="B93" s="2252" t="str">
        <f t="shared" si="1"/>
        <v>Creación12</v>
      </c>
      <c r="C93" s="1183"/>
      <c r="D93" s="1184" t="s">
        <v>5099</v>
      </c>
      <c r="E93" s="1175" t="s">
        <v>2036</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5100</v>
      </c>
      <c r="W93" s="1181" t="s">
        <v>5101</v>
      </c>
      <c r="X93" s="1181" t="s">
        <v>5102</v>
      </c>
      <c r="Y93" s="1181" t="s">
        <v>5103</v>
      </c>
      <c r="Z93" s="1182" t="s">
        <v>5104</v>
      </c>
    </row>
    <row r="94" spans="2:26" ht="12.75" customHeight="1" x14ac:dyDescent="0.2">
      <c r="B94" s="2252" t="str">
        <f t="shared" si="1"/>
        <v>Creación16</v>
      </c>
      <c r="C94" s="1183"/>
      <c r="D94" s="1184" t="s">
        <v>5105</v>
      </c>
      <c r="E94" s="1175" t="s">
        <v>2036</v>
      </c>
      <c r="F94" s="1175">
        <v>16</v>
      </c>
      <c r="G94" s="1176" t="s">
        <v>2549</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5106</v>
      </c>
      <c r="W94" s="1181" t="s">
        <v>5107</v>
      </c>
      <c r="X94" s="1181" t="s">
        <v>5108</v>
      </c>
      <c r="Y94" s="1181" t="s">
        <v>5109</v>
      </c>
      <c r="Z94" s="1182" t="s">
        <v>5110</v>
      </c>
    </row>
    <row r="95" spans="2:26" ht="12.75" customHeight="1" x14ac:dyDescent="0.2">
      <c r="B95" s="2252" t="str">
        <f t="shared" si="1"/>
        <v>Creación18</v>
      </c>
      <c r="C95" s="1183"/>
      <c r="D95" s="1184" t="s">
        <v>5111</v>
      </c>
      <c r="E95" s="1175" t="s">
        <v>2036</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5112</v>
      </c>
      <c r="W95" s="1181" t="s">
        <v>5113</v>
      </c>
      <c r="X95" s="1181" t="s">
        <v>5114</v>
      </c>
      <c r="Y95" s="1181" t="s">
        <v>5115</v>
      </c>
      <c r="Z95" s="1182" t="s">
        <v>5116</v>
      </c>
    </row>
    <row r="96" spans="2:26" ht="12.75" customHeight="1" x14ac:dyDescent="0.2">
      <c r="B96" s="2252" t="str">
        <f t="shared" si="1"/>
        <v>Creación20</v>
      </c>
      <c r="C96" s="1183"/>
      <c r="D96" s="1184" t="s">
        <v>344</v>
      </c>
      <c r="E96" s="1175" t="s">
        <v>2036</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5117</v>
      </c>
      <c r="W96" s="1181" t="s">
        <v>5118</v>
      </c>
      <c r="X96" s="1181" t="s">
        <v>5119</v>
      </c>
      <c r="Y96" s="1181" t="s">
        <v>5120</v>
      </c>
      <c r="Z96" s="1182" t="s">
        <v>5121</v>
      </c>
    </row>
    <row r="97" spans="2:26" ht="12.75" customHeight="1" x14ac:dyDescent="0.2">
      <c r="B97" s="2252" t="str">
        <f t="shared" si="1"/>
        <v>Creación22</v>
      </c>
      <c r="C97" s="1183"/>
      <c r="D97" s="1184" t="s">
        <v>5122</v>
      </c>
      <c r="E97" s="1175" t="s">
        <v>2036</v>
      </c>
      <c r="F97" s="1175">
        <v>22</v>
      </c>
      <c r="G97" s="1176" t="s">
        <v>2549</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5123</v>
      </c>
      <c r="W97" s="1181" t="s">
        <v>5124</v>
      </c>
      <c r="X97" s="1181" t="s">
        <v>5125</v>
      </c>
      <c r="Y97" s="1181" t="s">
        <v>5126</v>
      </c>
      <c r="Z97" s="1182" t="s">
        <v>5127</v>
      </c>
    </row>
    <row r="98" spans="2:26" ht="12.75" customHeight="1" x14ac:dyDescent="0.2">
      <c r="B98" s="2252" t="str">
        <f t="shared" si="1"/>
        <v>Creación26</v>
      </c>
      <c r="C98" s="1183"/>
      <c r="D98" s="1184" t="s">
        <v>5128</v>
      </c>
      <c r="E98" s="1175" t="s">
        <v>2036</v>
      </c>
      <c r="F98" s="1175">
        <v>26</v>
      </c>
      <c r="G98" s="1176" t="s">
        <v>2549</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5129</v>
      </c>
      <c r="W98" s="1181" t="s">
        <v>5130</v>
      </c>
      <c r="X98" s="1181" t="s">
        <v>5131</v>
      </c>
      <c r="Y98" s="1181" t="s">
        <v>5132</v>
      </c>
      <c r="Z98" s="1182" t="s">
        <v>5133</v>
      </c>
    </row>
    <row r="99" spans="2:26" ht="12.75" customHeight="1" x14ac:dyDescent="0.2">
      <c r="B99" s="2252" t="str">
        <f t="shared" si="1"/>
        <v>Creación28</v>
      </c>
      <c r="C99" s="1183"/>
      <c r="D99" s="1184" t="s">
        <v>5134</v>
      </c>
      <c r="E99" s="1175" t="s">
        <v>2036</v>
      </c>
      <c r="F99" s="1175">
        <v>28</v>
      </c>
      <c r="G99" s="1176" t="s">
        <v>2549</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5135</v>
      </c>
      <c r="W99" s="1181" t="s">
        <v>5136</v>
      </c>
      <c r="X99" s="1181" t="s">
        <v>5137</v>
      </c>
      <c r="Y99" s="1181" t="s">
        <v>5138</v>
      </c>
      <c r="Z99" s="1182" t="s">
        <v>5139</v>
      </c>
    </row>
    <row r="100" spans="2:26" ht="12.75" customHeight="1" x14ac:dyDescent="0.2">
      <c r="B100" s="2252" t="str">
        <f t="shared" si="1"/>
        <v>Creación30</v>
      </c>
      <c r="C100" s="1183"/>
      <c r="D100" s="1184" t="s">
        <v>348</v>
      </c>
      <c r="E100" s="1175" t="s">
        <v>2036</v>
      </c>
      <c r="F100" s="1175">
        <v>30</v>
      </c>
      <c r="G100" s="1176" t="s">
        <v>2549</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5101</v>
      </c>
      <c r="W100" s="1181" t="s">
        <v>4929</v>
      </c>
      <c r="X100" s="1181" t="s">
        <v>5140</v>
      </c>
      <c r="Y100" s="1181" t="s">
        <v>5141</v>
      </c>
      <c r="Z100" s="1182" t="s">
        <v>5142</v>
      </c>
    </row>
    <row r="101" spans="2:26" ht="12.75" customHeight="1" x14ac:dyDescent="0.2">
      <c r="B101" s="2252" t="str">
        <f t="shared" si="1"/>
        <v>Creación32</v>
      </c>
      <c r="C101" s="1183"/>
      <c r="D101" s="1184" t="s">
        <v>349</v>
      </c>
      <c r="E101" s="1175" t="s">
        <v>2036</v>
      </c>
      <c r="F101" s="1175">
        <v>32</v>
      </c>
      <c r="G101" s="1176" t="s">
        <v>2549</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5143</v>
      </c>
      <c r="W101" s="1181" t="s">
        <v>5144</v>
      </c>
      <c r="X101" s="1181" t="s">
        <v>5145</v>
      </c>
      <c r="Y101" s="1181" t="s">
        <v>5146</v>
      </c>
      <c r="Z101" s="1182" t="s">
        <v>5147</v>
      </c>
    </row>
    <row r="102" spans="2:26" ht="12.75" customHeight="1" x14ac:dyDescent="0.2">
      <c r="B102" s="2252" t="str">
        <f t="shared" si="1"/>
        <v>Creación36</v>
      </c>
      <c r="C102" s="1183"/>
      <c r="D102" s="1184" t="s">
        <v>5148</v>
      </c>
      <c r="E102" s="1175" t="s">
        <v>2036</v>
      </c>
      <c r="F102" s="1175">
        <v>36</v>
      </c>
      <c r="G102" s="1176"/>
      <c r="H102" s="1176" t="s">
        <v>4718</v>
      </c>
      <c r="I102" s="1177" t="s">
        <v>1610</v>
      </c>
      <c r="J102" s="1175">
        <v>8</v>
      </c>
      <c r="K102" s="1175">
        <v>10</v>
      </c>
      <c r="L102" s="1175">
        <v>12</v>
      </c>
      <c r="M102" s="1178">
        <v>14</v>
      </c>
      <c r="N102" s="1175">
        <v>80</v>
      </c>
      <c r="O102" s="1175">
        <v>120</v>
      </c>
      <c r="P102" s="1175">
        <v>160</v>
      </c>
      <c r="Q102" s="1178">
        <v>240</v>
      </c>
      <c r="R102" s="1175"/>
      <c r="S102" s="1175"/>
      <c r="T102" s="1179"/>
      <c r="U102" s="1185" t="s">
        <v>5149</v>
      </c>
      <c r="V102" s="1181" t="s">
        <v>5150</v>
      </c>
      <c r="W102" s="1181" t="s">
        <v>5151</v>
      </c>
      <c r="X102" s="1181" t="s">
        <v>5152</v>
      </c>
      <c r="Y102" s="1181" t="s">
        <v>5153</v>
      </c>
      <c r="Z102" s="1182" t="s">
        <v>5154</v>
      </c>
    </row>
    <row r="103" spans="2:26" ht="12.75" customHeight="1" x14ac:dyDescent="0.2">
      <c r="B103" s="2252" t="str">
        <f t="shared" si="1"/>
        <v>Creación38</v>
      </c>
      <c r="C103" s="1183"/>
      <c r="D103" s="1184" t="s">
        <v>351</v>
      </c>
      <c r="E103" s="1175" t="s">
        <v>2036</v>
      </c>
      <c r="F103" s="1175">
        <v>38</v>
      </c>
      <c r="G103" s="1176" t="s">
        <v>2549</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5155</v>
      </c>
      <c r="W103" s="1181" t="s">
        <v>5156</v>
      </c>
      <c r="X103" s="1181" t="s">
        <v>5157</v>
      </c>
      <c r="Y103" s="1181" t="s">
        <v>4834</v>
      </c>
      <c r="Z103" s="1182" t="s">
        <v>5158</v>
      </c>
    </row>
    <row r="104" spans="2:26" ht="12.75" customHeight="1" x14ac:dyDescent="0.2">
      <c r="B104" s="2252" t="str">
        <f t="shared" si="1"/>
        <v>Creación40</v>
      </c>
      <c r="C104" s="1183"/>
      <c r="D104" s="1184" t="s">
        <v>5159</v>
      </c>
      <c r="E104" s="1175" t="s">
        <v>2036</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5160</v>
      </c>
      <c r="W104" s="1181" t="s">
        <v>5161</v>
      </c>
      <c r="X104" s="1181" t="s">
        <v>5162</v>
      </c>
      <c r="Y104" s="1181" t="s">
        <v>5163</v>
      </c>
      <c r="Z104" s="1182" t="s">
        <v>5164</v>
      </c>
    </row>
    <row r="105" spans="2:26" ht="12.75" customHeight="1" x14ac:dyDescent="0.2">
      <c r="B105" s="2252" t="str">
        <f t="shared" si="1"/>
        <v>Creación42</v>
      </c>
      <c r="C105" s="1183"/>
      <c r="D105" s="1184" t="s">
        <v>353</v>
      </c>
      <c r="E105" s="1175" t="s">
        <v>2036</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5165</v>
      </c>
      <c r="W105" s="1181" t="s">
        <v>5166</v>
      </c>
      <c r="X105" s="1181" t="s">
        <v>5167</v>
      </c>
      <c r="Y105" s="1181" t="s">
        <v>5168</v>
      </c>
      <c r="Z105" s="1182" t="s">
        <v>5169</v>
      </c>
    </row>
    <row r="106" spans="2:26" ht="12.75" customHeight="1" x14ac:dyDescent="0.2">
      <c r="B106" s="2252" t="str">
        <f t="shared" si="1"/>
        <v>Creación46</v>
      </c>
      <c r="C106" s="1183"/>
      <c r="D106" s="1184" t="s">
        <v>5170</v>
      </c>
      <c r="E106" s="1175" t="s">
        <v>2036</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5171</v>
      </c>
      <c r="W106" s="1181" t="s">
        <v>5172</v>
      </c>
      <c r="X106" s="1181" t="s">
        <v>5173</v>
      </c>
      <c r="Y106" s="1181" t="s">
        <v>5174</v>
      </c>
      <c r="Z106" s="1182" t="s">
        <v>5175</v>
      </c>
    </row>
    <row r="107" spans="2:26" ht="12.75" customHeight="1" x14ac:dyDescent="0.2">
      <c r="B107" s="2252" t="str">
        <f t="shared" si="1"/>
        <v>Creación48</v>
      </c>
      <c r="C107" s="1183"/>
      <c r="D107" s="1184" t="s">
        <v>355</v>
      </c>
      <c r="E107" s="1175" t="s">
        <v>2036</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5176</v>
      </c>
      <c r="W107" s="1181" t="s">
        <v>5177</v>
      </c>
      <c r="X107" s="1181" t="s">
        <v>5178</v>
      </c>
      <c r="Y107" s="1181" t="s">
        <v>5179</v>
      </c>
      <c r="Z107" s="1182" t="s">
        <v>5180</v>
      </c>
    </row>
    <row r="108" spans="2:26" ht="12.75" customHeight="1" x14ac:dyDescent="0.2">
      <c r="B108" s="2252" t="str">
        <f t="shared" si="1"/>
        <v>Creación50</v>
      </c>
      <c r="C108" s="1183"/>
      <c r="D108" s="1184" t="s">
        <v>5181</v>
      </c>
      <c r="E108" s="1175" t="s">
        <v>2036</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5182</v>
      </c>
      <c r="W108" s="1181" t="s">
        <v>5183</v>
      </c>
      <c r="X108" s="1181" t="s">
        <v>5184</v>
      </c>
      <c r="Y108" s="1181" t="s">
        <v>5185</v>
      </c>
      <c r="Z108" s="1182" t="s">
        <v>5186</v>
      </c>
    </row>
    <row r="109" spans="2:26" ht="12.75" customHeight="1" x14ac:dyDescent="0.2">
      <c r="B109" s="2252" t="str">
        <f t="shared" si="1"/>
        <v>Creación52</v>
      </c>
      <c r="C109" s="1183"/>
      <c r="D109" s="1184" t="s">
        <v>5187</v>
      </c>
      <c r="E109" s="1175" t="s">
        <v>2036</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5188</v>
      </c>
      <c r="W109" s="1181" t="s">
        <v>5189</v>
      </c>
      <c r="X109" s="1181" t="s">
        <v>5190</v>
      </c>
      <c r="Y109" s="1181" t="s">
        <v>5191</v>
      </c>
      <c r="Z109" s="1182" t="s">
        <v>5192</v>
      </c>
    </row>
    <row r="110" spans="2:26" ht="12.75" customHeight="1" x14ac:dyDescent="0.2">
      <c r="B110" s="2252" t="str">
        <f t="shared" si="1"/>
        <v>Creación56</v>
      </c>
      <c r="C110" s="1183"/>
      <c r="D110" s="1184" t="s">
        <v>5193</v>
      </c>
      <c r="E110" s="1175" t="s">
        <v>2036</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5194</v>
      </c>
      <c r="W110" s="1181" t="s">
        <v>5195</v>
      </c>
      <c r="X110" s="1181" t="s">
        <v>5196</v>
      </c>
      <c r="Y110" s="1181" t="s">
        <v>5197</v>
      </c>
      <c r="Z110" s="1182" t="s">
        <v>5198</v>
      </c>
    </row>
    <row r="111" spans="2:26" ht="12.75" customHeight="1" x14ac:dyDescent="0.2">
      <c r="B111" s="2252" t="str">
        <f t="shared" si="1"/>
        <v>Creación58</v>
      </c>
      <c r="C111" s="1183"/>
      <c r="D111" s="1184" t="s">
        <v>5199</v>
      </c>
      <c r="E111" s="1175" t="s">
        <v>2036</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5200</v>
      </c>
      <c r="W111" s="1181" t="s">
        <v>5156</v>
      </c>
      <c r="X111" s="1181" t="s">
        <v>5157</v>
      </c>
      <c r="Y111" s="1181" t="s">
        <v>4834</v>
      </c>
      <c r="Z111" s="1182" t="s">
        <v>5201</v>
      </c>
    </row>
    <row r="112" spans="2:26" ht="12.75" customHeight="1" x14ac:dyDescent="0.2">
      <c r="B112" s="2252" t="str">
        <f t="shared" si="1"/>
        <v>Creación60</v>
      </c>
      <c r="C112" s="1183"/>
      <c r="D112" s="1184" t="s">
        <v>5202</v>
      </c>
      <c r="E112" s="1175" t="s">
        <v>2036</v>
      </c>
      <c r="F112" s="1175">
        <v>60</v>
      </c>
      <c r="G112" s="1176" t="s">
        <v>2549</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5203</v>
      </c>
      <c r="W112" s="1181" t="s">
        <v>5204</v>
      </c>
      <c r="X112" s="1181" t="s">
        <v>5205</v>
      </c>
      <c r="Y112" s="1181" t="s">
        <v>5206</v>
      </c>
      <c r="Z112" s="1182" t="s">
        <v>5207</v>
      </c>
    </row>
    <row r="113" spans="2:26" ht="12.75" customHeight="1" x14ac:dyDescent="0.2">
      <c r="B113" s="2252" t="str">
        <f t="shared" si="1"/>
        <v>Creación62</v>
      </c>
      <c r="C113" s="1183"/>
      <c r="D113" s="1184" t="s">
        <v>361</v>
      </c>
      <c r="E113" s="1175" t="s">
        <v>2036</v>
      </c>
      <c r="F113" s="1175">
        <v>62</v>
      </c>
      <c r="G113" s="1176" t="s">
        <v>2549</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5208</v>
      </c>
      <c r="W113" s="1181" t="s">
        <v>5209</v>
      </c>
      <c r="X113" s="1181" t="s">
        <v>5210</v>
      </c>
      <c r="Y113" s="1181" t="s">
        <v>5211</v>
      </c>
      <c r="Z113" s="1182" t="s">
        <v>5212</v>
      </c>
    </row>
    <row r="114" spans="2:26" ht="12.75" customHeight="1" x14ac:dyDescent="0.2">
      <c r="B114" s="2252" t="str">
        <f t="shared" si="1"/>
        <v>Creación66</v>
      </c>
      <c r="C114" s="1183"/>
      <c r="D114" s="1184" t="s">
        <v>5213</v>
      </c>
      <c r="E114" s="1175" t="s">
        <v>2036</v>
      </c>
      <c r="F114" s="1175">
        <v>66</v>
      </c>
      <c r="G114" s="1176" t="s">
        <v>2549</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5103</v>
      </c>
      <c r="W114" s="1181" t="s">
        <v>4929</v>
      </c>
      <c r="X114" s="1181" t="s">
        <v>5140</v>
      </c>
      <c r="Y114" s="1181" t="s">
        <v>5214</v>
      </c>
      <c r="Z114" s="1182" t="s">
        <v>5215</v>
      </c>
    </row>
    <row r="115" spans="2:26" ht="12.75" customHeight="1" x14ac:dyDescent="0.2">
      <c r="B115" s="2252" t="str">
        <f t="shared" si="1"/>
        <v>Creación68</v>
      </c>
      <c r="C115" s="1183"/>
      <c r="D115" s="1184" t="s">
        <v>5216</v>
      </c>
      <c r="E115" s="1175" t="s">
        <v>2036</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5217</v>
      </c>
      <c r="W115" s="1181" t="s">
        <v>5218</v>
      </c>
      <c r="X115" s="1181" t="s">
        <v>5219</v>
      </c>
      <c r="Y115" s="1181" t="s">
        <v>5220</v>
      </c>
      <c r="Z115" s="1186" t="s">
        <v>5221</v>
      </c>
    </row>
    <row r="116" spans="2:26" ht="12.75" customHeight="1" x14ac:dyDescent="0.2">
      <c r="B116" s="2252" t="str">
        <f t="shared" si="1"/>
        <v>Creación70</v>
      </c>
      <c r="C116" s="1183"/>
      <c r="D116" s="1184" t="s">
        <v>364</v>
      </c>
      <c r="E116" s="1175" t="s">
        <v>2036</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5149</v>
      </c>
      <c r="V116" s="1181" t="s">
        <v>5222</v>
      </c>
      <c r="W116" s="1181" t="s">
        <v>5223</v>
      </c>
      <c r="X116" s="1181" t="s">
        <v>5224</v>
      </c>
      <c r="Y116" s="1181" t="s">
        <v>5225</v>
      </c>
      <c r="Z116" s="1182" t="s">
        <v>5226</v>
      </c>
    </row>
    <row r="117" spans="2:26" ht="12.75" customHeight="1" x14ac:dyDescent="0.2">
      <c r="B117" s="2252" t="str">
        <f t="shared" si="1"/>
        <v>Creación72</v>
      </c>
      <c r="C117" s="1183"/>
      <c r="D117" s="1184" t="s">
        <v>365</v>
      </c>
      <c r="E117" s="1175" t="s">
        <v>2036</v>
      </c>
      <c r="F117" s="1175">
        <v>72</v>
      </c>
      <c r="G117" s="1176" t="s">
        <v>2549</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5200</v>
      </c>
      <c r="W117" s="1181" t="s">
        <v>5156</v>
      </c>
      <c r="X117" s="1181" t="s">
        <v>5031</v>
      </c>
      <c r="Y117" s="1181" t="s">
        <v>5032</v>
      </c>
      <c r="Z117" s="1182" t="s">
        <v>5227</v>
      </c>
    </row>
    <row r="118" spans="2:26" ht="12.75" customHeight="1" x14ac:dyDescent="0.2">
      <c r="B118" s="2252" t="str">
        <f t="shared" si="1"/>
        <v>Creación76</v>
      </c>
      <c r="C118" s="1183"/>
      <c r="D118" s="1184" t="s">
        <v>366</v>
      </c>
      <c r="E118" s="1175" t="s">
        <v>2036</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5228</v>
      </c>
      <c r="W118" s="1181" t="s">
        <v>5140</v>
      </c>
      <c r="X118" s="1181" t="s">
        <v>5229</v>
      </c>
      <c r="Y118" s="1181" t="s">
        <v>5230</v>
      </c>
      <c r="Z118" s="1182" t="s">
        <v>5231</v>
      </c>
    </row>
    <row r="119" spans="2:26" ht="12.75" customHeight="1" x14ac:dyDescent="0.2">
      <c r="B119" s="2252" t="str">
        <f t="shared" si="1"/>
        <v>Creación78</v>
      </c>
      <c r="C119" s="1183"/>
      <c r="D119" s="1184" t="s">
        <v>5232</v>
      </c>
      <c r="E119" s="1175" t="s">
        <v>2036</v>
      </c>
      <c r="F119" s="1175">
        <v>78</v>
      </c>
      <c r="G119" s="1176" t="s">
        <v>2549</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5233</v>
      </c>
      <c r="W119" s="1181" t="s">
        <v>5234</v>
      </c>
      <c r="X119" s="1181" t="s">
        <v>5235</v>
      </c>
      <c r="Y119" s="1181" t="s">
        <v>5191</v>
      </c>
      <c r="Z119" s="1182" t="s">
        <v>5236</v>
      </c>
    </row>
    <row r="120" spans="2:26" ht="12.75" customHeight="1" x14ac:dyDescent="0.2">
      <c r="B120" s="2252" t="str">
        <f t="shared" si="1"/>
        <v>Creación80</v>
      </c>
      <c r="C120" s="1183"/>
      <c r="D120" s="1184" t="s">
        <v>368</v>
      </c>
      <c r="E120" s="1175" t="s">
        <v>2036</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5149</v>
      </c>
      <c r="V120" s="1181" t="s">
        <v>5237</v>
      </c>
      <c r="W120" s="1181" t="s">
        <v>5238</v>
      </c>
      <c r="X120" s="1181" t="s">
        <v>5239</v>
      </c>
      <c r="Y120" s="1181" t="s">
        <v>5240</v>
      </c>
      <c r="Z120" s="1182" t="s">
        <v>5241</v>
      </c>
    </row>
    <row r="121" spans="2:26" ht="12.75" customHeight="1" x14ac:dyDescent="0.2">
      <c r="B121" s="2252" t="str">
        <f t="shared" si="1"/>
        <v>Creación82</v>
      </c>
      <c r="C121" s="1183"/>
      <c r="D121" s="1184" t="s">
        <v>5242</v>
      </c>
      <c r="E121" s="1175" t="s">
        <v>2036</v>
      </c>
      <c r="F121" s="1175">
        <v>82</v>
      </c>
      <c r="G121" s="1176" t="s">
        <v>2549</v>
      </c>
      <c r="H121" s="1176" t="s">
        <v>4718</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4829</v>
      </c>
      <c r="W121" s="1181" t="s">
        <v>4829</v>
      </c>
      <c r="X121" s="1181" t="s">
        <v>4829</v>
      </c>
      <c r="Y121" s="1181" t="s">
        <v>4829</v>
      </c>
      <c r="Z121" s="1182" t="s">
        <v>5243</v>
      </c>
    </row>
    <row r="122" spans="2:26" ht="12.75" customHeight="1" x14ac:dyDescent="0.2">
      <c r="B122" s="2252" t="str">
        <f t="shared" si="1"/>
        <v>Creación86</v>
      </c>
      <c r="C122" s="1183"/>
      <c r="D122" s="1184" t="s">
        <v>370</v>
      </c>
      <c r="E122" s="1175" t="s">
        <v>2036</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5244</v>
      </c>
      <c r="W122" s="1181" t="s">
        <v>5245</v>
      </c>
      <c r="X122" s="1181" t="s">
        <v>5246</v>
      </c>
      <c r="Y122" s="1181" t="s">
        <v>5247</v>
      </c>
      <c r="Z122" s="1182" t="s">
        <v>5248</v>
      </c>
    </row>
    <row r="123" spans="2:26" ht="12.75" customHeight="1" x14ac:dyDescent="0.2">
      <c r="B123" s="2252" t="str">
        <f t="shared" si="1"/>
        <v>Creación88</v>
      </c>
      <c r="C123" s="1183"/>
      <c r="D123" s="1184" t="s">
        <v>5249</v>
      </c>
      <c r="E123" s="1175" t="s">
        <v>2036</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5101</v>
      </c>
      <c r="W123" s="1181" t="s">
        <v>5103</v>
      </c>
      <c r="X123" s="1181" t="s">
        <v>4929</v>
      </c>
      <c r="Y123" s="1181" t="s">
        <v>4930</v>
      </c>
      <c r="Z123" s="1182" t="s">
        <v>5250</v>
      </c>
    </row>
    <row r="124" spans="2:26" ht="12.75" customHeight="1" x14ac:dyDescent="0.2">
      <c r="B124" s="2252" t="str">
        <f t="shared" si="1"/>
        <v>Creación90</v>
      </c>
      <c r="C124" s="1183"/>
      <c r="D124" s="1184" t="s">
        <v>5251</v>
      </c>
      <c r="E124" s="1175" t="s">
        <v>2036</v>
      </c>
      <c r="F124" s="1175">
        <v>90</v>
      </c>
      <c r="G124" s="1176" t="s">
        <v>2549</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5252</v>
      </c>
      <c r="W124" s="1181" t="s">
        <v>5253</v>
      </c>
      <c r="X124" s="1181" t="s">
        <v>5254</v>
      </c>
      <c r="Y124" s="1181" t="s">
        <v>5255</v>
      </c>
      <c r="Z124" s="1182" t="s">
        <v>9108</v>
      </c>
    </row>
    <row r="125" spans="2:26" ht="12.75" customHeight="1" x14ac:dyDescent="0.2">
      <c r="B125" s="2252" t="str">
        <f t="shared" si="1"/>
        <v>Creación92</v>
      </c>
      <c r="C125" s="1183"/>
      <c r="D125" s="1184" t="s">
        <v>373</v>
      </c>
      <c r="E125" s="1175" t="s">
        <v>2036</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5149</v>
      </c>
      <c r="V125" s="1181" t="s">
        <v>5256</v>
      </c>
      <c r="W125" s="1181" t="s">
        <v>5257</v>
      </c>
      <c r="X125" s="1181" t="s">
        <v>5258</v>
      </c>
      <c r="Y125" s="1181" t="s">
        <v>5259</v>
      </c>
      <c r="Z125" s="1182" t="s">
        <v>5260</v>
      </c>
    </row>
    <row r="126" spans="2:26" ht="12.75" customHeight="1" x14ac:dyDescent="0.2">
      <c r="B126" s="2252" t="str">
        <f t="shared" si="1"/>
        <v>Creación96</v>
      </c>
      <c r="C126" s="1183"/>
      <c r="D126" s="1184" t="s">
        <v>5261</v>
      </c>
      <c r="E126" s="1175" t="s">
        <v>2036</v>
      </c>
      <c r="F126" s="1175">
        <v>96</v>
      </c>
      <c r="G126" s="1176" t="s">
        <v>2549</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5262</v>
      </c>
      <c r="W126" s="1181" t="s">
        <v>5263</v>
      </c>
      <c r="X126" s="1181" t="s">
        <v>5264</v>
      </c>
      <c r="Y126" s="1181" t="s">
        <v>5265</v>
      </c>
      <c r="Z126" s="1182" t="s">
        <v>5266</v>
      </c>
    </row>
    <row r="127" spans="2:26" ht="12.75" customHeight="1" x14ac:dyDescent="0.2">
      <c r="B127" s="2252" t="str">
        <f t="shared" si="1"/>
        <v>Creación98</v>
      </c>
      <c r="C127" s="1183"/>
      <c r="D127" s="1184" t="s">
        <v>5267</v>
      </c>
      <c r="E127" s="1175" t="s">
        <v>2036</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5149</v>
      </c>
      <c r="V127" s="1181" t="s">
        <v>5268</v>
      </c>
      <c r="W127" s="1181" t="s">
        <v>5269</v>
      </c>
      <c r="X127" s="1181" t="s">
        <v>5270</v>
      </c>
      <c r="Y127" s="1181" t="s">
        <v>5271</v>
      </c>
      <c r="Z127" s="1182" t="s">
        <v>5272</v>
      </c>
    </row>
    <row r="128" spans="2:26" ht="12.75" customHeight="1" x14ac:dyDescent="0.2">
      <c r="B128" s="2252" t="str">
        <f t="shared" si="1"/>
        <v>Creación100</v>
      </c>
      <c r="C128" s="1183"/>
      <c r="D128" s="1184" t="s">
        <v>376</v>
      </c>
      <c r="E128" s="1175" t="s">
        <v>2036</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5149</v>
      </c>
      <c r="V128" s="1181" t="s">
        <v>5273</v>
      </c>
      <c r="W128" s="1181" t="s">
        <v>5274</v>
      </c>
      <c r="X128" s="1181" t="s">
        <v>5275</v>
      </c>
      <c r="Y128" s="1181" t="s">
        <v>5276</v>
      </c>
      <c r="Z128" s="1182" t="s">
        <v>5277</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2037</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5278</v>
      </c>
      <c r="W130" s="1181" t="s">
        <v>5279</v>
      </c>
      <c r="X130" s="1181" t="s">
        <v>5280</v>
      </c>
      <c r="Y130" s="1181" t="s">
        <v>5281</v>
      </c>
      <c r="Z130" s="1182" t="s">
        <v>5282</v>
      </c>
    </row>
    <row r="131" spans="2:26" ht="12.75" customHeight="1" x14ac:dyDescent="0.2">
      <c r="B131" s="2252" t="str">
        <f t="shared" si="1"/>
        <v>Destrucción6</v>
      </c>
      <c r="C131" s="1183"/>
      <c r="D131" s="1184" t="s">
        <v>379</v>
      </c>
      <c r="E131" s="1175" t="s">
        <v>2037</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5100</v>
      </c>
      <c r="W131" s="1181" t="s">
        <v>5102</v>
      </c>
      <c r="X131" s="1181" t="s">
        <v>5228</v>
      </c>
      <c r="Y131" s="1181" t="s">
        <v>4929</v>
      </c>
      <c r="Z131" s="1182" t="s">
        <v>5283</v>
      </c>
    </row>
    <row r="132" spans="2:26" ht="12.75" customHeight="1" x14ac:dyDescent="0.2">
      <c r="B132" s="2252" t="str">
        <f t="shared" si="1"/>
        <v>Destrucción8</v>
      </c>
      <c r="C132" s="1183"/>
      <c r="D132" s="1184" t="s">
        <v>5284</v>
      </c>
      <c r="E132" s="1175" t="s">
        <v>2037</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5285</v>
      </c>
      <c r="W132" s="1181" t="s">
        <v>5286</v>
      </c>
      <c r="X132" s="1181" t="s">
        <v>5287</v>
      </c>
      <c r="Y132" s="1181" t="s">
        <v>5288</v>
      </c>
      <c r="Z132" s="1182" t="s">
        <v>5289</v>
      </c>
    </row>
    <row r="133" spans="2:26" ht="12.75" customHeight="1" x14ac:dyDescent="0.2">
      <c r="B133" s="2252" t="str">
        <f t="shared" si="1"/>
        <v>Destrucción10</v>
      </c>
      <c r="C133" s="1183"/>
      <c r="D133" s="1184" t="s">
        <v>5290</v>
      </c>
      <c r="E133" s="1175" t="s">
        <v>2037</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5100</v>
      </c>
      <c r="W133" s="1181" t="s">
        <v>5102</v>
      </c>
      <c r="X133" s="1181" t="s">
        <v>5228</v>
      </c>
      <c r="Y133" s="1181" t="s">
        <v>4929</v>
      </c>
      <c r="Z133" s="1182" t="s">
        <v>5291</v>
      </c>
    </row>
    <row r="134" spans="2:26" ht="12.75" customHeight="1" x14ac:dyDescent="0.2">
      <c r="B134" s="2252" t="str">
        <f t="shared" si="1"/>
        <v>Destrucción12</v>
      </c>
      <c r="C134" s="1183"/>
      <c r="D134" s="1184" t="s">
        <v>5292</v>
      </c>
      <c r="E134" s="1175" t="s">
        <v>2037</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5293</v>
      </c>
      <c r="W134" s="1181" t="s">
        <v>5294</v>
      </c>
      <c r="X134" s="1181" t="s">
        <v>5295</v>
      </c>
      <c r="Y134" s="1181" t="s">
        <v>5296</v>
      </c>
      <c r="Z134" s="1182" t="s">
        <v>5297</v>
      </c>
    </row>
    <row r="135" spans="2:26" ht="12.75" customHeight="1" x14ac:dyDescent="0.2">
      <c r="B135" s="2252" t="str">
        <f t="shared" si="1"/>
        <v>Destrucción16</v>
      </c>
      <c r="C135" s="1183"/>
      <c r="D135" s="1184" t="s">
        <v>5298</v>
      </c>
      <c r="E135" s="1175" t="s">
        <v>2037</v>
      </c>
      <c r="F135" s="1175">
        <v>16</v>
      </c>
      <c r="G135" s="1176" t="s">
        <v>2549</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5299</v>
      </c>
      <c r="W135" s="1181" t="s">
        <v>5300</v>
      </c>
      <c r="X135" s="1181" t="s">
        <v>5301</v>
      </c>
      <c r="Y135" s="1181" t="s">
        <v>5302</v>
      </c>
      <c r="Z135" s="1182" t="s">
        <v>5303</v>
      </c>
    </row>
    <row r="136" spans="2:26" ht="12.75" customHeight="1" x14ac:dyDescent="0.2">
      <c r="B136" s="2252" t="str">
        <f t="shared" ref="B136:B199" si="2">E136&amp;F136</f>
        <v>Destrucción18</v>
      </c>
      <c r="C136" s="1183"/>
      <c r="D136" s="1184" t="s">
        <v>5304</v>
      </c>
      <c r="E136" s="1175" t="s">
        <v>2037</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5305</v>
      </c>
      <c r="W136" s="1181" t="s">
        <v>5306</v>
      </c>
      <c r="X136" s="1181" t="s">
        <v>5307</v>
      </c>
      <c r="Y136" s="1181" t="s">
        <v>5308</v>
      </c>
      <c r="Z136" s="1182" t="s">
        <v>5309</v>
      </c>
    </row>
    <row r="137" spans="2:26" ht="12.75" customHeight="1" x14ac:dyDescent="0.2">
      <c r="B137" s="2252" t="str">
        <f t="shared" si="2"/>
        <v>Destrucción20</v>
      </c>
      <c r="C137" s="1183"/>
      <c r="D137" s="1184" t="s">
        <v>5310</v>
      </c>
      <c r="E137" s="1175" t="s">
        <v>2037</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5311</v>
      </c>
      <c r="W137" s="1181" t="s">
        <v>5312</v>
      </c>
      <c r="X137" s="1181" t="s">
        <v>5313</v>
      </c>
      <c r="Y137" s="1181" t="s">
        <v>5314</v>
      </c>
      <c r="Z137" s="1182" t="s">
        <v>5315</v>
      </c>
    </row>
    <row r="138" spans="2:26" ht="12.75" customHeight="1" x14ac:dyDescent="0.2">
      <c r="B138" s="2252" t="str">
        <f t="shared" si="2"/>
        <v>Destrucción22</v>
      </c>
      <c r="C138" s="1183"/>
      <c r="D138" s="1184" t="s">
        <v>5316</v>
      </c>
      <c r="E138" s="1175" t="s">
        <v>2037</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5317</v>
      </c>
      <c r="S138" s="1175" t="s">
        <v>1693</v>
      </c>
      <c r="T138" s="1179" t="s">
        <v>1693</v>
      </c>
      <c r="U138" s="1185" t="s">
        <v>1693</v>
      </c>
      <c r="V138" s="1181" t="s">
        <v>5318</v>
      </c>
      <c r="W138" s="1181" t="s">
        <v>5319</v>
      </c>
      <c r="X138" s="1181" t="s">
        <v>5320</v>
      </c>
      <c r="Y138" s="1181" t="s">
        <v>5321</v>
      </c>
      <c r="Z138" s="1182" t="s">
        <v>5322</v>
      </c>
    </row>
    <row r="139" spans="2:26" ht="12.75" customHeight="1" x14ac:dyDescent="0.2">
      <c r="B139" s="2252" t="str">
        <f t="shared" si="2"/>
        <v>Destrucción26</v>
      </c>
      <c r="C139" s="1183"/>
      <c r="D139" s="1184" t="s">
        <v>387</v>
      </c>
      <c r="E139" s="1175" t="s">
        <v>2037</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5323</v>
      </c>
      <c r="W139" s="1181" t="s">
        <v>5324</v>
      </c>
      <c r="X139" s="1181" t="s">
        <v>5325</v>
      </c>
      <c r="Y139" s="1181" t="s">
        <v>5326</v>
      </c>
      <c r="Z139" s="1182" t="s">
        <v>5327</v>
      </c>
    </row>
    <row r="140" spans="2:26" ht="12.75" customHeight="1" x14ac:dyDescent="0.2">
      <c r="B140" s="2252" t="str">
        <f t="shared" si="2"/>
        <v>Destrucción28</v>
      </c>
      <c r="C140" s="1183"/>
      <c r="D140" s="1184" t="s">
        <v>5328</v>
      </c>
      <c r="E140" s="1175" t="s">
        <v>2037</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5300</v>
      </c>
      <c r="W140" s="1181" t="s">
        <v>5301</v>
      </c>
      <c r="X140" s="1181" t="s">
        <v>5329</v>
      </c>
      <c r="Y140" s="1181" t="s">
        <v>5330</v>
      </c>
      <c r="Z140" s="1182" t="s">
        <v>5331</v>
      </c>
    </row>
    <row r="141" spans="2:26" ht="12.75" customHeight="1" x14ac:dyDescent="0.2">
      <c r="B141" s="2252" t="str">
        <f t="shared" si="2"/>
        <v>Destrucción30</v>
      </c>
      <c r="C141" s="1183"/>
      <c r="D141" s="1184" t="s">
        <v>5332</v>
      </c>
      <c r="E141" s="1175" t="s">
        <v>2037</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5333</v>
      </c>
      <c r="W141" s="1181" t="s">
        <v>5334</v>
      </c>
      <c r="X141" s="1181" t="s">
        <v>5335</v>
      </c>
      <c r="Y141" s="1181" t="s">
        <v>5336</v>
      </c>
      <c r="Z141" s="1182" t="s">
        <v>5337</v>
      </c>
    </row>
    <row r="142" spans="2:26" ht="12.75" customHeight="1" x14ac:dyDescent="0.2">
      <c r="B142" s="2252" t="str">
        <f t="shared" si="2"/>
        <v>Destrucción32</v>
      </c>
      <c r="C142" s="1183"/>
      <c r="D142" s="1184" t="s">
        <v>5338</v>
      </c>
      <c r="E142" s="1175" t="s">
        <v>2037</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5339</v>
      </c>
      <c r="W142" s="1181" t="s">
        <v>5299</v>
      </c>
      <c r="X142" s="1181" t="s">
        <v>5300</v>
      </c>
      <c r="Y142" s="1181" t="s">
        <v>5329</v>
      </c>
      <c r="Z142" s="1182" t="s">
        <v>5340</v>
      </c>
    </row>
    <row r="143" spans="2:26" ht="12.75" customHeight="1" x14ac:dyDescent="0.2">
      <c r="B143" s="2252" t="str">
        <f t="shared" si="2"/>
        <v>Destrucción36</v>
      </c>
      <c r="C143" s="1183"/>
      <c r="D143" s="1184" t="s">
        <v>391</v>
      </c>
      <c r="E143" s="1175" t="s">
        <v>2037</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5317</v>
      </c>
      <c r="S143" s="1175" t="s">
        <v>1693</v>
      </c>
      <c r="T143" s="1179" t="s">
        <v>1693</v>
      </c>
      <c r="U143" s="1185" t="s">
        <v>1693</v>
      </c>
      <c r="V143" s="1181" t="s">
        <v>5341</v>
      </c>
      <c r="W143" s="1181" t="s">
        <v>4958</v>
      </c>
      <c r="X143" s="1181" t="s">
        <v>5342</v>
      </c>
      <c r="Y143" s="1181" t="s">
        <v>5343</v>
      </c>
      <c r="Z143" s="1182" t="s">
        <v>5344</v>
      </c>
    </row>
    <row r="144" spans="2:26" ht="12.75" customHeight="1" x14ac:dyDescent="0.2">
      <c r="B144" s="2252" t="str">
        <f t="shared" si="2"/>
        <v>Destrucción38</v>
      </c>
      <c r="C144" s="1183"/>
      <c r="D144" s="1184" t="s">
        <v>5345</v>
      </c>
      <c r="E144" s="1175" t="s">
        <v>2037</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5346</v>
      </c>
      <c r="S144" s="1175" t="s">
        <v>1693</v>
      </c>
      <c r="T144" s="1179" t="s">
        <v>1693</v>
      </c>
      <c r="U144" s="1185" t="s">
        <v>1693</v>
      </c>
      <c r="V144" s="1181" t="s">
        <v>5299</v>
      </c>
      <c r="W144" s="1181" t="s">
        <v>5300</v>
      </c>
      <c r="X144" s="1181" t="s">
        <v>5301</v>
      </c>
      <c r="Y144" s="1181" t="s">
        <v>5302</v>
      </c>
      <c r="Z144" s="1182" t="s">
        <v>5347</v>
      </c>
    </row>
    <row r="145" spans="2:26" ht="12.75" customHeight="1" x14ac:dyDescent="0.2">
      <c r="B145" s="2252" t="str">
        <f t="shared" si="2"/>
        <v>Destrucción40</v>
      </c>
      <c r="C145" s="1183"/>
      <c r="D145" s="1189" t="s">
        <v>5348</v>
      </c>
      <c r="E145" s="1179" t="s">
        <v>2037</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5299</v>
      </c>
      <c r="W145" s="1181" t="s">
        <v>5301</v>
      </c>
      <c r="X145" s="1181" t="s">
        <v>5302</v>
      </c>
      <c r="Y145" s="1181" t="s">
        <v>5349</v>
      </c>
      <c r="Z145" s="1182" t="s">
        <v>5350</v>
      </c>
    </row>
    <row r="146" spans="2:26" ht="12.75" customHeight="1" x14ac:dyDescent="0.2">
      <c r="B146" s="2252" t="str">
        <f t="shared" si="2"/>
        <v>Destrucción42</v>
      </c>
      <c r="C146" s="1183"/>
      <c r="D146" s="1189" t="s">
        <v>5351</v>
      </c>
      <c r="E146" s="1179" t="s">
        <v>2037</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5352</v>
      </c>
      <c r="W146" s="1181" t="s">
        <v>5353</v>
      </c>
      <c r="X146" s="1181" t="s">
        <v>5354</v>
      </c>
      <c r="Y146" s="1181" t="s">
        <v>5355</v>
      </c>
      <c r="Z146" s="1182" t="s">
        <v>5356</v>
      </c>
    </row>
    <row r="147" spans="2:26" ht="12.75" customHeight="1" x14ac:dyDescent="0.2">
      <c r="B147" s="2252" t="str">
        <f t="shared" si="2"/>
        <v>Destrucción46</v>
      </c>
      <c r="C147" s="1183"/>
      <c r="D147" s="1189" t="s">
        <v>5357</v>
      </c>
      <c r="E147" s="1179" t="s">
        <v>2037</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5358</v>
      </c>
      <c r="W147" s="1181" t="s">
        <v>5359</v>
      </c>
      <c r="X147" s="1181" t="s">
        <v>5360</v>
      </c>
      <c r="Y147" s="1181" t="s">
        <v>5361</v>
      </c>
      <c r="Z147" s="1182" t="s">
        <v>5362</v>
      </c>
    </row>
    <row r="148" spans="2:26" ht="12.75" customHeight="1" x14ac:dyDescent="0.2">
      <c r="B148" s="2252" t="str">
        <f t="shared" si="2"/>
        <v>Destrucción48</v>
      </c>
      <c r="C148" s="1183"/>
      <c r="D148" s="1189" t="s">
        <v>5363</v>
      </c>
      <c r="E148" s="1179" t="s">
        <v>2037</v>
      </c>
      <c r="F148" s="1179">
        <v>48</v>
      </c>
      <c r="G148" s="1190" t="s">
        <v>1693</v>
      </c>
      <c r="H148" s="1190" t="s">
        <v>4718</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5364</v>
      </c>
      <c r="W148" s="1181" t="s">
        <v>5365</v>
      </c>
      <c r="X148" s="1181" t="s">
        <v>5366</v>
      </c>
      <c r="Y148" s="1181" t="s">
        <v>5367</v>
      </c>
      <c r="Z148" s="1182" t="s">
        <v>5368</v>
      </c>
    </row>
    <row r="149" spans="2:26" ht="12.75" customHeight="1" x14ac:dyDescent="0.2">
      <c r="B149" s="2252" t="str">
        <f t="shared" si="2"/>
        <v>Destrucción50</v>
      </c>
      <c r="C149" s="1183"/>
      <c r="D149" s="1189" t="s">
        <v>5369</v>
      </c>
      <c r="E149" s="1179" t="s">
        <v>2037</v>
      </c>
      <c r="F149" s="1179">
        <v>50</v>
      </c>
      <c r="G149" s="1190" t="s">
        <v>3143</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5370</v>
      </c>
      <c r="W149" s="1181" t="s">
        <v>5371</v>
      </c>
      <c r="X149" s="1181" t="s">
        <v>5372</v>
      </c>
      <c r="Y149" s="1181" t="s">
        <v>5373</v>
      </c>
      <c r="Z149" s="1182" t="s">
        <v>5374</v>
      </c>
    </row>
    <row r="150" spans="2:26" ht="12.75" customHeight="1" x14ac:dyDescent="0.2">
      <c r="B150" s="2252" t="str">
        <f t="shared" si="2"/>
        <v>Destrucción52</v>
      </c>
      <c r="C150" s="1183"/>
      <c r="D150" s="1189" t="s">
        <v>5375</v>
      </c>
      <c r="E150" s="1179" t="s">
        <v>2037</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5171</v>
      </c>
      <c r="W150" s="1181" t="s">
        <v>5172</v>
      </c>
      <c r="X150" s="1181" t="s">
        <v>5173</v>
      </c>
      <c r="Y150" s="1181" t="s">
        <v>5174</v>
      </c>
      <c r="Z150" s="1182" t="s">
        <v>5376</v>
      </c>
    </row>
    <row r="151" spans="2:26" ht="12.75" customHeight="1" x14ac:dyDescent="0.2">
      <c r="B151" s="2252" t="str">
        <f t="shared" si="2"/>
        <v>Destrucción56</v>
      </c>
      <c r="C151" s="1183"/>
      <c r="D151" s="1189" t="s">
        <v>5377</v>
      </c>
      <c r="E151" s="1179" t="s">
        <v>2037</v>
      </c>
      <c r="F151" s="1179">
        <v>56</v>
      </c>
      <c r="G151" s="1190" t="s">
        <v>3143</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5156</v>
      </c>
      <c r="W151" s="1181" t="s">
        <v>5031</v>
      </c>
      <c r="X151" s="1181" t="s">
        <v>5032</v>
      </c>
      <c r="Y151" s="1181" t="s">
        <v>5033</v>
      </c>
      <c r="Z151" s="1182" t="s">
        <v>5378</v>
      </c>
    </row>
    <row r="152" spans="2:26" ht="12.75" customHeight="1" x14ac:dyDescent="0.2">
      <c r="B152" s="2252" t="str">
        <f t="shared" si="2"/>
        <v>Destrucción58</v>
      </c>
      <c r="C152" s="1183"/>
      <c r="D152" s="1184" t="s">
        <v>400</v>
      </c>
      <c r="E152" s="1175" t="s">
        <v>2037</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5156</v>
      </c>
      <c r="W152" s="1181" t="s">
        <v>5031</v>
      </c>
      <c r="X152" s="1181" t="s">
        <v>5032</v>
      </c>
      <c r="Y152" s="1181" t="s">
        <v>5033</v>
      </c>
      <c r="Z152" s="1182" t="s">
        <v>5379</v>
      </c>
    </row>
    <row r="153" spans="2:26" ht="12.75" customHeight="1" x14ac:dyDescent="0.2">
      <c r="B153" s="2252" t="str">
        <f t="shared" si="2"/>
        <v>Destrucción60</v>
      </c>
      <c r="C153" s="1183"/>
      <c r="D153" s="1184" t="s">
        <v>5380</v>
      </c>
      <c r="E153" s="1175" t="s">
        <v>2037</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5156</v>
      </c>
      <c r="W153" s="1181" t="s">
        <v>5157</v>
      </c>
      <c r="X153" s="1181" t="s">
        <v>4834</v>
      </c>
      <c r="Y153" s="1181" t="s">
        <v>5381</v>
      </c>
      <c r="Z153" s="1182" t="s">
        <v>5382</v>
      </c>
    </row>
    <row r="154" spans="2:26" ht="12.75" customHeight="1" x14ac:dyDescent="0.2">
      <c r="B154" s="2252" t="str">
        <f t="shared" si="2"/>
        <v>Destrucción62</v>
      </c>
      <c r="C154" s="1183"/>
      <c r="D154" s="1184" t="s">
        <v>5383</v>
      </c>
      <c r="E154" s="1175" t="s">
        <v>2037</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4958</v>
      </c>
      <c r="W154" s="1181" t="s">
        <v>5384</v>
      </c>
      <c r="X154" s="1181" t="s">
        <v>5385</v>
      </c>
      <c r="Y154" s="1181" t="s">
        <v>5386</v>
      </c>
      <c r="Z154" s="1182" t="s">
        <v>5387</v>
      </c>
    </row>
    <row r="155" spans="2:26" ht="12.75" customHeight="1" x14ac:dyDescent="0.2">
      <c r="B155" s="2252" t="str">
        <f t="shared" si="2"/>
        <v>Destrucción66</v>
      </c>
      <c r="C155" s="1183"/>
      <c r="D155" s="1184" t="s">
        <v>5388</v>
      </c>
      <c r="E155" s="1175" t="s">
        <v>2037</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5389</v>
      </c>
      <c r="W155" s="1181" t="s">
        <v>5390</v>
      </c>
      <c r="X155" s="1181" t="s">
        <v>5391</v>
      </c>
      <c r="Y155" s="1181" t="s">
        <v>5392</v>
      </c>
      <c r="Z155" s="1182" t="s">
        <v>5393</v>
      </c>
    </row>
    <row r="156" spans="2:26" ht="12.75" customHeight="1" x14ac:dyDescent="0.2">
      <c r="B156" s="2252" t="str">
        <f t="shared" si="2"/>
        <v>Destrucción68</v>
      </c>
      <c r="C156" s="1183"/>
      <c r="D156" s="1184" t="s">
        <v>5394</v>
      </c>
      <c r="E156" s="1175" t="s">
        <v>2037</v>
      </c>
      <c r="F156" s="1175">
        <v>68</v>
      </c>
      <c r="G156" s="1190" t="s">
        <v>3143</v>
      </c>
      <c r="H156" s="1190" t="s">
        <v>4718</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5395</v>
      </c>
      <c r="W156" s="1181" t="s">
        <v>5396</v>
      </c>
      <c r="X156" s="1181" t="s">
        <v>5397</v>
      </c>
      <c r="Y156" s="1181" t="s">
        <v>5398</v>
      </c>
      <c r="Z156" s="1182" t="s">
        <v>5399</v>
      </c>
    </row>
    <row r="157" spans="2:26" ht="12.75" customHeight="1" x14ac:dyDescent="0.2">
      <c r="B157" s="2252" t="str">
        <f t="shared" si="2"/>
        <v>Destrucción70</v>
      </c>
      <c r="C157" s="1183"/>
      <c r="D157" s="1184" t="s">
        <v>5400</v>
      </c>
      <c r="E157" s="1175" t="s">
        <v>2037</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5401</v>
      </c>
      <c r="W157" s="1181" t="s">
        <v>5402</v>
      </c>
      <c r="X157" s="1181" t="s">
        <v>5403</v>
      </c>
      <c r="Y157" s="1181" t="s">
        <v>5404</v>
      </c>
      <c r="Z157" s="1182" t="s">
        <v>5405</v>
      </c>
    </row>
    <row r="158" spans="2:26" ht="12.75" customHeight="1" x14ac:dyDescent="0.2">
      <c r="B158" s="2252" t="str">
        <f t="shared" si="2"/>
        <v>Destrucción72</v>
      </c>
      <c r="C158" s="1183"/>
      <c r="D158" s="1184" t="s">
        <v>406</v>
      </c>
      <c r="E158" s="1175" t="s">
        <v>2037</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5406</v>
      </c>
      <c r="W158" s="1181" t="s">
        <v>5407</v>
      </c>
      <c r="X158" s="1181" t="s">
        <v>5408</v>
      </c>
      <c r="Y158" s="1181" t="s">
        <v>5409</v>
      </c>
      <c r="Z158" s="1182" t="s">
        <v>5410</v>
      </c>
    </row>
    <row r="159" spans="2:26" ht="12.75" customHeight="1" x14ac:dyDescent="0.2">
      <c r="B159" s="2252" t="str">
        <f t="shared" si="2"/>
        <v>Destrucción76</v>
      </c>
      <c r="C159" s="1183"/>
      <c r="D159" s="1184" t="s">
        <v>5411</v>
      </c>
      <c r="E159" s="1175" t="s">
        <v>2037</v>
      </c>
      <c r="F159" s="1175">
        <v>76</v>
      </c>
      <c r="G159" s="1190" t="s">
        <v>3143</v>
      </c>
      <c r="H159" s="1190" t="s">
        <v>4718</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5412</v>
      </c>
      <c r="W159" s="1181" t="s">
        <v>5413</v>
      </c>
      <c r="X159" s="1181" t="s">
        <v>5414</v>
      </c>
      <c r="Y159" s="1181" t="s">
        <v>5415</v>
      </c>
      <c r="Z159" s="1182" t="s">
        <v>5416</v>
      </c>
    </row>
    <row r="160" spans="2:26" ht="12.75" customHeight="1" x14ac:dyDescent="0.2">
      <c r="B160" s="2252" t="str">
        <f t="shared" si="2"/>
        <v>Destrucción78</v>
      </c>
      <c r="C160" s="1183"/>
      <c r="D160" s="1184" t="s">
        <v>5417</v>
      </c>
      <c r="E160" s="1175" t="s">
        <v>2037</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5418</v>
      </c>
      <c r="W160" s="1181" t="s">
        <v>5419</v>
      </c>
      <c r="X160" s="1181" t="s">
        <v>5420</v>
      </c>
      <c r="Y160" s="1181" t="s">
        <v>5421</v>
      </c>
      <c r="Z160" s="1182" t="s">
        <v>5422</v>
      </c>
    </row>
    <row r="161" spans="2:26" ht="12.75" customHeight="1" x14ac:dyDescent="0.2">
      <c r="B161" s="2252" t="str">
        <f t="shared" si="2"/>
        <v>Destrucción80</v>
      </c>
      <c r="C161" s="1183"/>
      <c r="D161" s="1184" t="s">
        <v>5423</v>
      </c>
      <c r="E161" s="1175" t="s">
        <v>2037</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5424</v>
      </c>
      <c r="W161" s="1181" t="s">
        <v>5425</v>
      </c>
      <c r="X161" s="1181" t="s">
        <v>5426</v>
      </c>
      <c r="Y161" s="1181" t="s">
        <v>5427</v>
      </c>
      <c r="Z161" s="1182" t="s">
        <v>5428</v>
      </c>
    </row>
    <row r="162" spans="2:26" ht="12.75" customHeight="1" x14ac:dyDescent="0.2">
      <c r="B162" s="2252" t="str">
        <f t="shared" si="2"/>
        <v>Destrucción82</v>
      </c>
      <c r="C162" s="1183"/>
      <c r="D162" s="1184" t="s">
        <v>5429</v>
      </c>
      <c r="E162" s="1175" t="s">
        <v>2037</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5430</v>
      </c>
      <c r="W162" s="1181" t="s">
        <v>5431</v>
      </c>
      <c r="X162" s="1181" t="s">
        <v>5432</v>
      </c>
      <c r="Y162" s="1181" t="s">
        <v>5433</v>
      </c>
      <c r="Z162" s="1182" t="s">
        <v>5434</v>
      </c>
    </row>
    <row r="163" spans="2:26" ht="12.75" customHeight="1" x14ac:dyDescent="0.2">
      <c r="B163" s="2252" t="str">
        <f t="shared" si="2"/>
        <v>Destrucción86</v>
      </c>
      <c r="C163" s="1183"/>
      <c r="D163" s="1184" t="s">
        <v>5435</v>
      </c>
      <c r="E163" s="1175" t="s">
        <v>2037</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5436</v>
      </c>
      <c r="W163" s="1181" t="s">
        <v>5437</v>
      </c>
      <c r="X163" s="1181" t="s">
        <v>5438</v>
      </c>
      <c r="Y163" s="1181" t="s">
        <v>5439</v>
      </c>
      <c r="Z163" s="1182" t="s">
        <v>5440</v>
      </c>
    </row>
    <row r="164" spans="2:26" ht="12.75" customHeight="1" x14ac:dyDescent="0.2">
      <c r="B164" s="2252" t="str">
        <f t="shared" si="2"/>
        <v>Destrucción88</v>
      </c>
      <c r="C164" s="1183"/>
      <c r="D164" s="1184" t="s">
        <v>5441</v>
      </c>
      <c r="E164" s="1175" t="s">
        <v>2037</v>
      </c>
      <c r="F164" s="1175">
        <v>88</v>
      </c>
      <c r="G164" s="1190" t="s">
        <v>3143</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5442</v>
      </c>
      <c r="W164" s="1181" t="s">
        <v>5443</v>
      </c>
      <c r="X164" s="1181" t="s">
        <v>5444</v>
      </c>
      <c r="Y164" s="1181" t="s">
        <v>5445</v>
      </c>
      <c r="Z164" s="1182" t="s">
        <v>5446</v>
      </c>
    </row>
    <row r="165" spans="2:26" ht="12.75" customHeight="1" x14ac:dyDescent="0.2">
      <c r="B165" s="2252" t="str">
        <f t="shared" si="2"/>
        <v>Destrucción90</v>
      </c>
      <c r="C165" s="1183"/>
      <c r="D165" s="1184" t="s">
        <v>413</v>
      </c>
      <c r="E165" s="1175" t="s">
        <v>2037</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5447</v>
      </c>
      <c r="W165" s="1181" t="s">
        <v>5448</v>
      </c>
      <c r="X165" s="1181" t="s">
        <v>5449</v>
      </c>
      <c r="Y165" s="1181" t="s">
        <v>5450</v>
      </c>
      <c r="Z165" s="1182" t="s">
        <v>5451</v>
      </c>
    </row>
    <row r="166" spans="2:26" ht="12.75" customHeight="1" x14ac:dyDescent="0.2">
      <c r="B166" s="2252" t="str">
        <f t="shared" si="2"/>
        <v>Destrucción92</v>
      </c>
      <c r="C166" s="1183"/>
      <c r="D166" s="1184" t="s">
        <v>5452</v>
      </c>
      <c r="E166" s="1175" t="s">
        <v>2037</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4930</v>
      </c>
      <c r="W166" s="1181" t="s">
        <v>5141</v>
      </c>
      <c r="X166" s="1181" t="s">
        <v>5453</v>
      </c>
      <c r="Y166" s="1181" t="s">
        <v>5230</v>
      </c>
      <c r="Z166" s="1182" t="s">
        <v>5454</v>
      </c>
    </row>
    <row r="167" spans="2:26" ht="12.75" customHeight="1" x14ac:dyDescent="0.2">
      <c r="B167" s="2252" t="str">
        <f t="shared" si="2"/>
        <v>Destrucción96</v>
      </c>
      <c r="C167" s="1183"/>
      <c r="D167" s="1184" t="s">
        <v>5455</v>
      </c>
      <c r="E167" s="1175" t="s">
        <v>2037</v>
      </c>
      <c r="F167" s="1175">
        <v>96</v>
      </c>
      <c r="G167" s="1190" t="s">
        <v>1693</v>
      </c>
      <c r="H167" s="1190" t="s">
        <v>4718</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5456</v>
      </c>
      <c r="W167" s="1181" t="s">
        <v>5457</v>
      </c>
      <c r="X167" s="1181" t="s">
        <v>5458</v>
      </c>
      <c r="Y167" s="1181" t="s">
        <v>5459</v>
      </c>
      <c r="Z167" s="1182" t="s">
        <v>5460</v>
      </c>
    </row>
    <row r="168" spans="2:26" ht="12.75" customHeight="1" x14ac:dyDescent="0.2">
      <c r="B168" s="2252" t="str">
        <f t="shared" si="2"/>
        <v>Destrucción98</v>
      </c>
      <c r="C168" s="1183"/>
      <c r="D168" s="1184" t="s">
        <v>416</v>
      </c>
      <c r="E168" s="1175" t="s">
        <v>2037</v>
      </c>
      <c r="F168" s="1175">
        <v>98</v>
      </c>
      <c r="G168" s="1190" t="s">
        <v>3143</v>
      </c>
      <c r="H168" s="1190" t="s">
        <v>4718</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5461</v>
      </c>
      <c r="W168" s="1181" t="s">
        <v>5462</v>
      </c>
      <c r="X168" s="1181" t="s">
        <v>5463</v>
      </c>
      <c r="Y168" s="1181" t="s">
        <v>5464</v>
      </c>
      <c r="Z168" s="1182" t="s">
        <v>5465</v>
      </c>
    </row>
    <row r="169" spans="2:26" ht="12.75" customHeight="1" x14ac:dyDescent="0.2">
      <c r="B169" s="2252" t="str">
        <f t="shared" si="2"/>
        <v>Destrucción100</v>
      </c>
      <c r="C169" s="1183"/>
      <c r="D169" s="1184" t="s">
        <v>417</v>
      </c>
      <c r="E169" s="1175" t="s">
        <v>2037</v>
      </c>
      <c r="F169" s="1175">
        <v>100</v>
      </c>
      <c r="G169" s="1190" t="s">
        <v>1693</v>
      </c>
      <c r="H169" s="1190" t="s">
        <v>4718</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5157</v>
      </c>
      <c r="W169" s="1181" t="s">
        <v>5031</v>
      </c>
      <c r="X169" s="1181" t="s">
        <v>5032</v>
      </c>
      <c r="Y169" s="1181" t="s">
        <v>5033</v>
      </c>
      <c r="Z169" s="1182" t="s">
        <v>5466</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5467</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5468</v>
      </c>
      <c r="W171" s="1181" t="s">
        <v>5469</v>
      </c>
      <c r="X171" s="1181" t="s">
        <v>5470</v>
      </c>
      <c r="Y171" s="1181" t="s">
        <v>5471</v>
      </c>
      <c r="Z171" s="1182" t="s">
        <v>5472</v>
      </c>
    </row>
    <row r="172" spans="2:26" ht="12.75" customHeight="1" x14ac:dyDescent="0.2">
      <c r="B172" s="2252" t="str">
        <f t="shared" si="2"/>
        <v>Aire6</v>
      </c>
      <c r="C172" s="1183"/>
      <c r="D172" s="1184" t="s">
        <v>420</v>
      </c>
      <c r="E172" s="1175" t="s">
        <v>1931</v>
      </c>
      <c r="F172" s="1175">
        <v>6</v>
      </c>
      <c r="G172" s="1190" t="s">
        <v>2549</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5473</v>
      </c>
      <c r="W172" s="1181" t="s">
        <v>5474</v>
      </c>
      <c r="X172" s="1181" t="s">
        <v>5475</v>
      </c>
      <c r="Y172" s="1181" t="s">
        <v>5476</v>
      </c>
      <c r="Z172" s="1182" t="s">
        <v>5477</v>
      </c>
    </row>
    <row r="173" spans="2:26" ht="12.75" customHeight="1" x14ac:dyDescent="0.2">
      <c r="B173" s="2252" t="str">
        <f t="shared" si="2"/>
        <v>Aire10</v>
      </c>
      <c r="C173" s="1183"/>
      <c r="D173" s="1184" t="s">
        <v>5478</v>
      </c>
      <c r="E173" s="1175" t="s">
        <v>1931</v>
      </c>
      <c r="F173" s="1175">
        <v>10</v>
      </c>
      <c r="G173" s="1190" t="s">
        <v>2549</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5479</v>
      </c>
      <c r="W173" s="1181" t="s">
        <v>5480</v>
      </c>
      <c r="X173" s="1181" t="s">
        <v>5481</v>
      </c>
      <c r="Y173" s="1181" t="s">
        <v>5482</v>
      </c>
      <c r="Z173" s="1182" t="s">
        <v>5483</v>
      </c>
    </row>
    <row r="174" spans="2:26" ht="12.75" customHeight="1" x14ac:dyDescent="0.2">
      <c r="B174" s="2252" t="str">
        <f t="shared" si="2"/>
        <v>Aire12</v>
      </c>
      <c r="C174" s="1183"/>
      <c r="D174" s="1184" t="s">
        <v>5484</v>
      </c>
      <c r="E174" s="1175" t="s">
        <v>1931</v>
      </c>
      <c r="F174" s="1175">
        <v>12</v>
      </c>
      <c r="G174" s="1190" t="s">
        <v>2549</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5485</v>
      </c>
      <c r="W174" s="1181" t="s">
        <v>5486</v>
      </c>
      <c r="X174" s="1181" t="s">
        <v>5487</v>
      </c>
      <c r="Y174" s="1181" t="s">
        <v>5488</v>
      </c>
      <c r="Z174" s="1182" t="s">
        <v>5489</v>
      </c>
    </row>
    <row r="175" spans="2:26" ht="12.75" customHeight="1" x14ac:dyDescent="0.2">
      <c r="B175" s="2252" t="str">
        <f t="shared" si="2"/>
        <v>Aire16</v>
      </c>
      <c r="C175" s="1183"/>
      <c r="D175" s="1184" t="s">
        <v>5490</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5485</v>
      </c>
      <c r="W175" s="1181" t="s">
        <v>5491</v>
      </c>
      <c r="X175" s="1181" t="s">
        <v>5492</v>
      </c>
      <c r="Y175" s="1181" t="s">
        <v>5493</v>
      </c>
      <c r="Z175" s="1182" t="s">
        <v>5494</v>
      </c>
    </row>
    <row r="176" spans="2:26" ht="12.75" customHeight="1" x14ac:dyDescent="0.2">
      <c r="B176" s="2252" t="str">
        <f t="shared" si="2"/>
        <v>Aire20</v>
      </c>
      <c r="C176" s="1183"/>
      <c r="D176" s="1184" t="s">
        <v>5495</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5496</v>
      </c>
      <c r="W176" s="1181" t="s">
        <v>5497</v>
      </c>
      <c r="X176" s="1181" t="s">
        <v>5498</v>
      </c>
      <c r="Y176" s="1181" t="s">
        <v>5499</v>
      </c>
      <c r="Z176" s="1182" t="s">
        <v>5500</v>
      </c>
    </row>
    <row r="177" spans="2:26" ht="12.75" customHeight="1" x14ac:dyDescent="0.2">
      <c r="B177" s="2252" t="str">
        <f t="shared" si="2"/>
        <v>Aire22</v>
      </c>
      <c r="C177" s="1183"/>
      <c r="D177" s="1184" t="s">
        <v>5501</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5502</v>
      </c>
      <c r="W177" s="1181" t="s">
        <v>5503</v>
      </c>
      <c r="X177" s="1181" t="s">
        <v>5504</v>
      </c>
      <c r="Y177" s="1181" t="s">
        <v>5505</v>
      </c>
      <c r="Z177" s="1182" t="s">
        <v>5506</v>
      </c>
    </row>
    <row r="178" spans="2:26" ht="12.75" customHeight="1" x14ac:dyDescent="0.2">
      <c r="B178" s="2252" t="str">
        <f t="shared" si="2"/>
        <v>Aire26</v>
      </c>
      <c r="C178" s="1183"/>
      <c r="D178" s="1184" t="s">
        <v>5507</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5508</v>
      </c>
      <c r="W178" s="1181" t="s">
        <v>5509</v>
      </c>
      <c r="X178" s="1181" t="s">
        <v>5510</v>
      </c>
      <c r="Y178" s="1181" t="s">
        <v>5511</v>
      </c>
      <c r="Z178" s="1182" t="s">
        <v>5512</v>
      </c>
    </row>
    <row r="179" spans="2:26" ht="12.75" customHeight="1" x14ac:dyDescent="0.2">
      <c r="B179" s="2252" t="str">
        <f t="shared" si="2"/>
        <v>Aire30</v>
      </c>
      <c r="C179" s="1183"/>
      <c r="D179" s="1184" t="s">
        <v>427</v>
      </c>
      <c r="E179" s="1175" t="s">
        <v>1931</v>
      </c>
      <c r="F179" s="1175">
        <v>30</v>
      </c>
      <c r="G179" s="1190" t="s">
        <v>2549</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5513</v>
      </c>
      <c r="W179" s="1181" t="s">
        <v>5514</v>
      </c>
      <c r="X179" s="1181" t="s">
        <v>5515</v>
      </c>
      <c r="Y179" s="1181" t="s">
        <v>5516</v>
      </c>
      <c r="Z179" s="1182" t="s">
        <v>5517</v>
      </c>
    </row>
    <row r="180" spans="2:26" ht="12.75" customHeight="1" x14ac:dyDescent="0.2">
      <c r="B180" s="2252" t="str">
        <f t="shared" si="2"/>
        <v>Aire32</v>
      </c>
      <c r="C180" s="1183"/>
      <c r="D180" s="1184" t="s">
        <v>5518</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5519</v>
      </c>
      <c r="W180" s="1181" t="s">
        <v>5520</v>
      </c>
      <c r="X180" s="1181" t="s">
        <v>5521</v>
      </c>
      <c r="Y180" s="1181" t="s">
        <v>5522</v>
      </c>
      <c r="Z180" s="1182" t="s">
        <v>5523</v>
      </c>
    </row>
    <row r="181" spans="2:26" ht="12.75" customHeight="1" x14ac:dyDescent="0.2">
      <c r="B181" s="2252" t="str">
        <f t="shared" si="2"/>
        <v>Aire36</v>
      </c>
      <c r="C181" s="1183"/>
      <c r="D181" s="1184" t="s">
        <v>429</v>
      </c>
      <c r="E181" s="1175" t="s">
        <v>1931</v>
      </c>
      <c r="F181" s="1175">
        <v>36</v>
      </c>
      <c r="G181" s="1190" t="s">
        <v>2549</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5524</v>
      </c>
      <c r="W181" s="1181" t="s">
        <v>5525</v>
      </c>
      <c r="X181" s="1181" t="s">
        <v>5526</v>
      </c>
      <c r="Y181" s="1181" t="s">
        <v>5527</v>
      </c>
      <c r="Z181" s="1182" t="s">
        <v>5528</v>
      </c>
    </row>
    <row r="182" spans="2:26" ht="12.75" customHeight="1" x14ac:dyDescent="0.2">
      <c r="B182" s="2252" t="str">
        <f t="shared" si="2"/>
        <v>Aire40</v>
      </c>
      <c r="C182" s="1183"/>
      <c r="D182" s="1184" t="s">
        <v>5529</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5530</v>
      </c>
      <c r="W182" s="1181" t="s">
        <v>5531</v>
      </c>
      <c r="X182" s="1181" t="s">
        <v>5532</v>
      </c>
      <c r="Y182" s="1181" t="s">
        <v>5533</v>
      </c>
      <c r="Z182" s="1182" t="s">
        <v>5534</v>
      </c>
    </row>
    <row r="183" spans="2:26" ht="12.75" customHeight="1" x14ac:dyDescent="0.2">
      <c r="B183" s="2252" t="str">
        <f t="shared" si="2"/>
        <v>Aire42</v>
      </c>
      <c r="C183" s="1183"/>
      <c r="D183" s="1184" t="s">
        <v>431</v>
      </c>
      <c r="E183" s="1175" t="s">
        <v>1931</v>
      </c>
      <c r="F183" s="1175">
        <v>42</v>
      </c>
      <c r="G183" s="1190" t="s">
        <v>2549</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5535</v>
      </c>
      <c r="W183" s="1181" t="s">
        <v>5536</v>
      </c>
      <c r="X183" s="1181" t="s">
        <v>5537</v>
      </c>
      <c r="Y183" s="1181" t="s">
        <v>5492</v>
      </c>
      <c r="Z183" s="1182" t="s">
        <v>5538</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5539</v>
      </c>
      <c r="W184" s="1181" t="s">
        <v>5540</v>
      </c>
      <c r="X184" s="1181" t="s">
        <v>5541</v>
      </c>
      <c r="Y184" s="1181" t="s">
        <v>5542</v>
      </c>
      <c r="Z184" s="1182" t="s">
        <v>5543</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5544</v>
      </c>
      <c r="W185" s="1181" t="s">
        <v>5545</v>
      </c>
      <c r="X185" s="1181" t="s">
        <v>5546</v>
      </c>
      <c r="Y185" s="1181" t="s">
        <v>4918</v>
      </c>
      <c r="Z185" s="1182" t="s">
        <v>5547</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5548</v>
      </c>
      <c r="W186" s="1181" t="s">
        <v>5549</v>
      </c>
      <c r="X186" s="1181" t="s">
        <v>5550</v>
      </c>
      <c r="Y186" s="1181" t="s">
        <v>5551</v>
      </c>
      <c r="Z186" s="1182" t="s">
        <v>5552</v>
      </c>
    </row>
    <row r="187" spans="2:26" ht="12.75" customHeight="1" x14ac:dyDescent="0.2">
      <c r="B187" s="2252" t="str">
        <f t="shared" si="2"/>
        <v>Aire56</v>
      </c>
      <c r="C187" s="1183"/>
      <c r="D187" s="1189" t="s">
        <v>5553</v>
      </c>
      <c r="E187" s="1179" t="s">
        <v>1931</v>
      </c>
      <c r="F187" s="1179">
        <v>56</v>
      </c>
      <c r="G187" s="1190" t="s">
        <v>1693</v>
      </c>
      <c r="H187" s="1190" t="s">
        <v>5554</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5555</v>
      </c>
      <c r="W187" s="1181" t="s">
        <v>5556</v>
      </c>
      <c r="X187" s="1181" t="s">
        <v>5557</v>
      </c>
      <c r="Y187" s="1181" t="s">
        <v>5558</v>
      </c>
      <c r="Z187" s="1182" t="s">
        <v>5559</v>
      </c>
    </row>
    <row r="188" spans="2:26" ht="12.75" customHeight="1" x14ac:dyDescent="0.2">
      <c r="B188" s="2252" t="str">
        <f t="shared" si="2"/>
        <v>Aire60</v>
      </c>
      <c r="C188" s="1183"/>
      <c r="D188" s="1189" t="s">
        <v>5560</v>
      </c>
      <c r="E188" s="1179" t="s">
        <v>1931</v>
      </c>
      <c r="F188" s="1179">
        <v>60</v>
      </c>
      <c r="G188" s="1190" t="s">
        <v>1693</v>
      </c>
      <c r="H188" s="1190" t="s">
        <v>5554</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5561</v>
      </c>
      <c r="W188" s="1181" t="s">
        <v>5562</v>
      </c>
      <c r="X188" s="1181" t="s">
        <v>5563</v>
      </c>
      <c r="Y188" s="1181" t="s">
        <v>5564</v>
      </c>
      <c r="Z188" s="1182" t="s">
        <v>5565</v>
      </c>
    </row>
    <row r="189" spans="2:26" ht="12.75" customHeight="1" x14ac:dyDescent="0.2">
      <c r="B189" s="2252" t="str">
        <f t="shared" si="2"/>
        <v>Aire62</v>
      </c>
      <c r="C189" s="1183"/>
      <c r="D189" s="1189" t="s">
        <v>5566</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5567</v>
      </c>
      <c r="W189" s="1181" t="s">
        <v>5568</v>
      </c>
      <c r="X189" s="1181" t="s">
        <v>5569</v>
      </c>
      <c r="Y189" s="1181" t="s">
        <v>5570</v>
      </c>
      <c r="Z189" s="1182" t="s">
        <v>5571</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5572</v>
      </c>
      <c r="W190" s="1181" t="s">
        <v>5573</v>
      </c>
      <c r="X190" s="1181" t="s">
        <v>5574</v>
      </c>
      <c r="Y190" s="1181" t="s">
        <v>5575</v>
      </c>
      <c r="Z190" s="1182" t="s">
        <v>5576</v>
      </c>
    </row>
    <row r="191" spans="2:26" ht="12.75" customHeight="1" x14ac:dyDescent="0.2">
      <c r="B191" s="2252" t="str">
        <f t="shared" si="2"/>
        <v>Aire70</v>
      </c>
      <c r="C191" s="1183"/>
      <c r="D191" s="1189" t="s">
        <v>439</v>
      </c>
      <c r="E191" s="1179" t="s">
        <v>1931</v>
      </c>
      <c r="F191" s="1179">
        <v>70</v>
      </c>
      <c r="G191" s="1190" t="s">
        <v>2549</v>
      </c>
      <c r="H191" s="1190" t="s">
        <v>5554</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5577</v>
      </c>
      <c r="W191" s="1181" t="s">
        <v>5578</v>
      </c>
      <c r="X191" s="1181" t="s">
        <v>5579</v>
      </c>
      <c r="Y191" s="1181" t="s">
        <v>5580</v>
      </c>
      <c r="Z191" s="1182" t="s">
        <v>5581</v>
      </c>
    </row>
    <row r="192" spans="2:26" ht="12.75" customHeight="1" x14ac:dyDescent="0.2">
      <c r="B192" s="2252" t="str">
        <f t="shared" si="2"/>
        <v>Aire72</v>
      </c>
      <c r="C192" s="1183"/>
      <c r="D192" s="1189" t="s">
        <v>440</v>
      </c>
      <c r="E192" s="1179" t="s">
        <v>1931</v>
      </c>
      <c r="F192" s="1179">
        <v>72</v>
      </c>
      <c r="G192" s="1190" t="s">
        <v>1693</v>
      </c>
      <c r="H192" s="1190" t="s">
        <v>5582</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5583</v>
      </c>
      <c r="W192" s="1181" t="s">
        <v>5584</v>
      </c>
      <c r="X192" s="1181" t="s">
        <v>5585</v>
      </c>
      <c r="Y192" s="1181" t="s">
        <v>5586</v>
      </c>
      <c r="Z192" s="1182" t="s">
        <v>5587</v>
      </c>
    </row>
    <row r="193" spans="2:26" ht="12.75" customHeight="1" x14ac:dyDescent="0.2">
      <c r="B193" s="2252" t="str">
        <f t="shared" si="2"/>
        <v>Aire76</v>
      </c>
      <c r="C193" s="1183"/>
      <c r="D193" s="1189" t="s">
        <v>5588</v>
      </c>
      <c r="E193" s="1179" t="s">
        <v>1931</v>
      </c>
      <c r="F193" s="1179">
        <v>76</v>
      </c>
      <c r="G193" s="1190" t="s">
        <v>1693</v>
      </c>
      <c r="H193" s="1190" t="s">
        <v>5589</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5590</v>
      </c>
      <c r="W193" s="1181" t="s">
        <v>5591</v>
      </c>
      <c r="X193" s="1181" t="s">
        <v>5592</v>
      </c>
      <c r="Y193" s="1181" t="s">
        <v>5593</v>
      </c>
      <c r="Z193" s="1182" t="s">
        <v>5594</v>
      </c>
    </row>
    <row r="194" spans="2:26" ht="12.75" customHeight="1" x14ac:dyDescent="0.2">
      <c r="B194" s="2252" t="str">
        <f t="shared" si="2"/>
        <v>Aire80</v>
      </c>
      <c r="C194" s="1183"/>
      <c r="D194" s="1189" t="s">
        <v>5595</v>
      </c>
      <c r="E194" s="1179" t="s">
        <v>1931</v>
      </c>
      <c r="F194" s="1179">
        <v>80</v>
      </c>
      <c r="G194" s="1190" t="s">
        <v>2549</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5596</v>
      </c>
      <c r="W194" s="1181" t="s">
        <v>5597</v>
      </c>
      <c r="X194" s="1181" t="s">
        <v>5598</v>
      </c>
      <c r="Y194" s="1181" t="s">
        <v>5599</v>
      </c>
      <c r="Z194" s="1182" t="s">
        <v>5600</v>
      </c>
    </row>
    <row r="195" spans="2:26" ht="12.75" customHeight="1" x14ac:dyDescent="0.2">
      <c r="B195" s="2252" t="str">
        <f t="shared" si="2"/>
        <v>Aire82</v>
      </c>
      <c r="C195" s="1183"/>
      <c r="D195" s="1189" t="s">
        <v>5601</v>
      </c>
      <c r="E195" s="1179" t="s">
        <v>1931</v>
      </c>
      <c r="F195" s="1179">
        <v>82</v>
      </c>
      <c r="G195" s="1190" t="s">
        <v>2549</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4872</v>
      </c>
      <c r="W195" s="1181" t="s">
        <v>4873</v>
      </c>
      <c r="X195" s="1181" t="s">
        <v>4874</v>
      </c>
      <c r="Y195" s="1181" t="s">
        <v>4875</v>
      </c>
      <c r="Z195" s="1182" t="s">
        <v>5602</v>
      </c>
    </row>
    <row r="196" spans="2:26" ht="12.75" customHeight="1" x14ac:dyDescent="0.2">
      <c r="B196" s="2252" t="str">
        <f t="shared" si="2"/>
        <v>Aire86</v>
      </c>
      <c r="C196" s="1183"/>
      <c r="D196" s="1189" t="s">
        <v>5603</v>
      </c>
      <c r="E196" s="1179" t="s">
        <v>1931</v>
      </c>
      <c r="F196" s="1179">
        <v>86</v>
      </c>
      <c r="G196" s="1190" t="s">
        <v>2549</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5604</v>
      </c>
      <c r="W196" s="1181" t="s">
        <v>5605</v>
      </c>
      <c r="X196" s="1181" t="s">
        <v>5606</v>
      </c>
      <c r="Y196" s="1181" t="s">
        <v>5607</v>
      </c>
      <c r="Z196" s="1182" t="s">
        <v>5608</v>
      </c>
    </row>
    <row r="197" spans="2:26" ht="12.75" customHeight="1" x14ac:dyDescent="0.2">
      <c r="B197" s="2252" t="str">
        <f t="shared" si="2"/>
        <v>Aire90</v>
      </c>
      <c r="C197" s="1183"/>
      <c r="D197" s="1189" t="s">
        <v>5609</v>
      </c>
      <c r="E197" s="1179" t="s">
        <v>1931</v>
      </c>
      <c r="F197" s="1179">
        <v>90</v>
      </c>
      <c r="G197" s="1190" t="s">
        <v>2549</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5610</v>
      </c>
      <c r="W197" s="1181" t="s">
        <v>5611</v>
      </c>
      <c r="X197" s="1181" t="s">
        <v>5612</v>
      </c>
      <c r="Y197" s="1181" t="s">
        <v>5613</v>
      </c>
      <c r="Z197" s="1182" t="s">
        <v>5614</v>
      </c>
    </row>
    <row r="198" spans="2:26" ht="12.75" customHeight="1" x14ac:dyDescent="0.2">
      <c r="B198" s="2252" t="str">
        <f t="shared" si="2"/>
        <v>Aire92</v>
      </c>
      <c r="C198" s="1183"/>
      <c r="D198" s="1189" t="s">
        <v>5615</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5616</v>
      </c>
      <c r="W198" s="1181" t="s">
        <v>5054</v>
      </c>
      <c r="X198" s="1181" t="s">
        <v>5055</v>
      </c>
      <c r="Y198" s="1181" t="s">
        <v>5056</v>
      </c>
      <c r="Z198" s="1182" t="s">
        <v>5617</v>
      </c>
    </row>
    <row r="199" spans="2:26" ht="12.75" customHeight="1" x14ac:dyDescent="0.2">
      <c r="B199" s="2252" t="str">
        <f t="shared" si="2"/>
        <v>Aire96</v>
      </c>
      <c r="C199" s="1183"/>
      <c r="D199" s="1189" t="s">
        <v>5618</v>
      </c>
      <c r="E199" s="1179" t="s">
        <v>1931</v>
      </c>
      <c r="F199" s="1179">
        <v>96</v>
      </c>
      <c r="G199" s="1190" t="s">
        <v>2549</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5619</v>
      </c>
      <c r="W199" s="1181" t="s">
        <v>5620</v>
      </c>
      <c r="X199" s="1181" t="s">
        <v>5621</v>
      </c>
      <c r="Y199" s="1181" t="s">
        <v>5622</v>
      </c>
      <c r="Z199" s="1182" t="s">
        <v>5623</v>
      </c>
    </row>
    <row r="200" spans="2:26" ht="12.75" customHeight="1" x14ac:dyDescent="0.2">
      <c r="B200" s="2252" t="str">
        <f t="shared" ref="B200:B263" si="3">E200&amp;F200</f>
        <v>Aire100</v>
      </c>
      <c r="C200" s="1183"/>
      <c r="D200" s="1189" t="s">
        <v>5624</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5625</v>
      </c>
      <c r="W200" s="1181" t="s">
        <v>5626</v>
      </c>
      <c r="X200" s="1181" t="s">
        <v>5627</v>
      </c>
      <c r="Y200" s="1181" t="s">
        <v>5628</v>
      </c>
      <c r="Z200" s="1182" t="s">
        <v>5629</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2549</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5630</v>
      </c>
      <c r="W202" s="1181" t="s">
        <v>5631</v>
      </c>
      <c r="X202" s="1181" t="s">
        <v>5632</v>
      </c>
      <c r="Y202" s="1181" t="s">
        <v>5633</v>
      </c>
      <c r="Z202" s="1182" t="s">
        <v>5634</v>
      </c>
    </row>
    <row r="203" spans="2:26" ht="12.75" customHeight="1" x14ac:dyDescent="0.2">
      <c r="B203" s="2252" t="str">
        <f t="shared" si="3"/>
        <v>Agua6</v>
      </c>
      <c r="C203" s="1183"/>
      <c r="D203" s="1189" t="s">
        <v>5635</v>
      </c>
      <c r="E203" s="1179" t="s">
        <v>1934</v>
      </c>
      <c r="F203" s="1179">
        <v>6</v>
      </c>
      <c r="G203" s="1190" t="s">
        <v>2549</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5636</v>
      </c>
      <c r="W203" s="1181" t="s">
        <v>5637</v>
      </c>
      <c r="X203" s="1181" t="s">
        <v>5638</v>
      </c>
      <c r="Y203" s="1181" t="s">
        <v>5639</v>
      </c>
      <c r="Z203" s="1182" t="s">
        <v>5640</v>
      </c>
    </row>
    <row r="204" spans="2:26" ht="12.75" customHeight="1" x14ac:dyDescent="0.2">
      <c r="B204" s="2252" t="str">
        <f t="shared" si="3"/>
        <v>Agua10</v>
      </c>
      <c r="C204" s="1183"/>
      <c r="D204" s="1189" t="s">
        <v>5641</v>
      </c>
      <c r="E204" s="1179" t="s">
        <v>1934</v>
      </c>
      <c r="F204" s="1179">
        <v>10</v>
      </c>
      <c r="G204" s="1190" t="s">
        <v>2549</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5642</v>
      </c>
      <c r="W204" s="1181" t="s">
        <v>5643</v>
      </c>
      <c r="X204" s="1181" t="s">
        <v>5644</v>
      </c>
      <c r="Y204" s="1181" t="s">
        <v>5645</v>
      </c>
      <c r="Z204" s="1182" t="s">
        <v>5646</v>
      </c>
    </row>
    <row r="205" spans="2:26" ht="12.75" customHeight="1" x14ac:dyDescent="0.2">
      <c r="B205" s="2252" t="str">
        <f t="shared" si="3"/>
        <v>Agua12</v>
      </c>
      <c r="C205" s="1183"/>
      <c r="D205" s="1189" t="s">
        <v>5647</v>
      </c>
      <c r="E205" s="1179" t="s">
        <v>1934</v>
      </c>
      <c r="F205" s="1179">
        <v>12</v>
      </c>
      <c r="G205" s="1190" t="s">
        <v>2549</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5648</v>
      </c>
      <c r="W205" s="1181" t="s">
        <v>5649</v>
      </c>
      <c r="X205" s="1181" t="s">
        <v>5650</v>
      </c>
      <c r="Y205" s="1181" t="s">
        <v>5651</v>
      </c>
      <c r="Z205" s="1182" t="s">
        <v>5652</v>
      </c>
    </row>
    <row r="206" spans="2:26" ht="12.75" customHeight="1" x14ac:dyDescent="0.2">
      <c r="B206" s="2252" t="str">
        <f t="shared" si="3"/>
        <v>Agua16</v>
      </c>
      <c r="C206" s="1183"/>
      <c r="D206" s="1189" t="s">
        <v>5653</v>
      </c>
      <c r="E206" s="1179" t="s">
        <v>1934</v>
      </c>
      <c r="F206" s="1179">
        <v>16</v>
      </c>
      <c r="G206" s="1190" t="s">
        <v>2549</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5654</v>
      </c>
      <c r="W206" s="1181" t="s">
        <v>5655</v>
      </c>
      <c r="X206" s="1181" t="s">
        <v>5656</v>
      </c>
      <c r="Y206" s="1181" t="s">
        <v>5657</v>
      </c>
      <c r="Z206" s="1182" t="s">
        <v>5658</v>
      </c>
    </row>
    <row r="207" spans="2:26" ht="12.75" customHeight="1" x14ac:dyDescent="0.2">
      <c r="B207" s="2252" t="str">
        <f t="shared" si="3"/>
        <v>Agua20</v>
      </c>
      <c r="C207" s="1183"/>
      <c r="D207" s="1189" t="s">
        <v>5659</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5660</v>
      </c>
      <c r="W207" s="1181" t="s">
        <v>5661</v>
      </c>
      <c r="X207" s="1181" t="s">
        <v>5662</v>
      </c>
      <c r="Y207" s="1181" t="s">
        <v>5663</v>
      </c>
      <c r="Z207" s="1182" t="s">
        <v>5664</v>
      </c>
    </row>
    <row r="208" spans="2:26" ht="12.75" customHeight="1" x14ac:dyDescent="0.2">
      <c r="B208" s="2252" t="str">
        <f t="shared" si="3"/>
        <v>Agua22</v>
      </c>
      <c r="C208" s="1183"/>
      <c r="D208" s="1189" t="s">
        <v>5665</v>
      </c>
      <c r="E208" s="1179" t="s">
        <v>1934</v>
      </c>
      <c r="F208" s="1179">
        <v>22</v>
      </c>
      <c r="G208" s="1190" t="s">
        <v>2549</v>
      </c>
      <c r="H208" s="1190" t="s">
        <v>5666</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5667</v>
      </c>
      <c r="W208" s="1181" t="s">
        <v>5668</v>
      </c>
      <c r="X208" s="1181" t="s">
        <v>5669</v>
      </c>
      <c r="Y208" s="1181" t="s">
        <v>5670</v>
      </c>
      <c r="Z208" s="1182" t="s">
        <v>5671</v>
      </c>
    </row>
    <row r="209" spans="2:26" ht="12.75" customHeight="1" x14ac:dyDescent="0.2">
      <c r="B209" s="2252" t="str">
        <f t="shared" si="3"/>
        <v>Agua26</v>
      </c>
      <c r="C209" s="1183"/>
      <c r="D209" s="1189" t="s">
        <v>5672</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5673</v>
      </c>
      <c r="W209" s="1181" t="s">
        <v>5674</v>
      </c>
      <c r="X209" s="1181" t="s">
        <v>5675</v>
      </c>
      <c r="Y209" s="1181" t="s">
        <v>5676</v>
      </c>
      <c r="Z209" s="1182" t="s">
        <v>5677</v>
      </c>
    </row>
    <row r="210" spans="2:26" ht="12.75" customHeight="1" x14ac:dyDescent="0.2">
      <c r="B210" s="2252" t="str">
        <f t="shared" si="3"/>
        <v>Agua30</v>
      </c>
      <c r="C210" s="1183"/>
      <c r="D210" s="1189" t="s">
        <v>5678</v>
      </c>
      <c r="E210" s="1179" t="s">
        <v>1934</v>
      </c>
      <c r="F210" s="1179">
        <v>30</v>
      </c>
      <c r="G210" s="1190" t="s">
        <v>2549</v>
      </c>
      <c r="H210" s="1190" t="s">
        <v>5666</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5679</v>
      </c>
      <c r="W210" s="1181" t="s">
        <v>5680</v>
      </c>
      <c r="X210" s="1181" t="s">
        <v>5681</v>
      </c>
      <c r="Y210" s="1181" t="s">
        <v>5682</v>
      </c>
      <c r="Z210" s="1182" t="s">
        <v>5683</v>
      </c>
    </row>
    <row r="211" spans="2:26" ht="12.75" customHeight="1" x14ac:dyDescent="0.2">
      <c r="B211" s="2252" t="str">
        <f t="shared" si="3"/>
        <v>Agua32</v>
      </c>
      <c r="C211" s="1183"/>
      <c r="D211" s="1189" t="s">
        <v>459</v>
      </c>
      <c r="E211" s="1179" t="s">
        <v>1934</v>
      </c>
      <c r="F211" s="1179">
        <v>32</v>
      </c>
      <c r="G211" s="1190" t="s">
        <v>2549</v>
      </c>
      <c r="H211" s="1190" t="s">
        <v>5666</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5684</v>
      </c>
      <c r="W211" s="1181" t="s">
        <v>5685</v>
      </c>
      <c r="X211" s="1181" t="s">
        <v>5686</v>
      </c>
      <c r="Y211" s="1181" t="s">
        <v>5687</v>
      </c>
      <c r="Z211" s="1182" t="s">
        <v>5688</v>
      </c>
    </row>
    <row r="212" spans="2:26" ht="12.75" customHeight="1" x14ac:dyDescent="0.2">
      <c r="B212" s="2252" t="str">
        <f t="shared" si="3"/>
        <v>Agua36</v>
      </c>
      <c r="C212" s="1183"/>
      <c r="D212" s="1189" t="s">
        <v>5689</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5690</v>
      </c>
      <c r="W212" s="1181" t="s">
        <v>5691</v>
      </c>
      <c r="X212" s="1181" t="s">
        <v>5692</v>
      </c>
      <c r="Y212" s="1181" t="s">
        <v>5693</v>
      </c>
      <c r="Z212" s="1186" t="s">
        <v>5694</v>
      </c>
    </row>
    <row r="213" spans="2:26" ht="12.75" customHeight="1" x14ac:dyDescent="0.2">
      <c r="B213" s="2252" t="str">
        <f t="shared" si="3"/>
        <v>Agua40</v>
      </c>
      <c r="C213" s="1183"/>
      <c r="D213" s="1189" t="s">
        <v>5695</v>
      </c>
      <c r="E213" s="1179" t="s">
        <v>1934</v>
      </c>
      <c r="F213" s="1179">
        <v>40</v>
      </c>
      <c r="G213" s="1190" t="s">
        <v>2549</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5696</v>
      </c>
      <c r="W213" s="1181" t="s">
        <v>5697</v>
      </c>
      <c r="X213" s="1181" t="s">
        <v>5698</v>
      </c>
      <c r="Y213" s="1181" t="s">
        <v>5699</v>
      </c>
      <c r="Z213" s="1182" t="s">
        <v>5700</v>
      </c>
    </row>
    <row r="214" spans="2:26" ht="12.75" customHeight="1" x14ac:dyDescent="0.2">
      <c r="B214" s="2252" t="str">
        <f t="shared" si="3"/>
        <v>Agua42</v>
      </c>
      <c r="C214" s="1183"/>
      <c r="D214" s="1189" t="s">
        <v>5701</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5702</v>
      </c>
      <c r="W214" s="1181" t="s">
        <v>4752</v>
      </c>
      <c r="X214" s="1181" t="s">
        <v>5703</v>
      </c>
      <c r="Y214" s="1181" t="s">
        <v>5704</v>
      </c>
      <c r="Z214" s="1182" t="s">
        <v>5705</v>
      </c>
    </row>
    <row r="215" spans="2:26" ht="12.75" customHeight="1" x14ac:dyDescent="0.2">
      <c r="B215" s="2252" t="str">
        <f t="shared" si="3"/>
        <v>Agua46</v>
      </c>
      <c r="C215" s="1183"/>
      <c r="D215" s="1189" t="s">
        <v>463</v>
      </c>
      <c r="E215" s="1179" t="s">
        <v>1934</v>
      </c>
      <c r="F215" s="1179">
        <v>46</v>
      </c>
      <c r="G215" s="1190" t="s">
        <v>1693</v>
      </c>
      <c r="H215" s="1190" t="s">
        <v>5666</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5706</v>
      </c>
      <c r="W215" s="1181" t="s">
        <v>5707</v>
      </c>
      <c r="X215" s="1181" t="s">
        <v>5708</v>
      </c>
      <c r="Y215" s="1181" t="s">
        <v>5709</v>
      </c>
      <c r="Z215" s="1182" t="s">
        <v>5710</v>
      </c>
    </row>
    <row r="216" spans="2:26" ht="12.75" customHeight="1" x14ac:dyDescent="0.2">
      <c r="B216" s="2252" t="str">
        <f t="shared" si="3"/>
        <v>Agua50</v>
      </c>
      <c r="C216" s="1183"/>
      <c r="D216" s="1189" t="s">
        <v>5711</v>
      </c>
      <c r="E216" s="1179" t="s">
        <v>1934</v>
      </c>
      <c r="F216" s="1179">
        <v>50</v>
      </c>
      <c r="G216" s="1190" t="s">
        <v>1693</v>
      </c>
      <c r="H216" s="1190" t="s">
        <v>5666</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5712</v>
      </c>
      <c r="W216" s="1181" t="s">
        <v>5713</v>
      </c>
      <c r="X216" s="1181" t="s">
        <v>5714</v>
      </c>
      <c r="Y216" s="1181" t="s">
        <v>5715</v>
      </c>
      <c r="Z216" s="1182" t="s">
        <v>5716</v>
      </c>
    </row>
    <row r="217" spans="2:26" ht="12.75" customHeight="1" x14ac:dyDescent="0.2">
      <c r="B217" s="2252" t="str">
        <f t="shared" si="3"/>
        <v>Agua52</v>
      </c>
      <c r="C217" s="1183"/>
      <c r="D217" s="1189" t="s">
        <v>5717</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5718</v>
      </c>
      <c r="W217" s="1181" t="s">
        <v>5719</v>
      </c>
      <c r="X217" s="1181" t="s">
        <v>5720</v>
      </c>
      <c r="Y217" s="1181" t="s">
        <v>5721</v>
      </c>
      <c r="Z217" s="1182" t="s">
        <v>5722</v>
      </c>
    </row>
    <row r="218" spans="2:26" ht="12.75" customHeight="1" x14ac:dyDescent="0.2">
      <c r="B218" s="2252" t="str">
        <f t="shared" si="3"/>
        <v>Agua56</v>
      </c>
      <c r="C218" s="1183"/>
      <c r="D218" s="1189" t="s">
        <v>5723</v>
      </c>
      <c r="E218" s="1179" t="s">
        <v>1934</v>
      </c>
      <c r="F218" s="1179">
        <v>56</v>
      </c>
      <c r="G218" s="1190" t="s">
        <v>1693</v>
      </c>
      <c r="H218" s="1190" t="s">
        <v>5724</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5030</v>
      </c>
      <c r="W218" s="1181" t="s">
        <v>5725</v>
      </c>
      <c r="X218" s="1181" t="s">
        <v>5726</v>
      </c>
      <c r="Y218" s="1181" t="s">
        <v>4835</v>
      </c>
      <c r="Z218" s="1182" t="s">
        <v>5727</v>
      </c>
    </row>
    <row r="219" spans="2:26" ht="12.75" customHeight="1" x14ac:dyDescent="0.2">
      <c r="B219" s="2252" t="str">
        <f t="shared" si="3"/>
        <v>Agua60</v>
      </c>
      <c r="C219" s="1183"/>
      <c r="D219" s="1189" t="s">
        <v>5728</v>
      </c>
      <c r="E219" s="1179" t="s">
        <v>1934</v>
      </c>
      <c r="F219" s="1179">
        <v>60</v>
      </c>
      <c r="G219" s="1190" t="s">
        <v>1693</v>
      </c>
      <c r="H219" s="1190" t="s">
        <v>4718</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5017</v>
      </c>
      <c r="W219" s="1181" t="s">
        <v>5729</v>
      </c>
      <c r="X219" s="1181" t="s">
        <v>5730</v>
      </c>
      <c r="Y219" s="1181" t="s">
        <v>5731</v>
      </c>
      <c r="Z219" s="1182" t="s">
        <v>5732</v>
      </c>
    </row>
    <row r="220" spans="2:26" ht="12.75" customHeight="1" x14ac:dyDescent="0.2">
      <c r="B220" s="2252" t="str">
        <f t="shared" si="3"/>
        <v>Agua62</v>
      </c>
      <c r="C220" s="1183"/>
      <c r="D220" s="1189" t="s">
        <v>5733</v>
      </c>
      <c r="E220" s="1179" t="s">
        <v>1934</v>
      </c>
      <c r="F220" s="1179">
        <v>62</v>
      </c>
      <c r="G220" s="1190" t="s">
        <v>2549</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5734</v>
      </c>
      <c r="W220" s="1181" t="s">
        <v>5735</v>
      </c>
      <c r="X220" s="1181" t="s">
        <v>5736</v>
      </c>
      <c r="Y220" s="1181" t="s">
        <v>5737</v>
      </c>
      <c r="Z220" s="1182" t="s">
        <v>5738</v>
      </c>
    </row>
    <row r="221" spans="2:26" ht="12.75" customHeight="1" x14ac:dyDescent="0.2">
      <c r="B221" s="2252" t="str">
        <f t="shared" si="3"/>
        <v>Agua66</v>
      </c>
      <c r="C221" s="1183"/>
      <c r="D221" s="1189" t="s">
        <v>5739</v>
      </c>
      <c r="E221" s="1179" t="s">
        <v>1934</v>
      </c>
      <c r="F221" s="1179">
        <v>66</v>
      </c>
      <c r="G221" s="1190" t="s">
        <v>1693</v>
      </c>
      <c r="H221" s="1190" t="s">
        <v>4718</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5740</v>
      </c>
      <c r="W221" s="1181" t="s">
        <v>5741</v>
      </c>
      <c r="X221" s="1181" t="s">
        <v>5742</v>
      </c>
      <c r="Y221" s="1181" t="s">
        <v>5743</v>
      </c>
      <c r="Z221" s="1182" t="s">
        <v>5744</v>
      </c>
    </row>
    <row r="222" spans="2:26" ht="12.75" customHeight="1" x14ac:dyDescent="0.2">
      <c r="B222" s="2252" t="str">
        <f t="shared" si="3"/>
        <v>Agua70</v>
      </c>
      <c r="C222" s="1183"/>
      <c r="D222" s="1189" t="s">
        <v>470</v>
      </c>
      <c r="E222" s="1179" t="s">
        <v>1934</v>
      </c>
      <c r="F222" s="1179">
        <v>70</v>
      </c>
      <c r="G222" s="1190" t="s">
        <v>2549</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5745</v>
      </c>
      <c r="W222" s="1181" t="s">
        <v>5746</v>
      </c>
      <c r="X222" s="1181" t="s">
        <v>5747</v>
      </c>
      <c r="Y222" s="1181" t="s">
        <v>5748</v>
      </c>
      <c r="Z222" s="1182" t="s">
        <v>5749</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5750</v>
      </c>
      <c r="W223" s="1181" t="s">
        <v>5751</v>
      </c>
      <c r="X223" s="1181" t="s">
        <v>5752</v>
      </c>
      <c r="Y223" s="1181" t="s">
        <v>5753</v>
      </c>
      <c r="Z223" s="1182" t="s">
        <v>5754</v>
      </c>
    </row>
    <row r="224" spans="2:26" ht="12.75" customHeight="1" x14ac:dyDescent="0.2">
      <c r="B224" s="2252" t="str">
        <f t="shared" si="3"/>
        <v>Agua76</v>
      </c>
      <c r="C224" s="1183"/>
      <c r="D224" s="1189" t="s">
        <v>5755</v>
      </c>
      <c r="E224" s="1179" t="s">
        <v>1934</v>
      </c>
      <c r="F224" s="1179">
        <v>76</v>
      </c>
      <c r="G224" s="1190" t="s">
        <v>1693</v>
      </c>
      <c r="H224" s="1190" t="s">
        <v>4718</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5756</v>
      </c>
      <c r="W224" s="1181" t="s">
        <v>5757</v>
      </c>
      <c r="X224" s="1181" t="s">
        <v>5758</v>
      </c>
      <c r="Y224" s="1181" t="s">
        <v>5759</v>
      </c>
      <c r="Z224" s="1182" t="s">
        <v>5760</v>
      </c>
    </row>
    <row r="225" spans="2:26" ht="12.75" customHeight="1" x14ac:dyDescent="0.2">
      <c r="B225" s="2252" t="str">
        <f t="shared" si="3"/>
        <v>Agua80</v>
      </c>
      <c r="C225" s="1183"/>
      <c r="D225" s="1189" t="s">
        <v>5761</v>
      </c>
      <c r="E225" s="1179" t="s">
        <v>1934</v>
      </c>
      <c r="F225" s="1179">
        <v>80</v>
      </c>
      <c r="G225" s="1190" t="s">
        <v>1693</v>
      </c>
      <c r="H225" s="1190" t="s">
        <v>4718</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5762</v>
      </c>
      <c r="W225" s="1181" t="s">
        <v>5763</v>
      </c>
      <c r="X225" s="1181" t="s">
        <v>5764</v>
      </c>
      <c r="Y225" s="1181" t="s">
        <v>5765</v>
      </c>
      <c r="Z225" s="1182" t="s">
        <v>5766</v>
      </c>
    </row>
    <row r="226" spans="2:26" ht="12.75" customHeight="1" x14ac:dyDescent="0.2">
      <c r="B226" s="2252" t="str">
        <f t="shared" si="3"/>
        <v>Agua82</v>
      </c>
      <c r="C226" s="1183"/>
      <c r="D226" s="1189" t="s">
        <v>5767</v>
      </c>
      <c r="E226" s="1179" t="s">
        <v>1934</v>
      </c>
      <c r="F226" s="1179">
        <v>82</v>
      </c>
      <c r="G226" s="1190" t="s">
        <v>2549</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4872</v>
      </c>
      <c r="W226" s="1181" t="s">
        <v>5050</v>
      </c>
      <c r="X226" s="1181" t="s">
        <v>4874</v>
      </c>
      <c r="Y226" s="1181" t="s">
        <v>4875</v>
      </c>
      <c r="Z226" s="1182" t="s">
        <v>5768</v>
      </c>
    </row>
    <row r="227" spans="2:26" ht="12.75" customHeight="1" x14ac:dyDescent="0.2">
      <c r="B227" s="2252" t="str">
        <f t="shared" si="3"/>
        <v>Agua86</v>
      </c>
      <c r="C227" s="1183"/>
      <c r="D227" s="1189" t="s">
        <v>5769</v>
      </c>
      <c r="E227" s="1179" t="s">
        <v>1934</v>
      </c>
      <c r="F227" s="1179">
        <v>86</v>
      </c>
      <c r="G227" s="1190" t="s">
        <v>2549</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5770</v>
      </c>
      <c r="W227" s="1181" t="s">
        <v>5771</v>
      </c>
      <c r="X227" s="1181" t="s">
        <v>5772</v>
      </c>
      <c r="Y227" s="1181" t="s">
        <v>5773</v>
      </c>
      <c r="Z227" s="1182" t="s">
        <v>5774</v>
      </c>
    </row>
    <row r="228" spans="2:26" ht="12.75" customHeight="1" x14ac:dyDescent="0.2">
      <c r="B228" s="2252" t="str">
        <f t="shared" si="3"/>
        <v>Agua90</v>
      </c>
      <c r="C228" s="1183"/>
      <c r="D228" s="1189" t="s">
        <v>5775</v>
      </c>
      <c r="E228" s="1179" t="s">
        <v>1934</v>
      </c>
      <c r="F228" s="1179">
        <v>90</v>
      </c>
      <c r="G228" s="1190" t="s">
        <v>2549</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5776</v>
      </c>
      <c r="W228" s="1181" t="s">
        <v>5777</v>
      </c>
      <c r="X228" s="1181" t="s">
        <v>5778</v>
      </c>
      <c r="Y228" s="1181" t="s">
        <v>5779</v>
      </c>
      <c r="Z228" s="1182" t="s">
        <v>5780</v>
      </c>
    </row>
    <row r="229" spans="2:26" ht="12.75" customHeight="1" x14ac:dyDescent="0.2">
      <c r="B229" s="2252" t="str">
        <f t="shared" si="3"/>
        <v>Agua92</v>
      </c>
      <c r="C229" s="1183"/>
      <c r="D229" s="1189" t="s">
        <v>5781</v>
      </c>
      <c r="E229" s="1179" t="s">
        <v>1934</v>
      </c>
      <c r="F229" s="1179">
        <v>92</v>
      </c>
      <c r="G229" s="1190" t="s">
        <v>2549</v>
      </c>
      <c r="H229" s="1190" t="s">
        <v>4718</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5782</v>
      </c>
      <c r="W229" s="1181" t="s">
        <v>5783</v>
      </c>
      <c r="X229" s="1181" t="s">
        <v>5784</v>
      </c>
      <c r="Y229" s="1181" t="s">
        <v>5785</v>
      </c>
      <c r="Z229" s="1182" t="s">
        <v>5786</v>
      </c>
    </row>
    <row r="230" spans="2:26" ht="12.75" customHeight="1" x14ac:dyDescent="0.2">
      <c r="B230" s="2252" t="str">
        <f t="shared" si="3"/>
        <v>Agua96</v>
      </c>
      <c r="C230" s="1183"/>
      <c r="D230" s="1189" t="s">
        <v>5787</v>
      </c>
      <c r="E230" s="1179" t="s">
        <v>1934</v>
      </c>
      <c r="F230" s="1179">
        <v>96</v>
      </c>
      <c r="G230" s="1190" t="s">
        <v>2549</v>
      </c>
      <c r="H230" s="1190" t="s">
        <v>4718</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5782</v>
      </c>
      <c r="W230" s="1181" t="s">
        <v>5783</v>
      </c>
      <c r="X230" s="1181" t="s">
        <v>5784</v>
      </c>
      <c r="Y230" s="1181" t="s">
        <v>5788</v>
      </c>
      <c r="Z230" s="1182" t="s">
        <v>5789</v>
      </c>
    </row>
    <row r="231" spans="2:26" ht="12.75" customHeight="1" x14ac:dyDescent="0.2">
      <c r="B231" s="2252" t="str">
        <f t="shared" si="3"/>
        <v>Agua100</v>
      </c>
      <c r="C231" s="1183"/>
      <c r="D231" s="1189" t="s">
        <v>5790</v>
      </c>
      <c r="E231" s="1179" t="s">
        <v>1934</v>
      </c>
      <c r="F231" s="1179">
        <v>100</v>
      </c>
      <c r="G231" s="1190" t="s">
        <v>2549</v>
      </c>
      <c r="H231" s="1190" t="s">
        <v>4718</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5030</v>
      </c>
      <c r="W231" s="1181" t="s">
        <v>5726</v>
      </c>
      <c r="X231" s="1181" t="s">
        <v>4835</v>
      </c>
      <c r="Y231" s="1181" t="s">
        <v>4836</v>
      </c>
      <c r="Z231" s="1182" t="s">
        <v>5791</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5792</v>
      </c>
      <c r="E233" s="1179" t="s">
        <v>1938</v>
      </c>
      <c r="F233" s="1179">
        <v>2</v>
      </c>
      <c r="G233" s="1190" t="s">
        <v>2549</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5793</v>
      </c>
      <c r="W233" s="1181" t="s">
        <v>5794</v>
      </c>
      <c r="X233" s="1181" t="s">
        <v>5795</v>
      </c>
      <c r="Y233" s="1181" t="s">
        <v>5796</v>
      </c>
      <c r="Z233" s="1182" t="s">
        <v>5797</v>
      </c>
    </row>
    <row r="234" spans="2:26" ht="12.75" customHeight="1" x14ac:dyDescent="0.2">
      <c r="B234" s="2252" t="str">
        <f t="shared" si="3"/>
        <v>Fuego6</v>
      </c>
      <c r="C234" s="1183"/>
      <c r="D234" s="1189" t="s">
        <v>5798</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5799</v>
      </c>
      <c r="W234" s="1181" t="s">
        <v>5800</v>
      </c>
      <c r="X234" s="1181" t="s">
        <v>5801</v>
      </c>
      <c r="Y234" s="1181" t="s">
        <v>5802</v>
      </c>
      <c r="Z234" s="1182" t="s">
        <v>5803</v>
      </c>
    </row>
    <row r="235" spans="2:26" ht="12.75" customHeight="1" x14ac:dyDescent="0.2">
      <c r="B235" s="2252" t="str">
        <f t="shared" si="3"/>
        <v>Fuego10</v>
      </c>
      <c r="C235" s="1183"/>
      <c r="D235" s="1189" t="s">
        <v>5804</v>
      </c>
      <c r="E235" s="1179" t="s">
        <v>1938</v>
      </c>
      <c r="F235" s="1179">
        <v>10</v>
      </c>
      <c r="G235" s="1190" t="s">
        <v>2549</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5805</v>
      </c>
      <c r="W235" s="1181" t="s">
        <v>5806</v>
      </c>
      <c r="X235" s="1181" t="s">
        <v>5807</v>
      </c>
      <c r="Y235" s="1181" t="s">
        <v>5808</v>
      </c>
      <c r="Z235" s="1182" t="s">
        <v>5809</v>
      </c>
    </row>
    <row r="236" spans="2:26" ht="12.75" customHeight="1" x14ac:dyDescent="0.2">
      <c r="B236" s="2252" t="str">
        <f t="shared" si="3"/>
        <v>Fuego12</v>
      </c>
      <c r="C236" s="1183"/>
      <c r="D236" s="1189" t="s">
        <v>5810</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5811</v>
      </c>
      <c r="W236" s="1181" t="s">
        <v>5812</v>
      </c>
      <c r="X236" s="1181" t="s">
        <v>5813</v>
      </c>
      <c r="Y236" s="1181" t="s">
        <v>5814</v>
      </c>
      <c r="Z236" s="1182" t="s">
        <v>5815</v>
      </c>
    </row>
    <row r="237" spans="2:26" ht="12.75" customHeight="1" x14ac:dyDescent="0.2">
      <c r="B237" s="2252" t="str">
        <f t="shared" si="3"/>
        <v>Fuego16</v>
      </c>
      <c r="C237" s="1183"/>
      <c r="D237" s="1189" t="s">
        <v>5816</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5817</v>
      </c>
      <c r="W237" s="1181" t="s">
        <v>5818</v>
      </c>
      <c r="X237" s="1181" t="s">
        <v>5819</v>
      </c>
      <c r="Y237" s="1181" t="s">
        <v>5820</v>
      </c>
      <c r="Z237" s="1182" t="s">
        <v>5821</v>
      </c>
    </row>
    <row r="238" spans="2:26" ht="12.75" customHeight="1" x14ac:dyDescent="0.2">
      <c r="B238" s="2252" t="str">
        <f t="shared" si="3"/>
        <v>Fuego20</v>
      </c>
      <c r="C238" s="1183"/>
      <c r="D238" s="1189" t="s">
        <v>5822</v>
      </c>
      <c r="E238" s="1179" t="s">
        <v>1938</v>
      </c>
      <c r="F238" s="1179">
        <v>20</v>
      </c>
      <c r="G238" s="1190" t="s">
        <v>2549</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5823</v>
      </c>
      <c r="W238" s="1181" t="s">
        <v>5824</v>
      </c>
      <c r="X238" s="1181" t="s">
        <v>5825</v>
      </c>
      <c r="Y238" s="1181" t="s">
        <v>5826</v>
      </c>
      <c r="Z238" s="1182" t="s">
        <v>5827</v>
      </c>
    </row>
    <row r="239" spans="2:26" ht="12.75" customHeight="1" x14ac:dyDescent="0.2">
      <c r="B239" s="2252" t="str">
        <f t="shared" si="3"/>
        <v>Fuego22</v>
      </c>
      <c r="C239" s="1183"/>
      <c r="D239" s="1189" t="s">
        <v>5828</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5829</v>
      </c>
      <c r="W239" s="1181" t="s">
        <v>5830</v>
      </c>
      <c r="X239" s="1181" t="s">
        <v>5831</v>
      </c>
      <c r="Y239" s="1181" t="s">
        <v>5832</v>
      </c>
      <c r="Z239" s="1182" t="s">
        <v>5833</v>
      </c>
    </row>
    <row r="240" spans="2:26" ht="12.75" customHeight="1" x14ac:dyDescent="0.2">
      <c r="B240" s="2252" t="str">
        <f t="shared" si="3"/>
        <v>Fuego26</v>
      </c>
      <c r="C240" s="1183"/>
      <c r="D240" s="1189" t="s">
        <v>5834</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5835</v>
      </c>
      <c r="W240" s="1181" t="s">
        <v>5836</v>
      </c>
      <c r="X240" s="1181" t="s">
        <v>5837</v>
      </c>
      <c r="Y240" s="1181" t="s">
        <v>5838</v>
      </c>
      <c r="Z240" s="1182" t="s">
        <v>5839</v>
      </c>
    </row>
    <row r="241" spans="2:26" ht="12.75" customHeight="1" x14ac:dyDescent="0.2">
      <c r="B241" s="2252" t="str">
        <f t="shared" si="3"/>
        <v>Fuego30</v>
      </c>
      <c r="C241" s="1183"/>
      <c r="D241" s="1189" t="s">
        <v>5840</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5841</v>
      </c>
      <c r="W241" s="1181" t="s">
        <v>5842</v>
      </c>
      <c r="X241" s="1181" t="s">
        <v>5843</v>
      </c>
      <c r="Y241" s="1181" t="s">
        <v>5844</v>
      </c>
      <c r="Z241" s="1182" t="s">
        <v>5845</v>
      </c>
    </row>
    <row r="242" spans="2:26" ht="12.75" customHeight="1" x14ac:dyDescent="0.2">
      <c r="B242" s="2252" t="str">
        <f t="shared" si="3"/>
        <v>Fuego32</v>
      </c>
      <c r="C242" s="1183"/>
      <c r="D242" s="1189" t="s">
        <v>5846</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5847</v>
      </c>
      <c r="W242" s="1181" t="s">
        <v>5848</v>
      </c>
      <c r="X242" s="1181" t="s">
        <v>5849</v>
      </c>
      <c r="Y242" s="1181" t="s">
        <v>5850</v>
      </c>
      <c r="Z242" s="1182" t="s">
        <v>5851</v>
      </c>
    </row>
    <row r="243" spans="2:26" ht="12.75" customHeight="1" x14ac:dyDescent="0.2">
      <c r="B243" s="2252" t="str">
        <f t="shared" si="3"/>
        <v>Fuego36</v>
      </c>
      <c r="C243" s="1183"/>
      <c r="D243" s="1189" t="s">
        <v>5852</v>
      </c>
      <c r="E243" s="1179" t="s">
        <v>1938</v>
      </c>
      <c r="F243" s="1179">
        <v>36</v>
      </c>
      <c r="G243" s="1190" t="s">
        <v>2549</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5853</v>
      </c>
      <c r="W243" s="1181" t="s">
        <v>5854</v>
      </c>
      <c r="X243" s="1181" t="s">
        <v>5855</v>
      </c>
      <c r="Y243" s="1181" t="s">
        <v>5856</v>
      </c>
      <c r="Z243" s="1182" t="s">
        <v>5857</v>
      </c>
    </row>
    <row r="244" spans="2:26" ht="12.75" customHeight="1" x14ac:dyDescent="0.2">
      <c r="B244" s="2252" t="str">
        <f t="shared" si="3"/>
        <v>Fuego40</v>
      </c>
      <c r="C244" s="1183"/>
      <c r="D244" s="1189" t="s">
        <v>5858</v>
      </c>
      <c r="E244" s="1179" t="s">
        <v>1938</v>
      </c>
      <c r="F244" s="1179">
        <v>40</v>
      </c>
      <c r="G244" s="1190" t="s">
        <v>2549</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5859</v>
      </c>
      <c r="W244" s="1181" t="s">
        <v>5860</v>
      </c>
      <c r="X244" s="1181" t="s">
        <v>5861</v>
      </c>
      <c r="Y244" s="1181" t="s">
        <v>5862</v>
      </c>
      <c r="Z244" s="1182" t="s">
        <v>5863</v>
      </c>
    </row>
    <row r="245" spans="2:26" ht="12.75" customHeight="1" x14ac:dyDescent="0.2">
      <c r="B245" s="2252" t="str">
        <f t="shared" si="3"/>
        <v>Fuego42</v>
      </c>
      <c r="C245" s="1183"/>
      <c r="D245" s="1189" t="s">
        <v>5864</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5865</v>
      </c>
      <c r="W245" s="1181" t="s">
        <v>5866</v>
      </c>
      <c r="X245" s="1181" t="s">
        <v>5867</v>
      </c>
      <c r="Y245" s="1181" t="s">
        <v>5868</v>
      </c>
      <c r="Z245" s="1182" t="s">
        <v>5869</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5870</v>
      </c>
      <c r="W246" s="1181" t="s">
        <v>5871</v>
      </c>
      <c r="X246" s="1181" t="s">
        <v>5872</v>
      </c>
      <c r="Y246" s="1181" t="s">
        <v>5873</v>
      </c>
      <c r="Z246" s="1182" t="s">
        <v>5874</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5875</v>
      </c>
      <c r="W247" s="1181" t="s">
        <v>5876</v>
      </c>
      <c r="X247" s="1181" t="s">
        <v>5877</v>
      </c>
      <c r="Y247" s="1181" t="s">
        <v>5878</v>
      </c>
      <c r="Z247" s="1182" t="s">
        <v>5879</v>
      </c>
    </row>
    <row r="248" spans="2:26" ht="12.75" customHeight="1" x14ac:dyDescent="0.2">
      <c r="B248" s="2252" t="str">
        <f t="shared" si="3"/>
        <v>Fuego52</v>
      </c>
      <c r="C248" s="1183"/>
      <c r="D248" s="1189" t="s">
        <v>5880</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5548</v>
      </c>
      <c r="W248" s="1181" t="s">
        <v>5881</v>
      </c>
      <c r="X248" s="1181" t="s">
        <v>5882</v>
      </c>
      <c r="Y248" s="1181" t="s">
        <v>5883</v>
      </c>
      <c r="Z248" s="1182" t="s">
        <v>5884</v>
      </c>
    </row>
    <row r="249" spans="2:26" ht="12.75" customHeight="1" x14ac:dyDescent="0.2">
      <c r="B249" s="2252" t="str">
        <f t="shared" si="3"/>
        <v>Fuego56</v>
      </c>
      <c r="C249" s="1183"/>
      <c r="D249" s="1189" t="s">
        <v>5885</v>
      </c>
      <c r="E249" s="1179" t="s">
        <v>1938</v>
      </c>
      <c r="F249" s="1179">
        <v>56</v>
      </c>
      <c r="G249" s="1190" t="s">
        <v>2549</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5886</v>
      </c>
      <c r="W249" s="1181" t="s">
        <v>5887</v>
      </c>
      <c r="X249" s="1181" t="s">
        <v>5888</v>
      </c>
      <c r="Y249" s="1181" t="s">
        <v>5889</v>
      </c>
      <c r="Z249" s="1182" t="s">
        <v>5890</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5891</v>
      </c>
      <c r="W250" s="1181" t="s">
        <v>5892</v>
      </c>
      <c r="X250" s="1181" t="s">
        <v>5893</v>
      </c>
      <c r="Y250" s="1181" t="s">
        <v>5894</v>
      </c>
      <c r="Z250" s="1182" t="s">
        <v>5895</v>
      </c>
    </row>
    <row r="251" spans="2:26" ht="12.75" customHeight="1" x14ac:dyDescent="0.2">
      <c r="B251" s="2252" t="str">
        <f t="shared" si="3"/>
        <v>Fuego62</v>
      </c>
      <c r="C251" s="1183"/>
      <c r="D251" s="1189" t="s">
        <v>5896</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5897</v>
      </c>
      <c r="W251" s="1181" t="s">
        <v>5898</v>
      </c>
      <c r="X251" s="1181" t="s">
        <v>5899</v>
      </c>
      <c r="Y251" s="1181" t="s">
        <v>5900</v>
      </c>
      <c r="Z251" s="1182" t="s">
        <v>5901</v>
      </c>
    </row>
    <row r="252" spans="2:26" ht="12.75" customHeight="1" x14ac:dyDescent="0.2">
      <c r="B252" s="2252" t="str">
        <f t="shared" si="3"/>
        <v>Fuego66</v>
      </c>
      <c r="C252" s="1183"/>
      <c r="D252" s="1189" t="s">
        <v>5902</v>
      </c>
      <c r="E252" s="1179" t="s">
        <v>1938</v>
      </c>
      <c r="F252" s="1179">
        <v>66</v>
      </c>
      <c r="G252" s="1190" t="s">
        <v>2549</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5903</v>
      </c>
      <c r="W252" s="1181" t="s">
        <v>5904</v>
      </c>
      <c r="X252" s="1181" t="s">
        <v>5905</v>
      </c>
      <c r="Y252" s="1181" t="s">
        <v>5906</v>
      </c>
      <c r="Z252" s="1182" t="s">
        <v>5907</v>
      </c>
    </row>
    <row r="253" spans="2:26" ht="12.75" customHeight="1" x14ac:dyDescent="0.2">
      <c r="B253" s="2252" t="str">
        <f t="shared" si="3"/>
        <v>Fuego70</v>
      </c>
      <c r="C253" s="1183"/>
      <c r="D253" s="1189" t="s">
        <v>5908</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5909</v>
      </c>
      <c r="W253" s="1181" t="s">
        <v>5910</v>
      </c>
      <c r="X253" s="1181" t="s">
        <v>5911</v>
      </c>
      <c r="Y253" s="1181" t="s">
        <v>5912</v>
      </c>
      <c r="Z253" s="1182" t="s">
        <v>5913</v>
      </c>
    </row>
    <row r="254" spans="2:26" ht="12.75" customHeight="1" x14ac:dyDescent="0.2">
      <c r="B254" s="2252" t="str">
        <f t="shared" si="3"/>
        <v>Fuego72</v>
      </c>
      <c r="C254" s="1183"/>
      <c r="D254" s="1189" t="s">
        <v>5914</v>
      </c>
      <c r="E254" s="1179" t="s">
        <v>1938</v>
      </c>
      <c r="F254" s="1179">
        <v>72</v>
      </c>
      <c r="G254" s="1190" t="s">
        <v>2549</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5904</v>
      </c>
      <c r="W254" s="1181" t="s">
        <v>5915</v>
      </c>
      <c r="X254" s="1181" t="s">
        <v>5916</v>
      </c>
      <c r="Y254" s="1181" t="s">
        <v>5917</v>
      </c>
      <c r="Z254" s="1182" t="s">
        <v>5918</v>
      </c>
    </row>
    <row r="255" spans="2:26" ht="12.75" customHeight="1" x14ac:dyDescent="0.2">
      <c r="B255" s="2252" t="str">
        <f t="shared" si="3"/>
        <v>Fuego76</v>
      </c>
      <c r="C255" s="1183"/>
      <c r="D255" s="1189" t="s">
        <v>5919</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5920</v>
      </c>
      <c r="W255" s="1181" t="s">
        <v>5921</v>
      </c>
      <c r="X255" s="1181" t="s">
        <v>5922</v>
      </c>
      <c r="Y255" s="1181" t="s">
        <v>5923</v>
      </c>
      <c r="Z255" s="1182" t="s">
        <v>5924</v>
      </c>
    </row>
    <row r="256" spans="2:26" ht="12.75" customHeight="1" x14ac:dyDescent="0.2">
      <c r="B256" s="2252" t="str">
        <f t="shared" si="3"/>
        <v>Fuego80</v>
      </c>
      <c r="C256" s="1183"/>
      <c r="D256" s="1189" t="s">
        <v>5925</v>
      </c>
      <c r="E256" s="1179" t="s">
        <v>1938</v>
      </c>
      <c r="F256" s="1179">
        <v>80</v>
      </c>
      <c r="G256" s="1190" t="s">
        <v>2549</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5926</v>
      </c>
      <c r="W256" s="1181" t="s">
        <v>5927</v>
      </c>
      <c r="X256" s="1181" t="s">
        <v>5928</v>
      </c>
      <c r="Y256" s="1181" t="s">
        <v>5929</v>
      </c>
      <c r="Z256" s="1182" t="s">
        <v>5930</v>
      </c>
    </row>
    <row r="257" spans="2:26" ht="12.75" customHeight="1" x14ac:dyDescent="0.2">
      <c r="B257" s="2252" t="str">
        <f t="shared" si="3"/>
        <v>Fuego82</v>
      </c>
      <c r="C257" s="1183"/>
      <c r="D257" s="1189" t="s">
        <v>5931</v>
      </c>
      <c r="E257" s="1179" t="s">
        <v>1938</v>
      </c>
      <c r="F257" s="1179">
        <v>82</v>
      </c>
      <c r="G257" s="1190" t="s">
        <v>2549</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4872</v>
      </c>
      <c r="W257" s="1181" t="s">
        <v>4873</v>
      </c>
      <c r="X257" s="1181" t="s">
        <v>4874</v>
      </c>
      <c r="Y257" s="1181" t="s">
        <v>4875</v>
      </c>
      <c r="Z257" s="1182" t="s">
        <v>5932</v>
      </c>
    </row>
    <row r="258" spans="2:26" ht="12.75" customHeight="1" x14ac:dyDescent="0.2">
      <c r="B258" s="2252" t="str">
        <f t="shared" si="3"/>
        <v>Fuego86</v>
      </c>
      <c r="C258" s="1183"/>
      <c r="D258" s="1189" t="s">
        <v>506</v>
      </c>
      <c r="E258" s="1179" t="s">
        <v>1938</v>
      </c>
      <c r="F258" s="1179">
        <v>86</v>
      </c>
      <c r="G258" s="1190" t="s">
        <v>2549</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5933</v>
      </c>
      <c r="W258" s="1181" t="s">
        <v>5934</v>
      </c>
      <c r="X258" s="1181" t="s">
        <v>5935</v>
      </c>
      <c r="Y258" s="1181" t="s">
        <v>5936</v>
      </c>
      <c r="Z258" s="1182" t="s">
        <v>5937</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5938</v>
      </c>
      <c r="W259" s="1181" t="s">
        <v>5939</v>
      </c>
      <c r="X259" s="1181" t="s">
        <v>5940</v>
      </c>
      <c r="Y259" s="1181" t="s">
        <v>5941</v>
      </c>
      <c r="Z259" s="1182" t="s">
        <v>5942</v>
      </c>
    </row>
    <row r="260" spans="2:26" ht="12.75" customHeight="1" x14ac:dyDescent="0.2">
      <c r="B260" s="2252" t="str">
        <f t="shared" si="3"/>
        <v>Fuego92</v>
      </c>
      <c r="C260" s="1183"/>
      <c r="D260" s="1189" t="s">
        <v>5943</v>
      </c>
      <c r="E260" s="1179" t="s">
        <v>1938</v>
      </c>
      <c r="F260" s="1179">
        <v>92</v>
      </c>
      <c r="G260" s="1190" t="s">
        <v>2549</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5944</v>
      </c>
      <c r="W260" s="1181" t="s">
        <v>5945</v>
      </c>
      <c r="X260" s="1181" t="s">
        <v>5946</v>
      </c>
      <c r="Y260" s="1181" t="s">
        <v>5947</v>
      </c>
      <c r="Z260" s="1182" t="s">
        <v>5948</v>
      </c>
    </row>
    <row r="261" spans="2:26" ht="12.75" customHeight="1" x14ac:dyDescent="0.2">
      <c r="B261" s="2252" t="str">
        <f t="shared" si="3"/>
        <v>Fuego96</v>
      </c>
      <c r="C261" s="1183"/>
      <c r="D261" s="1189" t="s">
        <v>5949</v>
      </c>
      <c r="E261" s="1179" t="s">
        <v>1938</v>
      </c>
      <c r="F261" s="1179">
        <v>96</v>
      </c>
      <c r="G261" s="1190" t="s">
        <v>2549</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5950</v>
      </c>
      <c r="W261" s="1181" t="s">
        <v>5951</v>
      </c>
      <c r="X261" s="1181" t="s">
        <v>5952</v>
      </c>
      <c r="Y261" s="1181" t="s">
        <v>5953</v>
      </c>
      <c r="Z261" s="1182" t="s">
        <v>5954</v>
      </c>
    </row>
    <row r="262" spans="2:26" ht="12.75" customHeight="1" x14ac:dyDescent="0.2">
      <c r="B262" s="2252" t="str">
        <f t="shared" si="3"/>
        <v>Fuego100</v>
      </c>
      <c r="C262" s="1183"/>
      <c r="D262" s="1189" t="s">
        <v>510</v>
      </c>
      <c r="E262" s="1179" t="s">
        <v>1938</v>
      </c>
      <c r="F262" s="1179">
        <v>100</v>
      </c>
      <c r="G262" s="1190" t="s">
        <v>2549</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5955</v>
      </c>
      <c r="W262" s="1181" t="s">
        <v>5956</v>
      </c>
      <c r="X262" s="1181" t="s">
        <v>5957</v>
      </c>
      <c r="Y262" s="1181" t="s">
        <v>5958</v>
      </c>
      <c r="Z262" s="1182" t="s">
        <v>5959</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5960</v>
      </c>
      <c r="E264" s="1179" t="s">
        <v>2034</v>
      </c>
      <c r="F264" s="1179">
        <v>2</v>
      </c>
      <c r="G264" s="1190" t="s">
        <v>1693</v>
      </c>
      <c r="H264" s="1190" t="s">
        <v>4718</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5961</v>
      </c>
      <c r="V264" s="1181" t="s">
        <v>5962</v>
      </c>
      <c r="W264" s="1181" t="s">
        <v>5059</v>
      </c>
      <c r="X264" s="1181" t="s">
        <v>5963</v>
      </c>
      <c r="Y264" s="1181" t="s">
        <v>4920</v>
      </c>
      <c r="Z264" s="1182" t="s">
        <v>5964</v>
      </c>
    </row>
    <row r="265" spans="2:26" ht="12.75" customHeight="1" x14ac:dyDescent="0.2">
      <c r="B265" s="2252" t="str">
        <f t="shared" si="4"/>
        <v>Tierra6</v>
      </c>
      <c r="C265" s="1183"/>
      <c r="D265" s="1189" t="s">
        <v>5965</v>
      </c>
      <c r="E265" s="1179" t="s">
        <v>2034</v>
      </c>
      <c r="F265" s="1179">
        <v>6</v>
      </c>
      <c r="G265" s="1190" t="s">
        <v>2549</v>
      </c>
      <c r="H265" s="1190" t="s">
        <v>5554</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5966</v>
      </c>
      <c r="W265" s="1181" t="s">
        <v>5967</v>
      </c>
      <c r="X265" s="1181" t="s">
        <v>5968</v>
      </c>
      <c r="Y265" s="1181" t="s">
        <v>5969</v>
      </c>
      <c r="Z265" s="1182" t="s">
        <v>5970</v>
      </c>
    </row>
    <row r="266" spans="2:26" ht="12.75" customHeight="1" x14ac:dyDescent="0.2">
      <c r="B266" s="2252" t="str">
        <f t="shared" si="4"/>
        <v>Tierra10</v>
      </c>
      <c r="C266" s="1183"/>
      <c r="D266" s="1189" t="s">
        <v>5971</v>
      </c>
      <c r="E266" s="1179" t="s">
        <v>2034</v>
      </c>
      <c r="F266" s="1179">
        <v>10</v>
      </c>
      <c r="G266" s="1190" t="s">
        <v>2549</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5972</v>
      </c>
      <c r="W266" s="1181" t="s">
        <v>5973</v>
      </c>
      <c r="X266" s="1181" t="s">
        <v>5974</v>
      </c>
      <c r="Y266" s="1181" t="s">
        <v>5975</v>
      </c>
      <c r="Z266" s="1182" t="s">
        <v>5976</v>
      </c>
    </row>
    <row r="267" spans="2:26" ht="12.75" customHeight="1" x14ac:dyDescent="0.2">
      <c r="B267" s="2252" t="str">
        <f t="shared" si="4"/>
        <v>Tierra12</v>
      </c>
      <c r="C267" s="1183"/>
      <c r="D267" s="1189" t="s">
        <v>5977</v>
      </c>
      <c r="E267" s="1179" t="s">
        <v>2034</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5978</v>
      </c>
      <c r="W267" s="1181" t="s">
        <v>5979</v>
      </c>
      <c r="X267" s="1181" t="s">
        <v>5980</v>
      </c>
      <c r="Y267" s="1181" t="s">
        <v>5981</v>
      </c>
      <c r="Z267" s="1182" t="s">
        <v>5982</v>
      </c>
    </row>
    <row r="268" spans="2:26" ht="12.75" customHeight="1" x14ac:dyDescent="0.2">
      <c r="B268" s="2252" t="str">
        <f t="shared" si="4"/>
        <v>Tierra16</v>
      </c>
      <c r="C268" s="1183"/>
      <c r="D268" s="1189" t="s">
        <v>516</v>
      </c>
      <c r="E268" s="1179" t="s">
        <v>2034</v>
      </c>
      <c r="F268" s="1179">
        <v>16</v>
      </c>
      <c r="G268" s="1190" t="s">
        <v>2549</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5983</v>
      </c>
      <c r="W268" s="1181" t="s">
        <v>5984</v>
      </c>
      <c r="X268" s="1181" t="s">
        <v>5985</v>
      </c>
      <c r="Y268" s="1181" t="s">
        <v>5986</v>
      </c>
      <c r="Z268" s="1182" t="s">
        <v>5987</v>
      </c>
    </row>
    <row r="269" spans="2:26" ht="12.75" customHeight="1" x14ac:dyDescent="0.2">
      <c r="B269" s="2252" t="str">
        <f t="shared" si="4"/>
        <v>Tierra20</v>
      </c>
      <c r="C269" s="1183"/>
      <c r="D269" s="1189" t="s">
        <v>5988</v>
      </c>
      <c r="E269" s="1179" t="s">
        <v>2034</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5989</v>
      </c>
      <c r="W269" s="1181" t="s">
        <v>5990</v>
      </c>
      <c r="X269" s="1181" t="s">
        <v>5991</v>
      </c>
      <c r="Y269" s="1181" t="s">
        <v>5992</v>
      </c>
      <c r="Z269" s="1182" t="s">
        <v>5993</v>
      </c>
    </row>
    <row r="270" spans="2:26" ht="12.75" customHeight="1" x14ac:dyDescent="0.2">
      <c r="B270" s="2252" t="str">
        <f t="shared" si="4"/>
        <v>Tierra22</v>
      </c>
      <c r="C270" s="1183"/>
      <c r="D270" s="1189" t="s">
        <v>518</v>
      </c>
      <c r="E270" s="1179" t="s">
        <v>2034</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5994</v>
      </c>
      <c r="W270" s="1181" t="s">
        <v>5995</v>
      </c>
      <c r="X270" s="1181" t="s">
        <v>5996</v>
      </c>
      <c r="Y270" s="1181" t="s">
        <v>5997</v>
      </c>
      <c r="Z270" s="1182" t="s">
        <v>5998</v>
      </c>
    </row>
    <row r="271" spans="2:26" ht="12.75" customHeight="1" x14ac:dyDescent="0.2">
      <c r="B271" s="2252" t="str">
        <f t="shared" si="4"/>
        <v>Tierra26</v>
      </c>
      <c r="C271" s="1183"/>
      <c r="D271" s="1189" t="s">
        <v>519</v>
      </c>
      <c r="E271" s="1179" t="s">
        <v>2034</v>
      </c>
      <c r="F271" s="1179">
        <v>26</v>
      </c>
      <c r="G271" s="1190" t="s">
        <v>2549</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5999</v>
      </c>
      <c r="W271" s="1181" t="s">
        <v>6000</v>
      </c>
      <c r="X271" s="1181" t="s">
        <v>6001</v>
      </c>
      <c r="Y271" s="1181" t="s">
        <v>6002</v>
      </c>
      <c r="Z271" s="1182" t="s">
        <v>6003</v>
      </c>
    </row>
    <row r="272" spans="2:26" ht="12.75" customHeight="1" x14ac:dyDescent="0.2">
      <c r="B272" s="2252" t="str">
        <f t="shared" si="4"/>
        <v>Tierra30</v>
      </c>
      <c r="C272" s="1183"/>
      <c r="D272" s="1189" t="s">
        <v>6004</v>
      </c>
      <c r="E272" s="1179" t="s">
        <v>2034</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5502</v>
      </c>
      <c r="W272" s="1181" t="s">
        <v>6005</v>
      </c>
      <c r="X272" s="1181" t="s">
        <v>6006</v>
      </c>
      <c r="Y272" s="1181" t="s">
        <v>6007</v>
      </c>
      <c r="Z272" s="1182" t="s">
        <v>6008</v>
      </c>
    </row>
    <row r="273" spans="2:26" ht="12.75" customHeight="1" x14ac:dyDescent="0.2">
      <c r="B273" s="2252" t="str">
        <f t="shared" si="4"/>
        <v>Tierra32</v>
      </c>
      <c r="C273" s="1183"/>
      <c r="D273" s="1189" t="s">
        <v>6009</v>
      </c>
      <c r="E273" s="1179" t="s">
        <v>2034</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4930</v>
      </c>
      <c r="W273" s="1181" t="s">
        <v>6010</v>
      </c>
      <c r="X273" s="1181" t="s">
        <v>5229</v>
      </c>
      <c r="Y273" s="1181" t="s">
        <v>5230</v>
      </c>
      <c r="Z273" s="1182" t="s">
        <v>6011</v>
      </c>
    </row>
    <row r="274" spans="2:26" ht="12.75" customHeight="1" x14ac:dyDescent="0.2">
      <c r="B274" s="2252" t="str">
        <f t="shared" si="4"/>
        <v>Tierra36</v>
      </c>
      <c r="C274" s="1183"/>
      <c r="D274" s="1189" t="s">
        <v>6012</v>
      </c>
      <c r="E274" s="1179" t="s">
        <v>2034</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6013</v>
      </c>
      <c r="W274" s="1181" t="s">
        <v>6014</v>
      </c>
      <c r="X274" s="1181" t="s">
        <v>6015</v>
      </c>
      <c r="Y274" s="1181" t="s">
        <v>6016</v>
      </c>
      <c r="Z274" s="1182" t="s">
        <v>6017</v>
      </c>
    </row>
    <row r="275" spans="2:26" ht="12.75" customHeight="1" x14ac:dyDescent="0.2">
      <c r="B275" s="2252" t="str">
        <f t="shared" si="4"/>
        <v>Tierra40</v>
      </c>
      <c r="C275" s="1183"/>
      <c r="D275" s="1189" t="s">
        <v>523</v>
      </c>
      <c r="E275" s="1179" t="s">
        <v>2034</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6018</v>
      </c>
      <c r="W275" s="1181" t="s">
        <v>6019</v>
      </c>
      <c r="X275" s="1181" t="s">
        <v>6020</v>
      </c>
      <c r="Y275" s="1181" t="s">
        <v>6021</v>
      </c>
      <c r="Z275" s="1182" t="s">
        <v>6022</v>
      </c>
    </row>
    <row r="276" spans="2:26" ht="12.75" customHeight="1" x14ac:dyDescent="0.2">
      <c r="B276" s="2252" t="str">
        <f t="shared" si="4"/>
        <v>Tierra42</v>
      </c>
      <c r="C276" s="1183"/>
      <c r="D276" s="1189" t="s">
        <v>524</v>
      </c>
      <c r="E276" s="1179" t="s">
        <v>2034</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6023</v>
      </c>
      <c r="W276" s="1181" t="s">
        <v>6024</v>
      </c>
      <c r="X276" s="1181" t="s">
        <v>6025</v>
      </c>
      <c r="Y276" s="1181" t="s">
        <v>6026</v>
      </c>
      <c r="Z276" s="1182" t="s">
        <v>6027</v>
      </c>
    </row>
    <row r="277" spans="2:26" ht="12.75" customHeight="1" x14ac:dyDescent="0.2">
      <c r="B277" s="2252" t="str">
        <f t="shared" si="4"/>
        <v>Tierra46</v>
      </c>
      <c r="C277" s="1183"/>
      <c r="D277" s="1189" t="s">
        <v>6028</v>
      </c>
      <c r="E277" s="1179" t="s">
        <v>2034</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6029</v>
      </c>
      <c r="W277" s="1181" t="s">
        <v>6030</v>
      </c>
      <c r="X277" s="1181" t="s">
        <v>6031</v>
      </c>
      <c r="Y277" s="1181" t="s">
        <v>6032</v>
      </c>
      <c r="Z277" s="1182" t="s">
        <v>6033</v>
      </c>
    </row>
    <row r="278" spans="2:26" ht="12.75" customHeight="1" x14ac:dyDescent="0.2">
      <c r="B278" s="2252" t="str">
        <f t="shared" si="4"/>
        <v>Tierra50</v>
      </c>
      <c r="C278" s="1183"/>
      <c r="D278" s="1189" t="s">
        <v>526</v>
      </c>
      <c r="E278" s="1179" t="s">
        <v>2034</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6034</v>
      </c>
      <c r="W278" s="1181" t="s">
        <v>6035</v>
      </c>
      <c r="X278" s="1181" t="s">
        <v>6036</v>
      </c>
      <c r="Y278" s="1181" t="s">
        <v>6037</v>
      </c>
      <c r="Z278" s="1182" t="s">
        <v>6038</v>
      </c>
    </row>
    <row r="279" spans="2:26" ht="12.75" customHeight="1" x14ac:dyDescent="0.2">
      <c r="B279" s="2252" t="str">
        <f t="shared" si="4"/>
        <v>Tierra52</v>
      </c>
      <c r="C279" s="1183"/>
      <c r="D279" s="1189" t="s">
        <v>6039</v>
      </c>
      <c r="E279" s="1179" t="s">
        <v>2034</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6040</v>
      </c>
      <c r="W279" s="1181" t="s">
        <v>6041</v>
      </c>
      <c r="X279" s="1181" t="s">
        <v>6042</v>
      </c>
      <c r="Y279" s="1181" t="s">
        <v>6043</v>
      </c>
      <c r="Z279" s="1182" t="s">
        <v>6044</v>
      </c>
    </row>
    <row r="280" spans="2:26" ht="12.75" customHeight="1" x14ac:dyDescent="0.2">
      <c r="B280" s="2252" t="str">
        <f t="shared" si="4"/>
        <v>Tierra56</v>
      </c>
      <c r="C280" s="1183"/>
      <c r="D280" s="1189" t="s">
        <v>528</v>
      </c>
      <c r="E280" s="1179" t="s">
        <v>2034</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6045</v>
      </c>
      <c r="W280" s="1181" t="s">
        <v>6046</v>
      </c>
      <c r="X280" s="1181" t="s">
        <v>6047</v>
      </c>
      <c r="Y280" s="1181" t="s">
        <v>6048</v>
      </c>
      <c r="Z280" s="1182" t="s">
        <v>6049</v>
      </c>
    </row>
    <row r="281" spans="2:26" ht="12.75" customHeight="1" x14ac:dyDescent="0.2">
      <c r="B281" s="2252" t="str">
        <f t="shared" si="4"/>
        <v>Tierra60</v>
      </c>
      <c r="C281" s="1183"/>
      <c r="D281" s="1189" t="s">
        <v>529</v>
      </c>
      <c r="E281" s="1179" t="s">
        <v>2034</v>
      </c>
      <c r="F281" s="1179">
        <v>60</v>
      </c>
      <c r="G281" s="1190" t="s">
        <v>2549</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5156</v>
      </c>
      <c r="W281" s="1181" t="s">
        <v>6050</v>
      </c>
      <c r="X281" s="1181" t="s">
        <v>4834</v>
      </c>
      <c r="Y281" s="1181" t="s">
        <v>5381</v>
      </c>
      <c r="Z281" s="1182" t="s">
        <v>6051</v>
      </c>
    </row>
    <row r="282" spans="2:26" ht="12.75" customHeight="1" x14ac:dyDescent="0.2">
      <c r="B282" s="2252" t="str">
        <f t="shared" si="4"/>
        <v>Tierra62</v>
      </c>
      <c r="C282" s="1183"/>
      <c r="D282" s="1189" t="s">
        <v>530</v>
      </c>
      <c r="E282" s="1179" t="s">
        <v>2034</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6052</v>
      </c>
      <c r="W282" s="1181" t="s">
        <v>6053</v>
      </c>
      <c r="X282" s="1181" t="s">
        <v>6054</v>
      </c>
      <c r="Y282" s="1181" t="s">
        <v>6055</v>
      </c>
      <c r="Z282" s="1182" t="s">
        <v>6056</v>
      </c>
    </row>
    <row r="283" spans="2:26" ht="12.75" customHeight="1" x14ac:dyDescent="0.2">
      <c r="B283" s="2252" t="str">
        <f t="shared" si="4"/>
        <v>Tierra66</v>
      </c>
      <c r="C283" s="1183"/>
      <c r="D283" s="1189" t="s">
        <v>6057</v>
      </c>
      <c r="E283" s="1179" t="s">
        <v>2034</v>
      </c>
      <c r="F283" s="1179">
        <v>66</v>
      </c>
      <c r="G283" s="1190" t="s">
        <v>2549</v>
      </c>
      <c r="H283" s="1190" t="s">
        <v>4718</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6058</v>
      </c>
      <c r="W283" s="1181" t="s">
        <v>6059</v>
      </c>
      <c r="X283" s="1181" t="s">
        <v>6060</v>
      </c>
      <c r="Y283" s="1181" t="s">
        <v>6061</v>
      </c>
      <c r="Z283" s="1182" t="s">
        <v>6062</v>
      </c>
    </row>
    <row r="284" spans="2:26" ht="12.75" customHeight="1" x14ac:dyDescent="0.2">
      <c r="B284" s="2252" t="str">
        <f t="shared" si="4"/>
        <v>Tierra70</v>
      </c>
      <c r="C284" s="1183"/>
      <c r="D284" s="1189" t="s">
        <v>6063</v>
      </c>
      <c r="E284" s="1179" t="s">
        <v>2034</v>
      </c>
      <c r="F284" s="1179">
        <v>70</v>
      </c>
      <c r="G284" s="1190" t="s">
        <v>2549</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6064</v>
      </c>
      <c r="W284" s="1181" t="s">
        <v>6065</v>
      </c>
      <c r="X284" s="1181" t="s">
        <v>6066</v>
      </c>
      <c r="Y284" s="1181" t="s">
        <v>6067</v>
      </c>
      <c r="Z284" s="1182" t="s">
        <v>6068</v>
      </c>
    </row>
    <row r="285" spans="2:26" ht="12.75" customHeight="1" x14ac:dyDescent="0.2">
      <c r="B285" s="2252" t="str">
        <f t="shared" si="4"/>
        <v>Tierra72</v>
      </c>
      <c r="C285" s="1183"/>
      <c r="D285" s="1189" t="s">
        <v>6069</v>
      </c>
      <c r="E285" s="1179" t="s">
        <v>2034</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4920</v>
      </c>
      <c r="W285" s="1181" t="s">
        <v>6070</v>
      </c>
      <c r="X285" s="1181" t="s">
        <v>6071</v>
      </c>
      <c r="Y285" s="1181" t="s">
        <v>6072</v>
      </c>
      <c r="Z285" s="1182" t="s">
        <v>6073</v>
      </c>
    </row>
    <row r="286" spans="2:26" ht="12.75" customHeight="1" x14ac:dyDescent="0.2">
      <c r="B286" s="2252" t="str">
        <f t="shared" si="4"/>
        <v>Tierra76</v>
      </c>
      <c r="C286" s="1183"/>
      <c r="D286" s="1189" t="s">
        <v>534</v>
      </c>
      <c r="E286" s="1179" t="s">
        <v>2034</v>
      </c>
      <c r="F286" s="1179">
        <v>76</v>
      </c>
      <c r="G286" s="1190" t="s">
        <v>1693</v>
      </c>
      <c r="H286" s="1190" t="s">
        <v>6074</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4920</v>
      </c>
      <c r="W286" s="1181" t="s">
        <v>6070</v>
      </c>
      <c r="X286" s="1181" t="s">
        <v>6071</v>
      </c>
      <c r="Y286" s="1181" t="s">
        <v>6072</v>
      </c>
      <c r="Z286" s="1182" t="s">
        <v>6075</v>
      </c>
    </row>
    <row r="287" spans="2:26" ht="12.75" customHeight="1" x14ac:dyDescent="0.2">
      <c r="B287" s="2252" t="str">
        <f t="shared" si="4"/>
        <v>Tierra80</v>
      </c>
      <c r="C287" s="1183"/>
      <c r="D287" s="1189" t="s">
        <v>6076</v>
      </c>
      <c r="E287" s="1179" t="s">
        <v>2034</v>
      </c>
      <c r="F287" s="1179">
        <v>80</v>
      </c>
      <c r="G287" s="1190" t="s">
        <v>1693</v>
      </c>
      <c r="H287" s="1190" t="s">
        <v>4718</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6077</v>
      </c>
      <c r="W287" s="1181" t="s">
        <v>5059</v>
      </c>
      <c r="X287" s="1181" t="s">
        <v>4919</v>
      </c>
      <c r="Y287" s="1181" t="s">
        <v>5963</v>
      </c>
      <c r="Z287" s="1182" t="s">
        <v>6078</v>
      </c>
    </row>
    <row r="288" spans="2:26" ht="12.75" customHeight="1" x14ac:dyDescent="0.2">
      <c r="B288" s="2252" t="str">
        <f t="shared" si="4"/>
        <v>Tierra82</v>
      </c>
      <c r="C288" s="1183"/>
      <c r="D288" s="1189" t="s">
        <v>6079</v>
      </c>
      <c r="E288" s="1179" t="s">
        <v>2034</v>
      </c>
      <c r="F288" s="1179">
        <v>82</v>
      </c>
      <c r="G288" s="1190" t="s">
        <v>2549</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5233</v>
      </c>
      <c r="W288" s="1181" t="s">
        <v>4873</v>
      </c>
      <c r="X288" s="1181" t="s">
        <v>6080</v>
      </c>
      <c r="Y288" s="1181" t="s">
        <v>6081</v>
      </c>
      <c r="Z288" s="1182" t="s">
        <v>6082</v>
      </c>
    </row>
    <row r="289" spans="2:26" ht="12.75" customHeight="1" x14ac:dyDescent="0.2">
      <c r="B289" s="2252" t="str">
        <f t="shared" si="4"/>
        <v>Tierra86</v>
      </c>
      <c r="C289" s="1183"/>
      <c r="D289" s="1189" t="s">
        <v>6083</v>
      </c>
      <c r="E289" s="1179" t="s">
        <v>2034</v>
      </c>
      <c r="F289" s="1179">
        <v>86</v>
      </c>
      <c r="G289" s="1190" t="s">
        <v>2549</v>
      </c>
      <c r="H289" s="1190" t="s">
        <v>4718</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6084</v>
      </c>
      <c r="W289" s="1181" t="s">
        <v>6085</v>
      </c>
      <c r="X289" s="1181" t="s">
        <v>6086</v>
      </c>
      <c r="Y289" s="1181" t="s">
        <v>6087</v>
      </c>
      <c r="Z289" s="1182" t="s">
        <v>6088</v>
      </c>
    </row>
    <row r="290" spans="2:26" ht="12.75" customHeight="1" x14ac:dyDescent="0.2">
      <c r="B290" s="2252" t="str">
        <f t="shared" si="4"/>
        <v>Tierra90</v>
      </c>
      <c r="C290" s="1183"/>
      <c r="D290" s="1189" t="s">
        <v>538</v>
      </c>
      <c r="E290" s="1179" t="s">
        <v>2034</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6089</v>
      </c>
      <c r="W290" s="1181" t="s">
        <v>6090</v>
      </c>
      <c r="X290" s="1181" t="s">
        <v>6091</v>
      </c>
      <c r="Y290" s="1181" t="s">
        <v>6092</v>
      </c>
      <c r="Z290" s="1182" t="s">
        <v>6093</v>
      </c>
    </row>
    <row r="291" spans="2:26" ht="12.75" customHeight="1" x14ac:dyDescent="0.2">
      <c r="B291" s="2252" t="str">
        <f t="shared" si="4"/>
        <v>Tierra92</v>
      </c>
      <c r="C291" s="1183"/>
      <c r="D291" s="1189" t="s">
        <v>6094</v>
      </c>
      <c r="E291" s="1179" t="s">
        <v>2034</v>
      </c>
      <c r="F291" s="1179">
        <v>92</v>
      </c>
      <c r="G291" s="1190" t="s">
        <v>2549</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6095</v>
      </c>
      <c r="W291" s="1181" t="s">
        <v>6096</v>
      </c>
      <c r="X291" s="1181" t="s">
        <v>6097</v>
      </c>
      <c r="Y291" s="1181" t="s">
        <v>6098</v>
      </c>
      <c r="Z291" s="1182" t="s">
        <v>6099</v>
      </c>
    </row>
    <row r="292" spans="2:26" ht="12.75" customHeight="1" x14ac:dyDescent="0.2">
      <c r="B292" s="2252" t="str">
        <f t="shared" si="4"/>
        <v>Tierra96</v>
      </c>
      <c r="C292" s="1183"/>
      <c r="D292" s="1189" t="s">
        <v>6100</v>
      </c>
      <c r="E292" s="1179" t="s">
        <v>2034</v>
      </c>
      <c r="F292" s="1179">
        <v>96</v>
      </c>
      <c r="G292" s="1190" t="s">
        <v>2549</v>
      </c>
      <c r="H292" s="1190" t="s">
        <v>4718</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6101</v>
      </c>
      <c r="W292" s="1181" t="s">
        <v>6102</v>
      </c>
      <c r="X292" s="1181" t="s">
        <v>6103</v>
      </c>
      <c r="Y292" s="1181" t="s">
        <v>6104</v>
      </c>
      <c r="Z292" s="1182" t="s">
        <v>6105</v>
      </c>
    </row>
    <row r="293" spans="2:26" ht="12.75" customHeight="1" x14ac:dyDescent="0.2">
      <c r="B293" s="2252" t="str">
        <f t="shared" si="4"/>
        <v>Tierra100</v>
      </c>
      <c r="C293" s="1183"/>
      <c r="D293" s="1189" t="s">
        <v>6106</v>
      </c>
      <c r="E293" s="1179" t="s">
        <v>2034</v>
      </c>
      <c r="F293" s="1179">
        <v>100</v>
      </c>
      <c r="G293" s="1190" t="s">
        <v>1693</v>
      </c>
      <c r="H293" s="1190" t="s">
        <v>4718</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6107</v>
      </c>
      <c r="W293" s="1181" t="s">
        <v>6108</v>
      </c>
      <c r="X293" s="1181" t="s">
        <v>6109</v>
      </c>
      <c r="Y293" s="1181" t="s">
        <v>6110</v>
      </c>
      <c r="Z293" s="1182" t="s">
        <v>6111</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6112</v>
      </c>
      <c r="E295" s="1179" t="s">
        <v>2039</v>
      </c>
      <c r="F295" s="1179">
        <v>2</v>
      </c>
      <c r="G295" s="1190" t="s">
        <v>2549</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6113</v>
      </c>
      <c r="W295" s="1181" t="s">
        <v>6114</v>
      </c>
      <c r="X295" s="1181" t="s">
        <v>6115</v>
      </c>
      <c r="Y295" s="1181" t="s">
        <v>6116</v>
      </c>
      <c r="Z295" s="1182" t="s">
        <v>6117</v>
      </c>
    </row>
    <row r="296" spans="2:26" ht="12.75" customHeight="1" x14ac:dyDescent="0.2">
      <c r="B296" s="2252" t="str">
        <f t="shared" si="4"/>
        <v>Esencia6</v>
      </c>
      <c r="C296" s="1183"/>
      <c r="D296" s="1189" t="s">
        <v>6118</v>
      </c>
      <c r="E296" s="1179" t="s">
        <v>2039</v>
      </c>
      <c r="F296" s="1179">
        <v>6</v>
      </c>
      <c r="G296" s="1190" t="s">
        <v>1693</v>
      </c>
      <c r="H296" s="1190" t="s">
        <v>5724</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6119</v>
      </c>
      <c r="W296" s="1181" t="s">
        <v>5390</v>
      </c>
      <c r="X296" s="1181" t="s">
        <v>6120</v>
      </c>
      <c r="Y296" s="1181" t="s">
        <v>6121</v>
      </c>
      <c r="Z296" s="1182" t="s">
        <v>6122</v>
      </c>
    </row>
    <row r="297" spans="2:26" ht="12.75" customHeight="1" x14ac:dyDescent="0.2">
      <c r="B297" s="2252" t="str">
        <f t="shared" si="4"/>
        <v>Esencia10</v>
      </c>
      <c r="C297" s="1183"/>
      <c r="D297" s="1189" t="s">
        <v>6123</v>
      </c>
      <c r="E297" s="1179" t="s">
        <v>2039</v>
      </c>
      <c r="F297" s="1179">
        <v>10</v>
      </c>
      <c r="G297" s="1190" t="s">
        <v>2549</v>
      </c>
      <c r="H297" s="1190" t="s">
        <v>5724</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6124</v>
      </c>
      <c r="W297" s="1181" t="s">
        <v>6125</v>
      </c>
      <c r="X297" s="1181" t="s">
        <v>6126</v>
      </c>
      <c r="Y297" s="1181" t="s">
        <v>6127</v>
      </c>
      <c r="Z297" s="1182" t="s">
        <v>6128</v>
      </c>
    </row>
    <row r="298" spans="2:26" ht="12.75" customHeight="1" x14ac:dyDescent="0.2">
      <c r="B298" s="2252" t="str">
        <f t="shared" si="4"/>
        <v>Esencia12</v>
      </c>
      <c r="C298" s="1183"/>
      <c r="D298" s="1189" t="s">
        <v>6129</v>
      </c>
      <c r="E298" s="1179" t="s">
        <v>2039</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6130</v>
      </c>
      <c r="W298" s="1181" t="s">
        <v>6131</v>
      </c>
      <c r="X298" s="1181" t="s">
        <v>6132</v>
      </c>
      <c r="Y298" s="1181" t="s">
        <v>6133</v>
      </c>
      <c r="Z298" s="1182" t="s">
        <v>6134</v>
      </c>
    </row>
    <row r="299" spans="2:26" ht="12.75" customHeight="1" x14ac:dyDescent="0.2">
      <c r="B299" s="2252" t="str">
        <f t="shared" si="4"/>
        <v>Esencia16</v>
      </c>
      <c r="C299" s="1183"/>
      <c r="D299" s="1189" t="s">
        <v>547</v>
      </c>
      <c r="E299" s="1179" t="s">
        <v>2039</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6135</v>
      </c>
      <c r="W299" s="1181" t="s">
        <v>6136</v>
      </c>
      <c r="X299" s="1181" t="s">
        <v>6137</v>
      </c>
      <c r="Y299" s="1181" t="s">
        <v>6138</v>
      </c>
      <c r="Z299" s="1182" t="s">
        <v>6139</v>
      </c>
    </row>
    <row r="300" spans="2:26" ht="12.75" customHeight="1" x14ac:dyDescent="0.2">
      <c r="B300" s="2252" t="str">
        <f t="shared" si="4"/>
        <v>Esencia20</v>
      </c>
      <c r="C300" s="1183"/>
      <c r="D300" s="1189" t="s">
        <v>6140</v>
      </c>
      <c r="E300" s="1179" t="s">
        <v>2039</v>
      </c>
      <c r="F300" s="1179">
        <v>20</v>
      </c>
      <c r="G300" s="1190" t="s">
        <v>2549</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6141</v>
      </c>
      <c r="W300" s="1181" t="s">
        <v>6142</v>
      </c>
      <c r="X300" s="1181" t="s">
        <v>6143</v>
      </c>
      <c r="Y300" s="1181" t="s">
        <v>6144</v>
      </c>
      <c r="Z300" s="1182" t="s">
        <v>6145</v>
      </c>
    </row>
    <row r="301" spans="2:26" ht="12.75" customHeight="1" x14ac:dyDescent="0.2">
      <c r="B301" s="2252" t="str">
        <f t="shared" si="4"/>
        <v>Esencia22</v>
      </c>
      <c r="C301" s="1183"/>
      <c r="D301" s="1189" t="s">
        <v>6146</v>
      </c>
      <c r="E301" s="1179" t="s">
        <v>2039</v>
      </c>
      <c r="F301" s="1179">
        <v>22</v>
      </c>
      <c r="G301" s="1190" t="s">
        <v>2549</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6147</v>
      </c>
      <c r="W301" s="1181" t="s">
        <v>6148</v>
      </c>
      <c r="X301" s="1181" t="s">
        <v>6149</v>
      </c>
      <c r="Y301" s="1181" t="s">
        <v>6150</v>
      </c>
      <c r="Z301" s="1182" t="s">
        <v>6151</v>
      </c>
    </row>
    <row r="302" spans="2:26" ht="12.75" customHeight="1" x14ac:dyDescent="0.2">
      <c r="B302" s="2252" t="str">
        <f t="shared" si="4"/>
        <v>Esencia26</v>
      </c>
      <c r="C302" s="1183"/>
      <c r="D302" s="1189" t="s">
        <v>6152</v>
      </c>
      <c r="E302" s="1179" t="s">
        <v>2039</v>
      </c>
      <c r="F302" s="1179">
        <v>26</v>
      </c>
      <c r="G302" s="1190" t="s">
        <v>1693</v>
      </c>
      <c r="H302" s="1190" t="s">
        <v>6153</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5157</v>
      </c>
      <c r="W302" s="1181" t="s">
        <v>5031</v>
      </c>
      <c r="X302" s="1181" t="s">
        <v>4834</v>
      </c>
      <c r="Y302" s="1181" t="s">
        <v>5032</v>
      </c>
      <c r="Z302" s="1182" t="s">
        <v>6154</v>
      </c>
    </row>
    <row r="303" spans="2:26" ht="12.75" customHeight="1" x14ac:dyDescent="0.2">
      <c r="B303" s="2252" t="str">
        <f t="shared" si="4"/>
        <v>Esencia30</v>
      </c>
      <c r="C303" s="1183"/>
      <c r="D303" s="1189" t="s">
        <v>6155</v>
      </c>
      <c r="E303" s="1179" t="s">
        <v>2039</v>
      </c>
      <c r="F303" s="1179">
        <v>30</v>
      </c>
      <c r="G303" s="1190" t="s">
        <v>1693</v>
      </c>
      <c r="H303" s="1190" t="s">
        <v>6153</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6156</v>
      </c>
      <c r="W303" s="1181" t="s">
        <v>6157</v>
      </c>
      <c r="X303" s="1181" t="s">
        <v>6158</v>
      </c>
      <c r="Y303" s="1181" t="s">
        <v>6159</v>
      </c>
      <c r="Z303" s="1182" t="s">
        <v>6160</v>
      </c>
    </row>
    <row r="304" spans="2:26" ht="12.75" customHeight="1" x14ac:dyDescent="0.2">
      <c r="B304" s="2252" t="str">
        <f t="shared" si="4"/>
        <v>Esencia32</v>
      </c>
      <c r="C304" s="1183"/>
      <c r="D304" s="1189" t="s">
        <v>6161</v>
      </c>
      <c r="E304" s="1179" t="s">
        <v>2039</v>
      </c>
      <c r="F304" s="1179">
        <v>32</v>
      </c>
      <c r="G304" s="1190" t="s">
        <v>1693</v>
      </c>
      <c r="H304" s="1190" t="s">
        <v>5724</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5156</v>
      </c>
      <c r="W304" s="1181" t="s">
        <v>5157</v>
      </c>
      <c r="X304" s="1181" t="s">
        <v>4834</v>
      </c>
      <c r="Y304" s="1181" t="s">
        <v>5032</v>
      </c>
      <c r="Z304" s="1182" t="s">
        <v>6162</v>
      </c>
    </row>
    <row r="305" spans="2:26" ht="12.75" customHeight="1" x14ac:dyDescent="0.2">
      <c r="B305" s="2252" t="str">
        <f t="shared" si="4"/>
        <v>Esencia36</v>
      </c>
      <c r="C305" s="1183"/>
      <c r="D305" s="1189" t="s">
        <v>6163</v>
      </c>
      <c r="E305" s="1179" t="s">
        <v>2039</v>
      </c>
      <c r="F305" s="1179">
        <v>36</v>
      </c>
      <c r="G305" s="1190" t="s">
        <v>2549</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6164</v>
      </c>
      <c r="W305" s="1181" t="s">
        <v>5182</v>
      </c>
      <c r="X305" s="1181" t="s">
        <v>6165</v>
      </c>
      <c r="Y305" s="1181" t="s">
        <v>5183</v>
      </c>
      <c r="Z305" s="1182" t="s">
        <v>6166</v>
      </c>
    </row>
    <row r="306" spans="2:26" ht="12.75" customHeight="1" x14ac:dyDescent="0.2">
      <c r="B306" s="2252" t="str">
        <f t="shared" si="4"/>
        <v>Esencia40</v>
      </c>
      <c r="C306" s="1183"/>
      <c r="D306" s="1189" t="s">
        <v>554</v>
      </c>
      <c r="E306" s="1179" t="s">
        <v>2039</v>
      </c>
      <c r="F306" s="1179">
        <v>40</v>
      </c>
      <c r="G306" s="1190" t="s">
        <v>1693</v>
      </c>
      <c r="H306" s="1190" t="s">
        <v>5724</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5059</v>
      </c>
      <c r="W306" s="1181" t="s">
        <v>6167</v>
      </c>
      <c r="X306" s="1181" t="s">
        <v>4920</v>
      </c>
      <c r="Y306" s="1181" t="s">
        <v>5060</v>
      </c>
      <c r="Z306" s="1182" t="s">
        <v>6168</v>
      </c>
    </row>
    <row r="307" spans="2:26" ht="12.75" customHeight="1" x14ac:dyDescent="0.2">
      <c r="B307" s="2252" t="str">
        <f t="shared" si="4"/>
        <v>Esencia42</v>
      </c>
      <c r="C307" s="1183"/>
      <c r="D307" s="1189" t="s">
        <v>6169</v>
      </c>
      <c r="E307" s="1179" t="s">
        <v>2039</v>
      </c>
      <c r="F307" s="1179">
        <v>42</v>
      </c>
      <c r="G307" s="1190" t="s">
        <v>1693</v>
      </c>
      <c r="H307" s="1190" t="s">
        <v>5724</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6170</v>
      </c>
      <c r="W307" s="1181" t="s">
        <v>6171</v>
      </c>
      <c r="X307" s="1181" t="s">
        <v>6172</v>
      </c>
      <c r="Y307" s="1181" t="s">
        <v>6173</v>
      </c>
      <c r="Z307" s="1182" t="s">
        <v>6174</v>
      </c>
    </row>
    <row r="308" spans="2:26" ht="12.75" customHeight="1" x14ac:dyDescent="0.2">
      <c r="B308" s="2252" t="str">
        <f t="shared" si="4"/>
        <v>Esencia46</v>
      </c>
      <c r="C308" s="1183"/>
      <c r="D308" s="1189" t="s">
        <v>6175</v>
      </c>
      <c r="E308" s="1179" t="s">
        <v>2039</v>
      </c>
      <c r="F308" s="1179">
        <v>46</v>
      </c>
      <c r="G308" s="1190" t="s">
        <v>2549</v>
      </c>
      <c r="H308" s="1190" t="s">
        <v>6153</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6176</v>
      </c>
      <c r="W308" s="1181" t="s">
        <v>6177</v>
      </c>
      <c r="X308" s="1181" t="s">
        <v>6178</v>
      </c>
      <c r="Y308" s="1181" t="s">
        <v>6179</v>
      </c>
      <c r="Z308" s="1182" t="s">
        <v>6180</v>
      </c>
    </row>
    <row r="309" spans="2:26" ht="12.75" customHeight="1" x14ac:dyDescent="0.2">
      <c r="B309" s="2252" t="str">
        <f t="shared" si="4"/>
        <v>Esencia50</v>
      </c>
      <c r="C309" s="1183"/>
      <c r="D309" s="1189" t="s">
        <v>6181</v>
      </c>
      <c r="E309" s="1179" t="s">
        <v>2039</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6182</v>
      </c>
      <c r="W309" s="1181" t="s">
        <v>6183</v>
      </c>
      <c r="X309" s="1181" t="s">
        <v>6184</v>
      </c>
      <c r="Y309" s="1181" t="s">
        <v>6185</v>
      </c>
      <c r="Z309" s="1182" t="s">
        <v>9109</v>
      </c>
    </row>
    <row r="310" spans="2:26" ht="12.75" customHeight="1" x14ac:dyDescent="0.2">
      <c r="B310" s="2252" t="str">
        <f t="shared" si="4"/>
        <v>Esencia52</v>
      </c>
      <c r="C310" s="1183"/>
      <c r="D310" s="1189" t="s">
        <v>6186</v>
      </c>
      <c r="E310" s="1179" t="s">
        <v>2039</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6187</v>
      </c>
      <c r="W310" s="1181" t="s">
        <v>6188</v>
      </c>
      <c r="X310" s="1181" t="s">
        <v>6189</v>
      </c>
      <c r="Y310" s="1181" t="s">
        <v>6190</v>
      </c>
      <c r="Z310" s="1182" t="s">
        <v>6191</v>
      </c>
    </row>
    <row r="311" spans="2:26" ht="12.75" customHeight="1" x14ac:dyDescent="0.2">
      <c r="B311" s="2252" t="str">
        <f t="shared" si="4"/>
        <v>Esencia56</v>
      </c>
      <c r="C311" s="1183"/>
      <c r="D311" s="1189" t="s">
        <v>6192</v>
      </c>
      <c r="E311" s="1179" t="s">
        <v>2039</v>
      </c>
      <c r="F311" s="1179">
        <v>56</v>
      </c>
      <c r="G311" s="1190" t="s">
        <v>2549</v>
      </c>
      <c r="H311" s="1190" t="s">
        <v>6153</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5155</v>
      </c>
      <c r="W311" s="1181" t="s">
        <v>5156</v>
      </c>
      <c r="X311" s="1181" t="s">
        <v>6050</v>
      </c>
      <c r="Y311" s="1181" t="s">
        <v>4834</v>
      </c>
      <c r="Z311" s="1182" t="s">
        <v>6193</v>
      </c>
    </row>
    <row r="312" spans="2:26" ht="12.75" customHeight="1" x14ac:dyDescent="0.2">
      <c r="B312" s="2252" t="str">
        <f t="shared" si="4"/>
        <v>Esencia60</v>
      </c>
      <c r="C312" s="1183"/>
      <c r="D312" s="1189" t="s">
        <v>6194</v>
      </c>
      <c r="E312" s="1179" t="s">
        <v>2039</v>
      </c>
      <c r="F312" s="1179">
        <v>60</v>
      </c>
      <c r="G312" s="1190" t="s">
        <v>1693</v>
      </c>
      <c r="H312" s="1190" t="s">
        <v>6153</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5200</v>
      </c>
      <c r="W312" s="1181" t="s">
        <v>5157</v>
      </c>
      <c r="X312" s="1181" t="s">
        <v>4834</v>
      </c>
      <c r="Y312" s="1181" t="s">
        <v>5032</v>
      </c>
      <c r="Z312" s="1182" t="s">
        <v>6195</v>
      </c>
    </row>
    <row r="313" spans="2:26" ht="12.75" customHeight="1" x14ac:dyDescent="0.2">
      <c r="B313" s="2252" t="str">
        <f t="shared" si="4"/>
        <v>Esencia62</v>
      </c>
      <c r="C313" s="1183"/>
      <c r="D313" s="1189" t="s">
        <v>6196</v>
      </c>
      <c r="E313" s="1179" t="s">
        <v>2039</v>
      </c>
      <c r="F313" s="1179">
        <v>62</v>
      </c>
      <c r="G313" s="1190" t="s">
        <v>1693</v>
      </c>
      <c r="H313" s="1190" t="s">
        <v>6153</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5156</v>
      </c>
      <c r="W313" s="1181" t="s">
        <v>4834</v>
      </c>
      <c r="X313" s="1181" t="s">
        <v>5033</v>
      </c>
      <c r="Y313" s="1181" t="s">
        <v>6197</v>
      </c>
      <c r="Z313" s="1182" t="s">
        <v>6198</v>
      </c>
    </row>
    <row r="314" spans="2:26" ht="12.75" customHeight="1" x14ac:dyDescent="0.2">
      <c r="B314" s="2252" t="str">
        <f t="shared" si="4"/>
        <v>Esencia66</v>
      </c>
      <c r="C314" s="1183"/>
      <c r="D314" s="1189" t="s">
        <v>562</v>
      </c>
      <c r="E314" s="1179" t="s">
        <v>2039</v>
      </c>
      <c r="F314" s="1179">
        <v>66</v>
      </c>
      <c r="G314" s="1190" t="s">
        <v>2549</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6199</v>
      </c>
      <c r="W314" s="1181" t="s">
        <v>6200</v>
      </c>
      <c r="X314" s="1181" t="s">
        <v>6201</v>
      </c>
      <c r="Y314" s="1181" t="s">
        <v>6202</v>
      </c>
      <c r="Z314" s="1182" t="s">
        <v>6203</v>
      </c>
    </row>
    <row r="315" spans="2:26" ht="12.75" customHeight="1" x14ac:dyDescent="0.2">
      <c r="B315" s="2252" t="str">
        <f t="shared" si="4"/>
        <v>Esencia70</v>
      </c>
      <c r="C315" s="1183"/>
      <c r="D315" s="1189" t="s">
        <v>6204</v>
      </c>
      <c r="E315" s="1179" t="s">
        <v>2039</v>
      </c>
      <c r="F315" s="1179">
        <v>70</v>
      </c>
      <c r="G315" s="1190" t="s">
        <v>2549</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5200</v>
      </c>
      <c r="W315" s="1181" t="s">
        <v>5156</v>
      </c>
      <c r="X315" s="1181" t="s">
        <v>5157</v>
      </c>
      <c r="Y315" s="1181" t="s">
        <v>4834</v>
      </c>
      <c r="Z315" s="1182" t="s">
        <v>6205</v>
      </c>
    </row>
    <row r="316" spans="2:26" ht="12.75" customHeight="1" x14ac:dyDescent="0.2">
      <c r="B316" s="2252" t="str">
        <f t="shared" si="4"/>
        <v>Esencia72</v>
      </c>
      <c r="C316" s="1183"/>
      <c r="D316" s="1189" t="s">
        <v>6206</v>
      </c>
      <c r="E316" s="1179" t="s">
        <v>2039</v>
      </c>
      <c r="F316" s="1179">
        <v>72</v>
      </c>
      <c r="G316" s="1190" t="s">
        <v>3143</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5166</v>
      </c>
      <c r="W316" s="1181" t="s">
        <v>6207</v>
      </c>
      <c r="X316" s="1181" t="s">
        <v>6208</v>
      </c>
      <c r="Y316" s="1181" t="s">
        <v>6209</v>
      </c>
      <c r="Z316" s="1182" t="s">
        <v>6210</v>
      </c>
    </row>
    <row r="317" spans="2:26" ht="12.75" customHeight="1" x14ac:dyDescent="0.2">
      <c r="B317" s="2252" t="str">
        <f t="shared" si="4"/>
        <v>Esencia76</v>
      </c>
      <c r="C317" s="1183"/>
      <c r="D317" s="1189" t="s">
        <v>6211</v>
      </c>
      <c r="E317" s="1179" t="s">
        <v>2039</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6212</v>
      </c>
      <c r="W317" s="1181" t="s">
        <v>6213</v>
      </c>
      <c r="X317" s="1181" t="s">
        <v>6214</v>
      </c>
      <c r="Y317" s="1181" t="s">
        <v>6215</v>
      </c>
      <c r="Z317" s="1182" t="s">
        <v>6216</v>
      </c>
    </row>
    <row r="318" spans="2:26" ht="12.75" customHeight="1" x14ac:dyDescent="0.2">
      <c r="B318" s="2252" t="str">
        <f t="shared" si="4"/>
        <v>Esencia80</v>
      </c>
      <c r="C318" s="1183"/>
      <c r="D318" s="1189" t="s">
        <v>6217</v>
      </c>
      <c r="E318" s="1179" t="s">
        <v>2039</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6218</v>
      </c>
      <c r="W318" s="1181" t="s">
        <v>6219</v>
      </c>
      <c r="X318" s="1181" t="s">
        <v>6220</v>
      </c>
      <c r="Y318" s="1181" t="s">
        <v>6221</v>
      </c>
      <c r="Z318" s="1182" t="s">
        <v>6222</v>
      </c>
    </row>
    <row r="319" spans="2:26" ht="12.75" customHeight="1" x14ac:dyDescent="0.2">
      <c r="B319" s="2252" t="str">
        <f t="shared" si="4"/>
        <v>Esencia82</v>
      </c>
      <c r="C319" s="1183"/>
      <c r="D319" s="1189" t="s">
        <v>6223</v>
      </c>
      <c r="E319" s="1179" t="s">
        <v>2039</v>
      </c>
      <c r="F319" s="1179">
        <v>82</v>
      </c>
      <c r="G319" s="1190" t="s">
        <v>2549</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5233</v>
      </c>
      <c r="W319" s="1181" t="s">
        <v>4873</v>
      </c>
      <c r="X319" s="1181" t="s">
        <v>6080</v>
      </c>
      <c r="Y319" s="1181" t="s">
        <v>6081</v>
      </c>
      <c r="Z319" s="1182" t="s">
        <v>6224</v>
      </c>
    </row>
    <row r="320" spans="2:26" ht="12.75" customHeight="1" x14ac:dyDescent="0.2">
      <c r="B320" s="2252" t="str">
        <f t="shared" si="4"/>
        <v>Esencia86</v>
      </c>
      <c r="C320" s="1183"/>
      <c r="D320" s="1189" t="s">
        <v>6225</v>
      </c>
      <c r="E320" s="1179" t="s">
        <v>2039</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6226</v>
      </c>
      <c r="W320" s="1181" t="s">
        <v>6227</v>
      </c>
      <c r="X320" s="1181" t="s">
        <v>6228</v>
      </c>
      <c r="Y320" s="1181" t="s">
        <v>6229</v>
      </c>
      <c r="Z320" s="1182" t="s">
        <v>6230</v>
      </c>
    </row>
    <row r="321" spans="2:26" ht="12.75" customHeight="1" x14ac:dyDescent="0.2">
      <c r="B321" s="2252" t="str">
        <f t="shared" si="4"/>
        <v>Esencia90</v>
      </c>
      <c r="C321" s="1183"/>
      <c r="D321" s="1189" t="s">
        <v>569</v>
      </c>
      <c r="E321" s="1179" t="s">
        <v>2039</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6071</v>
      </c>
      <c r="W321" s="1181" t="s">
        <v>6231</v>
      </c>
      <c r="X321" s="1181" t="s">
        <v>6232</v>
      </c>
      <c r="Y321" s="1181" t="s">
        <v>6233</v>
      </c>
      <c r="Z321" s="1182" t="s">
        <v>6234</v>
      </c>
    </row>
    <row r="322" spans="2:26" ht="12.75" customHeight="1" x14ac:dyDescent="0.2">
      <c r="B322" s="2252" t="str">
        <f t="shared" si="4"/>
        <v>Esencia92</v>
      </c>
      <c r="C322" s="1183"/>
      <c r="D322" s="1189" t="s">
        <v>6235</v>
      </c>
      <c r="E322" s="1179" t="s">
        <v>2039</v>
      </c>
      <c r="F322" s="1179">
        <v>92</v>
      </c>
      <c r="G322" s="1190" t="s">
        <v>2549</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6236</v>
      </c>
      <c r="W322" s="1181" t="s">
        <v>6237</v>
      </c>
      <c r="X322" s="1181" t="s">
        <v>6238</v>
      </c>
      <c r="Y322" s="1181" t="s">
        <v>6239</v>
      </c>
      <c r="Z322" s="1182" t="s">
        <v>6240</v>
      </c>
    </row>
    <row r="323" spans="2:26" ht="12.75" customHeight="1" x14ac:dyDescent="0.2">
      <c r="B323" s="2252" t="str">
        <f t="shared" si="4"/>
        <v>Esencia96</v>
      </c>
      <c r="C323" s="1183"/>
      <c r="D323" s="1189" t="s">
        <v>571</v>
      </c>
      <c r="E323" s="1179" t="s">
        <v>2039</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6241</v>
      </c>
      <c r="W323" s="1181" t="s">
        <v>6242</v>
      </c>
      <c r="X323" s="1181" t="s">
        <v>6243</v>
      </c>
      <c r="Y323" s="1181" t="s">
        <v>6244</v>
      </c>
      <c r="Z323" s="1182" t="s">
        <v>6245</v>
      </c>
    </row>
    <row r="324" spans="2:26" ht="12.75" customHeight="1" x14ac:dyDescent="0.2">
      <c r="B324" s="2252" t="str">
        <f t="shared" si="4"/>
        <v>Esencia100</v>
      </c>
      <c r="C324" s="1183"/>
      <c r="D324" s="1189" t="s">
        <v>6246</v>
      </c>
      <c r="E324" s="1179" t="s">
        <v>2039</v>
      </c>
      <c r="F324" s="1179">
        <v>100</v>
      </c>
      <c r="G324" s="1190" t="s">
        <v>2549</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6247</v>
      </c>
      <c r="W324" s="1181" t="s">
        <v>6248</v>
      </c>
      <c r="X324" s="1181" t="s">
        <v>6249</v>
      </c>
      <c r="Y324" s="1181" t="s">
        <v>6250</v>
      </c>
      <c r="Z324" s="1182" t="s">
        <v>6251</v>
      </c>
    </row>
    <row r="325" spans="2:26" ht="12.75" customHeight="1" x14ac:dyDescent="0.2">
      <c r="B325" s="2252" t="str">
        <f t="shared" si="4"/>
        <v/>
      </c>
      <c r="C325" s="1183"/>
      <c r="D325" s="1189" t="s">
        <v>9114</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6252</v>
      </c>
      <c r="E326" s="1179" t="s">
        <v>2041</v>
      </c>
      <c r="F326" s="1179">
        <v>2</v>
      </c>
      <c r="G326" s="1190" t="s">
        <v>1693</v>
      </c>
      <c r="H326" s="1190" t="s">
        <v>4718</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6253</v>
      </c>
      <c r="W326" s="1181" t="s">
        <v>6254</v>
      </c>
      <c r="X326" s="1181" t="s">
        <v>4829</v>
      </c>
      <c r="Y326" s="1181" t="s">
        <v>4830</v>
      </c>
      <c r="Z326" s="1182" t="s">
        <v>6255</v>
      </c>
    </row>
    <row r="327" spans="2:26" ht="12.75" customHeight="1" x14ac:dyDescent="0.2">
      <c r="B327" s="2252" t="str">
        <f t="shared" si="4"/>
        <v>Ilusión6</v>
      </c>
      <c r="C327" s="1183"/>
      <c r="D327" s="1189" t="s">
        <v>6256</v>
      </c>
      <c r="E327" s="1179" t="s">
        <v>2041</v>
      </c>
      <c r="F327" s="1179">
        <v>6</v>
      </c>
      <c r="G327" s="1190" t="s">
        <v>1693</v>
      </c>
      <c r="H327" s="1190" t="s">
        <v>4718</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6253</v>
      </c>
      <c r="W327" s="1181" t="s">
        <v>6254</v>
      </c>
      <c r="X327" s="1181" t="s">
        <v>4829</v>
      </c>
      <c r="Y327" s="1181" t="s">
        <v>4830</v>
      </c>
      <c r="Z327" s="1182" t="s">
        <v>6257</v>
      </c>
    </row>
    <row r="328" spans="2:26" ht="12.75" customHeight="1" x14ac:dyDescent="0.2">
      <c r="B328" s="2252" t="str">
        <f t="shared" ref="B328:B391" si="5">E328&amp;F328</f>
        <v>Ilusión10</v>
      </c>
      <c r="C328" s="1183"/>
      <c r="D328" s="1189" t="s">
        <v>6258</v>
      </c>
      <c r="E328" s="1179" t="s">
        <v>2041</v>
      </c>
      <c r="F328" s="1179">
        <v>10</v>
      </c>
      <c r="G328" s="1190" t="s">
        <v>1693</v>
      </c>
      <c r="H328" s="1190" t="s">
        <v>4718</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6253</v>
      </c>
      <c r="W328" s="1181" t="s">
        <v>6254</v>
      </c>
      <c r="X328" s="1181" t="s">
        <v>4829</v>
      </c>
      <c r="Y328" s="1181" t="s">
        <v>4830</v>
      </c>
      <c r="Z328" s="1182" t="s">
        <v>9115</v>
      </c>
    </row>
    <row r="329" spans="2:26" ht="12.75" customHeight="1" x14ac:dyDescent="0.2">
      <c r="B329" s="2252" t="str">
        <f t="shared" si="5"/>
        <v>Ilusión12</v>
      </c>
      <c r="C329" s="1183"/>
      <c r="D329" s="1189" t="s">
        <v>6259</v>
      </c>
      <c r="E329" s="1179" t="s">
        <v>2041</v>
      </c>
      <c r="F329" s="1179">
        <v>12</v>
      </c>
      <c r="G329" s="1190" t="s">
        <v>1693</v>
      </c>
      <c r="H329" s="1190" t="s">
        <v>4718</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6260</v>
      </c>
      <c r="W329" s="1181" t="s">
        <v>6261</v>
      </c>
      <c r="X329" s="1181" t="s">
        <v>6262</v>
      </c>
      <c r="Y329" s="1181" t="s">
        <v>6263</v>
      </c>
      <c r="Z329" s="1182" t="s">
        <v>6264</v>
      </c>
    </row>
    <row r="330" spans="2:26" ht="12.75" customHeight="1" x14ac:dyDescent="0.2">
      <c r="B330" s="2252" t="str">
        <f t="shared" si="5"/>
        <v>Ilusión16</v>
      </c>
      <c r="C330" s="1183"/>
      <c r="D330" s="1189" t="s">
        <v>9116</v>
      </c>
      <c r="E330" s="1179" t="s">
        <v>2041</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6265</v>
      </c>
      <c r="W330" s="1181" t="s">
        <v>6266</v>
      </c>
      <c r="X330" s="1181" t="s">
        <v>6267</v>
      </c>
      <c r="Y330" s="1181" t="s">
        <v>6268</v>
      </c>
      <c r="Z330" s="1182" t="s">
        <v>9117</v>
      </c>
    </row>
    <row r="331" spans="2:26" ht="12.75" customHeight="1" x14ac:dyDescent="0.2">
      <c r="B331" s="2252" t="str">
        <f t="shared" si="5"/>
        <v>Ilusión20</v>
      </c>
      <c r="C331" s="1183"/>
      <c r="D331" s="1189" t="s">
        <v>580</v>
      </c>
      <c r="E331" s="1179" t="s">
        <v>2041</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6269</v>
      </c>
      <c r="W331" s="1181" t="s">
        <v>6270</v>
      </c>
      <c r="X331" s="1181" t="s">
        <v>6271</v>
      </c>
      <c r="Y331" s="1181" t="s">
        <v>6272</v>
      </c>
      <c r="Z331" s="1182" t="s">
        <v>6273</v>
      </c>
    </row>
    <row r="332" spans="2:26" ht="12.75" customHeight="1" x14ac:dyDescent="0.2">
      <c r="B332" s="2252" t="str">
        <f t="shared" si="5"/>
        <v>Ilusión22</v>
      </c>
      <c r="C332" s="1183"/>
      <c r="D332" s="1189" t="s">
        <v>6274</v>
      </c>
      <c r="E332" s="1179" t="s">
        <v>2041</v>
      </c>
      <c r="F332" s="1179">
        <v>22</v>
      </c>
      <c r="G332" s="1190" t="s">
        <v>2549</v>
      </c>
      <c r="H332" s="1190" t="s">
        <v>4718</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5156</v>
      </c>
      <c r="W332" s="1181" t="s">
        <v>5031</v>
      </c>
      <c r="X332" s="1181" t="s">
        <v>5032</v>
      </c>
      <c r="Y332" s="1181" t="s">
        <v>5033</v>
      </c>
      <c r="Z332" s="1182" t="s">
        <v>6275</v>
      </c>
    </row>
    <row r="333" spans="2:26" ht="12.75" customHeight="1" x14ac:dyDescent="0.2">
      <c r="B333" s="2252" t="str">
        <f t="shared" si="5"/>
        <v>Ilusión26</v>
      </c>
      <c r="C333" s="1183"/>
      <c r="D333" s="1189" t="s">
        <v>6276</v>
      </c>
      <c r="E333" s="1179" t="s">
        <v>2041</v>
      </c>
      <c r="F333" s="1179">
        <v>26</v>
      </c>
      <c r="G333" s="1190" t="s">
        <v>1693</v>
      </c>
      <c r="H333" s="1190" t="s">
        <v>4718</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6277</v>
      </c>
      <c r="W333" s="1181" t="s">
        <v>6278</v>
      </c>
      <c r="X333" s="1181" t="s">
        <v>6279</v>
      </c>
      <c r="Y333" s="1181" t="s">
        <v>6280</v>
      </c>
      <c r="Z333" s="1182" t="s">
        <v>9118</v>
      </c>
    </row>
    <row r="334" spans="2:26" ht="12.75" customHeight="1" x14ac:dyDescent="0.2">
      <c r="B334" s="2252" t="str">
        <f t="shared" si="5"/>
        <v>Ilusión30</v>
      </c>
      <c r="C334" s="1183"/>
      <c r="D334" s="1189" t="s">
        <v>6281</v>
      </c>
      <c r="E334" s="1179" t="s">
        <v>2041</v>
      </c>
      <c r="F334" s="1179">
        <v>30</v>
      </c>
      <c r="G334" s="1190" t="s">
        <v>1693</v>
      </c>
      <c r="H334" s="1190" t="s">
        <v>4718</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6282</v>
      </c>
      <c r="W334" s="1181" t="s">
        <v>6283</v>
      </c>
      <c r="X334" s="1181" t="s">
        <v>6284</v>
      </c>
      <c r="Y334" s="1181" t="s">
        <v>6285</v>
      </c>
      <c r="Z334" s="1182" t="s">
        <v>6286</v>
      </c>
    </row>
    <row r="335" spans="2:26" ht="12.75" customHeight="1" x14ac:dyDescent="0.2">
      <c r="B335" s="2252" t="str">
        <f t="shared" si="5"/>
        <v>Ilusión32</v>
      </c>
      <c r="C335" s="1183"/>
      <c r="D335" s="1189" t="s">
        <v>6287</v>
      </c>
      <c r="E335" s="1179" t="s">
        <v>2041</v>
      </c>
      <c r="F335" s="1179">
        <v>32</v>
      </c>
      <c r="G335" s="1190" t="s">
        <v>1693</v>
      </c>
      <c r="H335" s="1190" t="s">
        <v>4718</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6288</v>
      </c>
      <c r="W335" s="1181" t="s">
        <v>6289</v>
      </c>
      <c r="X335" s="1181" t="s">
        <v>6290</v>
      </c>
      <c r="Y335" s="1181" t="s">
        <v>6291</v>
      </c>
      <c r="Z335" s="1182" t="s">
        <v>6292</v>
      </c>
    </row>
    <row r="336" spans="2:26" ht="12.75" customHeight="1" x14ac:dyDescent="0.2">
      <c r="B336" s="2252" t="str">
        <f t="shared" si="5"/>
        <v>Ilusión36</v>
      </c>
      <c r="C336" s="1183"/>
      <c r="D336" s="1189" t="s">
        <v>585</v>
      </c>
      <c r="E336" s="1179" t="s">
        <v>2041</v>
      </c>
      <c r="F336" s="1179">
        <v>36</v>
      </c>
      <c r="G336" s="1190" t="s">
        <v>1693</v>
      </c>
      <c r="H336" s="1190" t="s">
        <v>5666</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6293</v>
      </c>
      <c r="W336" s="1181" t="s">
        <v>6289</v>
      </c>
      <c r="X336" s="1181" t="s">
        <v>6294</v>
      </c>
      <c r="Y336" s="1181" t="s">
        <v>6290</v>
      </c>
      <c r="Z336" s="1182" t="s">
        <v>6295</v>
      </c>
    </row>
    <row r="337" spans="2:26" ht="12.75" customHeight="1" x14ac:dyDescent="0.2">
      <c r="B337" s="2252" t="str">
        <f t="shared" si="5"/>
        <v>Ilusión40</v>
      </c>
      <c r="C337" s="1183"/>
      <c r="D337" s="1189" t="s">
        <v>6296</v>
      </c>
      <c r="E337" s="1179" t="s">
        <v>2041</v>
      </c>
      <c r="F337" s="1179">
        <v>40</v>
      </c>
      <c r="G337" s="1190" t="s">
        <v>2549</v>
      </c>
      <c r="H337" s="1190" t="s">
        <v>4718</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6297</v>
      </c>
      <c r="W337" s="1181" t="s">
        <v>6298</v>
      </c>
      <c r="X337" s="1181" t="s">
        <v>6299</v>
      </c>
      <c r="Y337" s="1181" t="s">
        <v>6300</v>
      </c>
      <c r="Z337" s="1182" t="s">
        <v>6301</v>
      </c>
    </row>
    <row r="338" spans="2:26" ht="12.75" customHeight="1" x14ac:dyDescent="0.2">
      <c r="B338" s="2252" t="str">
        <f t="shared" si="5"/>
        <v>Ilusión42</v>
      </c>
      <c r="C338" s="1183"/>
      <c r="D338" s="1189" t="s">
        <v>9119</v>
      </c>
      <c r="E338" s="1179" t="s">
        <v>2041</v>
      </c>
      <c r="F338" s="1179">
        <v>42</v>
      </c>
      <c r="G338" s="1190" t="s">
        <v>2549</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6302</v>
      </c>
      <c r="W338" s="1181" t="s">
        <v>6303</v>
      </c>
      <c r="X338" s="1181" t="s">
        <v>6304</v>
      </c>
      <c r="Y338" s="1181" t="s">
        <v>6305</v>
      </c>
      <c r="Z338" s="1182" t="s">
        <v>6306</v>
      </c>
    </row>
    <row r="339" spans="2:26" ht="12.75" customHeight="1" x14ac:dyDescent="0.2">
      <c r="B339" s="2252" t="str">
        <f t="shared" si="5"/>
        <v>Ilusión46</v>
      </c>
      <c r="C339" s="1183"/>
      <c r="D339" s="1189" t="s">
        <v>6307</v>
      </c>
      <c r="E339" s="1179" t="s">
        <v>2041</v>
      </c>
      <c r="F339" s="1179">
        <v>46</v>
      </c>
      <c r="G339" s="1190" t="s">
        <v>2549</v>
      </c>
      <c r="H339" s="1190" t="s">
        <v>4718</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6308</v>
      </c>
      <c r="W339" s="1181" t="s">
        <v>6309</v>
      </c>
      <c r="X339" s="1181" t="s">
        <v>6310</v>
      </c>
      <c r="Y339" s="1181" t="s">
        <v>6311</v>
      </c>
      <c r="Z339" s="1182" t="s">
        <v>6312</v>
      </c>
    </row>
    <row r="340" spans="2:26" ht="12.75" customHeight="1" x14ac:dyDescent="0.2">
      <c r="B340" s="2252" t="str">
        <f t="shared" si="5"/>
        <v>Ilusión50</v>
      </c>
      <c r="C340" s="1183"/>
      <c r="D340" s="1189" t="s">
        <v>4480</v>
      </c>
      <c r="E340" s="1179" t="s">
        <v>2041</v>
      </c>
      <c r="F340" s="1179">
        <v>50</v>
      </c>
      <c r="G340" s="1190" t="s">
        <v>1693</v>
      </c>
      <c r="H340" s="1190" t="s">
        <v>4718</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6313</v>
      </c>
      <c r="W340" s="1181" t="s">
        <v>6314</v>
      </c>
      <c r="X340" s="1181" t="s">
        <v>6315</v>
      </c>
      <c r="Y340" s="1181" t="s">
        <v>6316</v>
      </c>
      <c r="Z340" s="1182" t="s">
        <v>6317</v>
      </c>
    </row>
    <row r="341" spans="2:26" ht="12.75" customHeight="1" x14ac:dyDescent="0.2">
      <c r="B341" s="2252" t="str">
        <f t="shared" si="5"/>
        <v>Ilusión52</v>
      </c>
      <c r="C341" s="1183"/>
      <c r="D341" s="1189" t="s">
        <v>6318</v>
      </c>
      <c r="E341" s="1179" t="s">
        <v>2041</v>
      </c>
      <c r="F341" s="1179">
        <v>52</v>
      </c>
      <c r="G341" s="1190" t="s">
        <v>2549</v>
      </c>
      <c r="H341" s="1190" t="s">
        <v>4718</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6319</v>
      </c>
      <c r="W341" s="1181" t="s">
        <v>6320</v>
      </c>
      <c r="X341" s="1181" t="s">
        <v>6321</v>
      </c>
      <c r="Y341" s="1181" t="s">
        <v>6322</v>
      </c>
      <c r="Z341" s="1182" t="s">
        <v>6323</v>
      </c>
    </row>
    <row r="342" spans="2:26" ht="12.75" customHeight="1" x14ac:dyDescent="0.2">
      <c r="B342" s="2252" t="str">
        <f t="shared" si="5"/>
        <v>Ilusión56</v>
      </c>
      <c r="C342" s="1183"/>
      <c r="D342" s="1189" t="s">
        <v>591</v>
      </c>
      <c r="E342" s="1179" t="s">
        <v>2041</v>
      </c>
      <c r="F342" s="1179">
        <v>56</v>
      </c>
      <c r="G342" s="1190" t="s">
        <v>2549</v>
      </c>
      <c r="H342" s="1190" t="s">
        <v>5666</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5200</v>
      </c>
      <c r="W342" s="1181" t="s">
        <v>5156</v>
      </c>
      <c r="X342" s="1181" t="s">
        <v>5157</v>
      </c>
      <c r="Y342" s="1181" t="s">
        <v>5031</v>
      </c>
      <c r="Z342" s="1182" t="s">
        <v>9120</v>
      </c>
    </row>
    <row r="343" spans="2:26" ht="12.75" customHeight="1" x14ac:dyDescent="0.2">
      <c r="B343" s="2252" t="str">
        <f t="shared" si="5"/>
        <v>Ilusión60</v>
      </c>
      <c r="C343" s="1183"/>
      <c r="D343" s="1189" t="s">
        <v>9121</v>
      </c>
      <c r="E343" s="1179" t="s">
        <v>2041</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6324</v>
      </c>
      <c r="W343" s="1181" t="s">
        <v>6325</v>
      </c>
      <c r="X343" s="1181" t="s">
        <v>6326</v>
      </c>
      <c r="Y343" s="1181" t="s">
        <v>6327</v>
      </c>
      <c r="Z343" s="1182" t="s">
        <v>6328</v>
      </c>
    </row>
    <row r="344" spans="2:26" ht="12.75" customHeight="1" x14ac:dyDescent="0.2">
      <c r="B344" s="2252" t="str">
        <f t="shared" si="5"/>
        <v>Ilusión62</v>
      </c>
      <c r="C344" s="1183"/>
      <c r="D344" s="1189" t="s">
        <v>6329</v>
      </c>
      <c r="E344" s="1179" t="s">
        <v>2041</v>
      </c>
      <c r="F344" s="1179">
        <v>62</v>
      </c>
      <c r="G344" s="1190" t="s">
        <v>1693</v>
      </c>
      <c r="H344" s="1190" t="s">
        <v>4718</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6297</v>
      </c>
      <c r="W344" s="1181" t="s">
        <v>6298</v>
      </c>
      <c r="X344" s="1181" t="s">
        <v>6299</v>
      </c>
      <c r="Y344" s="1181" t="s">
        <v>6300</v>
      </c>
      <c r="Z344" s="1182" t="s">
        <v>9122</v>
      </c>
    </row>
    <row r="345" spans="2:26" ht="12.75" customHeight="1" x14ac:dyDescent="0.2">
      <c r="B345" s="2252" t="str">
        <f t="shared" si="5"/>
        <v>Ilusión66</v>
      </c>
      <c r="C345" s="1183"/>
      <c r="D345" s="1189" t="s">
        <v>594</v>
      </c>
      <c r="E345" s="1179" t="s">
        <v>2041</v>
      </c>
      <c r="F345" s="1179">
        <v>66</v>
      </c>
      <c r="G345" s="1190" t="s">
        <v>1693</v>
      </c>
      <c r="H345" s="1190" t="s">
        <v>5666</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5157</v>
      </c>
      <c r="W345" s="1181" t="s">
        <v>5031</v>
      </c>
      <c r="X345" s="1181" t="s">
        <v>4834</v>
      </c>
      <c r="Y345" s="1181" t="s">
        <v>5032</v>
      </c>
      <c r="Z345" s="1182" t="s">
        <v>6330</v>
      </c>
    </row>
    <row r="346" spans="2:26" ht="12.75" customHeight="1" x14ac:dyDescent="0.2">
      <c r="B346" s="2252" t="str">
        <f t="shared" si="5"/>
        <v>Ilusión70</v>
      </c>
      <c r="C346" s="1183"/>
      <c r="D346" s="1189" t="s">
        <v>6331</v>
      </c>
      <c r="E346" s="1179" t="s">
        <v>2041</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6332</v>
      </c>
      <c r="W346" s="1181" t="s">
        <v>6333</v>
      </c>
      <c r="X346" s="1181" t="s">
        <v>6334</v>
      </c>
      <c r="Y346" s="1181" t="s">
        <v>6335</v>
      </c>
      <c r="Z346" s="1182" t="s">
        <v>6336</v>
      </c>
    </row>
    <row r="347" spans="2:26" ht="12.75" customHeight="1" x14ac:dyDescent="0.2">
      <c r="B347" s="2252" t="str">
        <f t="shared" si="5"/>
        <v>Ilusión72</v>
      </c>
      <c r="C347" s="1183"/>
      <c r="D347" s="1189" t="s">
        <v>6337</v>
      </c>
      <c r="E347" s="1179" t="s">
        <v>2041</v>
      </c>
      <c r="F347" s="1179">
        <v>72</v>
      </c>
      <c r="G347" s="1190" t="s">
        <v>2549</v>
      </c>
      <c r="H347" s="1190" t="s">
        <v>5666</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6338</v>
      </c>
      <c r="W347" s="1181" t="s">
        <v>5173</v>
      </c>
      <c r="X347" s="1181" t="s">
        <v>6339</v>
      </c>
      <c r="Y347" s="1181" t="s">
        <v>5174</v>
      </c>
      <c r="Z347" s="1182" t="s">
        <v>9123</v>
      </c>
    </row>
    <row r="348" spans="2:26" ht="12.75" customHeight="1" x14ac:dyDescent="0.2">
      <c r="B348" s="2252" t="str">
        <f t="shared" si="5"/>
        <v>Ilusión76</v>
      </c>
      <c r="C348" s="1183"/>
      <c r="D348" s="1189" t="s">
        <v>6340</v>
      </c>
      <c r="E348" s="1179" t="s">
        <v>2041</v>
      </c>
      <c r="F348" s="1179">
        <v>76</v>
      </c>
      <c r="G348" s="1190" t="s">
        <v>2549</v>
      </c>
      <c r="H348" s="1190" t="s">
        <v>5666</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6338</v>
      </c>
      <c r="W348" s="1181" t="s">
        <v>5173</v>
      </c>
      <c r="X348" s="1181" t="s">
        <v>6339</v>
      </c>
      <c r="Y348" s="1181" t="s">
        <v>5174</v>
      </c>
      <c r="Z348" s="1182" t="s">
        <v>9124</v>
      </c>
    </row>
    <row r="349" spans="2:26" ht="12.75" customHeight="1" x14ac:dyDescent="0.2">
      <c r="B349" s="2252" t="str">
        <f t="shared" si="5"/>
        <v>Ilusión80</v>
      </c>
      <c r="C349" s="1183"/>
      <c r="D349" s="1189" t="s">
        <v>4481</v>
      </c>
      <c r="E349" s="1179" t="s">
        <v>2041</v>
      </c>
      <c r="F349" s="1179">
        <v>80</v>
      </c>
      <c r="G349" s="1190" t="s">
        <v>2549</v>
      </c>
      <c r="H349" s="1190" t="s">
        <v>4718</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6341</v>
      </c>
      <c r="W349" s="1181" t="s">
        <v>6342</v>
      </c>
      <c r="X349" s="1181" t="s">
        <v>6343</v>
      </c>
      <c r="Y349" s="1181" t="s">
        <v>6344</v>
      </c>
      <c r="Z349" s="1182" t="s">
        <v>6345</v>
      </c>
    </row>
    <row r="350" spans="2:26" ht="12.75" customHeight="1" x14ac:dyDescent="0.2">
      <c r="B350" s="2252" t="str">
        <f t="shared" si="5"/>
        <v>Ilusión82</v>
      </c>
      <c r="C350" s="1183"/>
      <c r="D350" s="1189" t="s">
        <v>6346</v>
      </c>
      <c r="E350" s="1179" t="s">
        <v>2041</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6347</v>
      </c>
      <c r="W350" s="1181" t="s">
        <v>6348</v>
      </c>
      <c r="X350" s="1181" t="s">
        <v>6349</v>
      </c>
      <c r="Y350" s="1181" t="s">
        <v>6350</v>
      </c>
      <c r="Z350" s="1182" t="s">
        <v>6351</v>
      </c>
    </row>
    <row r="351" spans="2:26" ht="12.75" customHeight="1" x14ac:dyDescent="0.2">
      <c r="B351" s="2252" t="str">
        <f t="shared" si="5"/>
        <v>Ilusión86</v>
      </c>
      <c r="C351" s="1183"/>
      <c r="D351" s="1189" t="s">
        <v>6352</v>
      </c>
      <c r="E351" s="1179" t="s">
        <v>2041</v>
      </c>
      <c r="F351" s="1179">
        <v>86</v>
      </c>
      <c r="G351" s="1190" t="s">
        <v>1693</v>
      </c>
      <c r="H351" s="1190" t="s">
        <v>5666</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6308</v>
      </c>
      <c r="W351" s="1181" t="s">
        <v>6353</v>
      </c>
      <c r="X351" s="1181" t="s">
        <v>6354</v>
      </c>
      <c r="Y351" s="1181" t="s">
        <v>6355</v>
      </c>
      <c r="Z351" s="1182" t="s">
        <v>6356</v>
      </c>
    </row>
    <row r="352" spans="2:26" ht="12.75" customHeight="1" x14ac:dyDescent="0.2">
      <c r="B352" s="2252" t="str">
        <f t="shared" si="5"/>
        <v>Ilusión90</v>
      </c>
      <c r="C352" s="1183"/>
      <c r="D352" s="1189" t="s">
        <v>601</v>
      </c>
      <c r="E352" s="1179" t="s">
        <v>2041</v>
      </c>
      <c r="F352" s="1179">
        <v>90</v>
      </c>
      <c r="G352" s="1190" t="s">
        <v>2549</v>
      </c>
      <c r="H352" s="1190" t="s">
        <v>4718</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5156</v>
      </c>
      <c r="W352" s="1181" t="s">
        <v>5157</v>
      </c>
      <c r="X352" s="1181" t="s">
        <v>5031</v>
      </c>
      <c r="Y352" s="1181" t="s">
        <v>4834</v>
      </c>
      <c r="Z352" s="1182" t="s">
        <v>6357</v>
      </c>
    </row>
    <row r="353" spans="2:26" ht="12.75" customHeight="1" x14ac:dyDescent="0.2">
      <c r="B353" s="2252" t="str">
        <f t="shared" si="5"/>
        <v>Ilusión92</v>
      </c>
      <c r="C353" s="1183"/>
      <c r="D353" s="1189" t="s">
        <v>6358</v>
      </c>
      <c r="E353" s="1179" t="s">
        <v>2041</v>
      </c>
      <c r="F353" s="1179">
        <v>92</v>
      </c>
      <c r="G353" s="1190" t="s">
        <v>2549</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6359</v>
      </c>
      <c r="W353" s="1181" t="s">
        <v>4875</v>
      </c>
      <c r="X353" s="1181" t="s">
        <v>6360</v>
      </c>
      <c r="Y353" s="1181" t="s">
        <v>6361</v>
      </c>
      <c r="Z353" s="1182" t="s">
        <v>6362</v>
      </c>
    </row>
    <row r="354" spans="2:26" ht="12.75" customHeight="1" x14ac:dyDescent="0.2">
      <c r="B354" s="2252" t="str">
        <f t="shared" si="5"/>
        <v>Ilusión96</v>
      </c>
      <c r="C354" s="1183"/>
      <c r="D354" s="1189" t="s">
        <v>6363</v>
      </c>
      <c r="E354" s="1179" t="s">
        <v>2041</v>
      </c>
      <c r="F354" s="1179">
        <v>96</v>
      </c>
      <c r="G354" s="1190" t="s">
        <v>1693</v>
      </c>
      <c r="H354" s="1190" t="s">
        <v>4718</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6364</v>
      </c>
      <c r="W354" s="1181" t="s">
        <v>6365</v>
      </c>
      <c r="X354" s="1181" t="s">
        <v>6366</v>
      </c>
      <c r="Y354" s="1181" t="s">
        <v>6367</v>
      </c>
      <c r="Z354" s="1182" t="s">
        <v>9125</v>
      </c>
    </row>
    <row r="355" spans="2:26" ht="12.75" customHeight="1" x14ac:dyDescent="0.2">
      <c r="B355" s="2252" t="str">
        <f t="shared" si="5"/>
        <v>Ilusión100</v>
      </c>
      <c r="C355" s="1183"/>
      <c r="D355" s="1189" t="s">
        <v>6368</v>
      </c>
      <c r="E355" s="1179" t="s">
        <v>2041</v>
      </c>
      <c r="F355" s="1179">
        <v>100</v>
      </c>
      <c r="G355" s="1190" t="s">
        <v>1693</v>
      </c>
      <c r="H355" s="1190" t="s">
        <v>4718</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5157</v>
      </c>
      <c r="W355" s="1181" t="s">
        <v>6369</v>
      </c>
      <c r="X355" s="1181" t="s">
        <v>5381</v>
      </c>
      <c r="Y355" s="1181" t="s">
        <v>5033</v>
      </c>
      <c r="Z355" s="1182" t="s">
        <v>6370</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2043</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6371</v>
      </c>
      <c r="W357" s="1181" t="s">
        <v>6372</v>
      </c>
      <c r="X357" s="1181" t="s">
        <v>6373</v>
      </c>
      <c r="Y357" s="1181" t="s">
        <v>6374</v>
      </c>
      <c r="Z357" s="1182" t="s">
        <v>6375</v>
      </c>
    </row>
    <row r="358" spans="2:26" ht="12.75" customHeight="1" x14ac:dyDescent="0.2">
      <c r="B358" s="2252" t="str">
        <f t="shared" si="5"/>
        <v>Nigromancia6</v>
      </c>
      <c r="C358" s="1183"/>
      <c r="D358" s="1189" t="s">
        <v>6376</v>
      </c>
      <c r="E358" s="1179" t="s">
        <v>2043</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6377</v>
      </c>
      <c r="W358" s="1181" t="s">
        <v>6378</v>
      </c>
      <c r="X358" s="1181" t="s">
        <v>6379</v>
      </c>
      <c r="Y358" s="1181" t="s">
        <v>6380</v>
      </c>
      <c r="Z358" s="1182" t="s">
        <v>6381</v>
      </c>
    </row>
    <row r="359" spans="2:26" ht="12.75" customHeight="1" x14ac:dyDescent="0.2">
      <c r="B359" s="2252" t="str">
        <f t="shared" si="5"/>
        <v>Nigromancia8</v>
      </c>
      <c r="C359" s="1183"/>
      <c r="D359" s="1189" t="s">
        <v>608</v>
      </c>
      <c r="E359" s="1179" t="s">
        <v>2043</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5962</v>
      </c>
      <c r="W359" s="1181" t="s">
        <v>5963</v>
      </c>
      <c r="X359" s="1181" t="s">
        <v>4920</v>
      </c>
      <c r="Y359" s="1181" t="s">
        <v>5585</v>
      </c>
      <c r="Z359" s="1182" t="s">
        <v>6382</v>
      </c>
    </row>
    <row r="360" spans="2:26" ht="12.75" customHeight="1" x14ac:dyDescent="0.2">
      <c r="B360" s="2252" t="str">
        <f t="shared" si="5"/>
        <v>Nigromancia10</v>
      </c>
      <c r="C360" s="1183"/>
      <c r="D360" s="1189" t="s">
        <v>609</v>
      </c>
      <c r="E360" s="1179" t="s">
        <v>2043</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6383</v>
      </c>
      <c r="W360" s="1181" t="s">
        <v>6384</v>
      </c>
      <c r="X360" s="1181" t="s">
        <v>6385</v>
      </c>
      <c r="Y360" s="1181" t="s">
        <v>6386</v>
      </c>
      <c r="Z360" s="1182" t="s">
        <v>6387</v>
      </c>
    </row>
    <row r="361" spans="2:26" ht="12.75" customHeight="1" x14ac:dyDescent="0.2">
      <c r="B361" s="2252" t="str">
        <f t="shared" si="5"/>
        <v>Nigromancia12</v>
      </c>
      <c r="C361" s="1183"/>
      <c r="D361" s="1189" t="s">
        <v>610</v>
      </c>
      <c r="E361" s="1179" t="s">
        <v>2043</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5200</v>
      </c>
      <c r="W361" s="1181" t="s">
        <v>5157</v>
      </c>
      <c r="X361" s="1181" t="s">
        <v>4834</v>
      </c>
      <c r="Y361" s="1181" t="s">
        <v>5033</v>
      </c>
      <c r="Z361" s="1182" t="s">
        <v>6388</v>
      </c>
    </row>
    <row r="362" spans="2:26" ht="12.75" customHeight="1" x14ac:dyDescent="0.2">
      <c r="B362" s="2252" t="str">
        <f t="shared" si="5"/>
        <v>Nigromancia16</v>
      </c>
      <c r="C362" s="1183"/>
      <c r="D362" s="1189" t="s">
        <v>6389</v>
      </c>
      <c r="E362" s="1179" t="s">
        <v>2043</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6199</v>
      </c>
      <c r="W362" s="1181" t="s">
        <v>5391</v>
      </c>
      <c r="X362" s="1181" t="s">
        <v>6121</v>
      </c>
      <c r="Y362" s="1181" t="s">
        <v>6390</v>
      </c>
      <c r="Z362" s="1182" t="s">
        <v>6391</v>
      </c>
    </row>
    <row r="363" spans="2:26" ht="12.75" customHeight="1" x14ac:dyDescent="0.2">
      <c r="B363" s="2252" t="str">
        <f t="shared" si="5"/>
        <v>Nigromancia18</v>
      </c>
      <c r="C363" s="1183"/>
      <c r="D363" s="1189" t="s">
        <v>612</v>
      </c>
      <c r="E363" s="1179" t="s">
        <v>2043</v>
      </c>
      <c r="F363" s="1179">
        <v>18</v>
      </c>
      <c r="G363" s="1190" t="s">
        <v>1693</v>
      </c>
      <c r="H363" s="1190" t="s">
        <v>5724</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5189</v>
      </c>
      <c r="W363" s="1181" t="s">
        <v>5190</v>
      </c>
      <c r="X363" s="1181" t="s">
        <v>5191</v>
      </c>
      <c r="Y363" s="1181" t="s">
        <v>6392</v>
      </c>
      <c r="Z363" s="1182" t="s">
        <v>6393</v>
      </c>
    </row>
    <row r="364" spans="2:26" ht="12.75" customHeight="1" x14ac:dyDescent="0.2">
      <c r="B364" s="2252" t="str">
        <f t="shared" si="5"/>
        <v>Nigromancia20</v>
      </c>
      <c r="C364" s="1183"/>
      <c r="D364" s="1189" t="s">
        <v>6394</v>
      </c>
      <c r="E364" s="1179" t="s">
        <v>2043</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6395</v>
      </c>
      <c r="W364" s="1181" t="s">
        <v>5395</v>
      </c>
      <c r="X364" s="1181" t="s">
        <v>6396</v>
      </c>
      <c r="Y364" s="1181" t="s">
        <v>6397</v>
      </c>
      <c r="Z364" s="1182" t="s">
        <v>6398</v>
      </c>
    </row>
    <row r="365" spans="2:26" ht="12.75" customHeight="1" x14ac:dyDescent="0.2">
      <c r="B365" s="2252" t="str">
        <f t="shared" si="5"/>
        <v>Nigromancia22</v>
      </c>
      <c r="C365" s="1183"/>
      <c r="D365" s="1189" t="s">
        <v>614</v>
      </c>
      <c r="E365" s="1179" t="s">
        <v>2043</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6399</v>
      </c>
      <c r="W365" s="1181" t="s">
        <v>6400</v>
      </c>
      <c r="X365" s="1181" t="s">
        <v>6401</v>
      </c>
      <c r="Y365" s="1181" t="s">
        <v>6402</v>
      </c>
      <c r="Z365" s="1182" t="s">
        <v>6403</v>
      </c>
    </row>
    <row r="366" spans="2:26" ht="12.75" customHeight="1" x14ac:dyDescent="0.2">
      <c r="B366" s="2252" t="str">
        <f t="shared" si="5"/>
        <v>Nigromancia26</v>
      </c>
      <c r="C366" s="1183"/>
      <c r="D366" s="1189" t="s">
        <v>6404</v>
      </c>
      <c r="E366" s="1179" t="s">
        <v>2043</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6405</v>
      </c>
      <c r="W366" s="1181" t="s">
        <v>5341</v>
      </c>
      <c r="X366" s="1181" t="s">
        <v>6406</v>
      </c>
      <c r="Y366" s="1181" t="s">
        <v>6407</v>
      </c>
      <c r="Z366" s="1182" t="s">
        <v>6408</v>
      </c>
    </row>
    <row r="367" spans="2:26" ht="12.75" customHeight="1" x14ac:dyDescent="0.2">
      <c r="B367" s="2252" t="str">
        <f t="shared" si="5"/>
        <v>Nigromancia28</v>
      </c>
      <c r="C367" s="1183"/>
      <c r="D367" s="1189" t="s">
        <v>6409</v>
      </c>
      <c r="E367" s="1179" t="s">
        <v>2043</v>
      </c>
      <c r="F367" s="1179">
        <v>28</v>
      </c>
      <c r="G367" s="1190" t="s">
        <v>2549</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6410</v>
      </c>
      <c r="W367" s="1181" t="s">
        <v>6411</v>
      </c>
      <c r="X367" s="1181" t="s">
        <v>6412</v>
      </c>
      <c r="Y367" s="1181" t="s">
        <v>6413</v>
      </c>
      <c r="Z367" s="1182" t="s">
        <v>6414</v>
      </c>
    </row>
    <row r="368" spans="2:26" ht="12.75" customHeight="1" x14ac:dyDescent="0.2">
      <c r="B368" s="2252" t="str">
        <f t="shared" si="5"/>
        <v>Nigromancia30</v>
      </c>
      <c r="C368" s="1183"/>
      <c r="D368" s="1189" t="s">
        <v>617</v>
      </c>
      <c r="E368" s="1179" t="s">
        <v>2043</v>
      </c>
      <c r="F368" s="1179">
        <v>30</v>
      </c>
      <c r="G368" s="1190" t="s">
        <v>2549</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6415</v>
      </c>
      <c r="W368" s="1181" t="s">
        <v>6416</v>
      </c>
      <c r="X368" s="1181" t="s">
        <v>6417</v>
      </c>
      <c r="Y368" s="1181" t="s">
        <v>6418</v>
      </c>
      <c r="Z368" s="1182" t="s">
        <v>6419</v>
      </c>
    </row>
    <row r="369" spans="2:26" ht="12.75" customHeight="1" x14ac:dyDescent="0.2">
      <c r="B369" s="2252" t="str">
        <f t="shared" si="5"/>
        <v>Nigromancia32</v>
      </c>
      <c r="C369" s="1183"/>
      <c r="D369" s="1189" t="s">
        <v>618</v>
      </c>
      <c r="E369" s="1179" t="s">
        <v>2043</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5157</v>
      </c>
      <c r="W369" s="1181" t="s">
        <v>4834</v>
      </c>
      <c r="X369" s="1181" t="s">
        <v>5381</v>
      </c>
      <c r="Y369" s="1181" t="s">
        <v>6420</v>
      </c>
      <c r="Z369" s="1182" t="s">
        <v>6421</v>
      </c>
    </row>
    <row r="370" spans="2:26" ht="12.75" customHeight="1" x14ac:dyDescent="0.2">
      <c r="B370" s="2252" t="str">
        <f t="shared" si="5"/>
        <v>Nigromancia36</v>
      </c>
      <c r="C370" s="1183"/>
      <c r="D370" s="1189" t="s">
        <v>619</v>
      </c>
      <c r="E370" s="1179" t="s">
        <v>2043</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5157</v>
      </c>
      <c r="W370" s="1181" t="s">
        <v>4834</v>
      </c>
      <c r="X370" s="1181" t="s">
        <v>5381</v>
      </c>
      <c r="Y370" s="1181" t="s">
        <v>6420</v>
      </c>
      <c r="Z370" s="1182" t="s">
        <v>6422</v>
      </c>
    </row>
    <row r="371" spans="2:26" ht="12.75" customHeight="1" x14ac:dyDescent="0.2">
      <c r="B371" s="2252" t="str">
        <f t="shared" si="5"/>
        <v>Nigromancia38</v>
      </c>
      <c r="C371" s="1183"/>
      <c r="D371" s="1189" t="s">
        <v>620</v>
      </c>
      <c r="E371" s="1179" t="s">
        <v>2043</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5157</v>
      </c>
      <c r="W371" s="1181" t="s">
        <v>4834</v>
      </c>
      <c r="X371" s="1181" t="s">
        <v>5381</v>
      </c>
      <c r="Y371" s="1181" t="s">
        <v>6420</v>
      </c>
      <c r="Z371" s="1182" t="s">
        <v>6423</v>
      </c>
    </row>
    <row r="372" spans="2:26" ht="12.75" customHeight="1" x14ac:dyDescent="0.2">
      <c r="B372" s="2252" t="str">
        <f t="shared" si="5"/>
        <v>Nigromancia40</v>
      </c>
      <c r="C372" s="1183"/>
      <c r="D372" s="1189" t="s">
        <v>621</v>
      </c>
      <c r="E372" s="1179" t="s">
        <v>2043</v>
      </c>
      <c r="F372" s="1179">
        <v>40</v>
      </c>
      <c r="G372" s="1190" t="s">
        <v>2549</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6424</v>
      </c>
      <c r="W372" s="1181" t="s">
        <v>6425</v>
      </c>
      <c r="X372" s="1181" t="s">
        <v>5396</v>
      </c>
      <c r="Y372" s="1181" t="s">
        <v>6426</v>
      </c>
      <c r="Z372" s="1182" t="s">
        <v>6427</v>
      </c>
    </row>
    <row r="373" spans="2:26" ht="12.75" customHeight="1" x14ac:dyDescent="0.2">
      <c r="B373" s="2252" t="str">
        <f t="shared" si="5"/>
        <v>Nigromancia42</v>
      </c>
      <c r="C373" s="1183"/>
      <c r="D373" s="1189" t="s">
        <v>622</v>
      </c>
      <c r="E373" s="1179" t="s">
        <v>2043</v>
      </c>
      <c r="F373" s="1179">
        <v>42</v>
      </c>
      <c r="G373" s="1190" t="s">
        <v>2549</v>
      </c>
      <c r="H373" s="1190" t="s">
        <v>5724</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5962</v>
      </c>
      <c r="W373" s="1181" t="s">
        <v>6077</v>
      </c>
      <c r="X373" s="1181" t="s">
        <v>6428</v>
      </c>
      <c r="Y373" s="1181" t="s">
        <v>5059</v>
      </c>
      <c r="Z373" s="1182" t="s">
        <v>6429</v>
      </c>
    </row>
    <row r="374" spans="2:26" ht="12.75" customHeight="1" x14ac:dyDescent="0.2">
      <c r="B374" s="2252" t="str">
        <f t="shared" si="5"/>
        <v>Nigromancia46</v>
      </c>
      <c r="C374" s="1183"/>
      <c r="D374" s="1189" t="s">
        <v>623</v>
      </c>
      <c r="E374" s="1179" t="s">
        <v>2043</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6430</v>
      </c>
      <c r="W374" s="1181" t="s">
        <v>6431</v>
      </c>
      <c r="X374" s="1181" t="s">
        <v>6432</v>
      </c>
      <c r="Y374" s="1181" t="s">
        <v>6433</v>
      </c>
      <c r="Z374" s="1182" t="s">
        <v>6434</v>
      </c>
    </row>
    <row r="375" spans="2:26" ht="12.75" customHeight="1" x14ac:dyDescent="0.2">
      <c r="B375" s="2252" t="str">
        <f t="shared" si="5"/>
        <v>Nigromancia48</v>
      </c>
      <c r="C375" s="1183"/>
      <c r="D375" s="1189" t="s">
        <v>624</v>
      </c>
      <c r="E375" s="1179" t="s">
        <v>2043</v>
      </c>
      <c r="F375" s="1179">
        <v>48</v>
      </c>
      <c r="G375" s="1190" t="s">
        <v>2549</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5200</v>
      </c>
      <c r="W375" s="1181" t="s">
        <v>5156</v>
      </c>
      <c r="X375" s="1181" t="s">
        <v>5157</v>
      </c>
      <c r="Y375" s="1181" t="s">
        <v>5031</v>
      </c>
      <c r="Z375" s="1182" t="s">
        <v>6435</v>
      </c>
    </row>
    <row r="376" spans="2:26" ht="12.75" customHeight="1" x14ac:dyDescent="0.2">
      <c r="B376" s="2252" t="str">
        <f t="shared" si="5"/>
        <v>Nigromancia50</v>
      </c>
      <c r="C376" s="1183"/>
      <c r="D376" s="1189" t="s">
        <v>625</v>
      </c>
      <c r="E376" s="1179" t="s">
        <v>2043</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6436</v>
      </c>
      <c r="W376" s="1181" t="s">
        <v>6437</v>
      </c>
      <c r="X376" s="1181" t="s">
        <v>6438</v>
      </c>
      <c r="Y376" s="1181" t="s">
        <v>6439</v>
      </c>
      <c r="Z376" s="1182" t="s">
        <v>6440</v>
      </c>
    </row>
    <row r="377" spans="2:26" ht="12.75" customHeight="1" x14ac:dyDescent="0.2">
      <c r="B377" s="2252" t="str">
        <f t="shared" si="5"/>
        <v>Nigromancia52</v>
      </c>
      <c r="C377" s="1183"/>
      <c r="D377" s="1189" t="s">
        <v>626</v>
      </c>
      <c r="E377" s="1179" t="s">
        <v>2043</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6441</v>
      </c>
      <c r="W377" s="1181" t="s">
        <v>6442</v>
      </c>
      <c r="X377" s="1181" t="s">
        <v>6443</v>
      </c>
      <c r="Y377" s="1181" t="s">
        <v>6444</v>
      </c>
      <c r="Z377" s="1182" t="s">
        <v>6445</v>
      </c>
    </row>
    <row r="378" spans="2:26" ht="12.75" customHeight="1" x14ac:dyDescent="0.2">
      <c r="B378" s="2252" t="str">
        <f t="shared" si="5"/>
        <v>Nigromancia56</v>
      </c>
      <c r="C378" s="1183"/>
      <c r="D378" s="1189" t="s">
        <v>627</v>
      </c>
      <c r="E378" s="1179" t="s">
        <v>2043</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5182</v>
      </c>
      <c r="W378" s="1181" t="s">
        <v>5183</v>
      </c>
      <c r="X378" s="1181" t="s">
        <v>5184</v>
      </c>
      <c r="Y378" s="1181" t="s">
        <v>6446</v>
      </c>
      <c r="Z378" s="1182" t="s">
        <v>6447</v>
      </c>
    </row>
    <row r="379" spans="2:26" ht="12.75" customHeight="1" x14ac:dyDescent="0.2">
      <c r="B379" s="2252" t="str">
        <f t="shared" si="5"/>
        <v>Nigromancia58</v>
      </c>
      <c r="C379" s="1183"/>
      <c r="D379" s="1189" t="s">
        <v>628</v>
      </c>
      <c r="E379" s="1179" t="s">
        <v>2043</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6448</v>
      </c>
      <c r="W379" s="1181" t="s">
        <v>6449</v>
      </c>
      <c r="X379" s="1181" t="s">
        <v>6450</v>
      </c>
      <c r="Y379" s="1181" t="s">
        <v>6451</v>
      </c>
      <c r="Z379" s="1182" t="s">
        <v>6452</v>
      </c>
    </row>
    <row r="380" spans="2:26" ht="12.75" customHeight="1" x14ac:dyDescent="0.2">
      <c r="B380" s="2252" t="str">
        <f t="shared" si="5"/>
        <v>Nigromancia60</v>
      </c>
      <c r="C380" s="1183"/>
      <c r="D380" s="1189" t="s">
        <v>629</v>
      </c>
      <c r="E380" s="1179" t="s">
        <v>2043</v>
      </c>
      <c r="F380" s="1179">
        <v>60</v>
      </c>
      <c r="G380" s="1190" t="s">
        <v>2549</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6453</v>
      </c>
      <c r="W380" s="1181" t="s">
        <v>6454</v>
      </c>
      <c r="X380" s="1181" t="s">
        <v>6455</v>
      </c>
      <c r="Y380" s="1181" t="s">
        <v>6456</v>
      </c>
      <c r="Z380" s="1182" t="s">
        <v>6457</v>
      </c>
    </row>
    <row r="381" spans="2:26" ht="12.75" customHeight="1" x14ac:dyDescent="0.2">
      <c r="B381" s="2252" t="str">
        <f t="shared" si="5"/>
        <v>Nigromancia62</v>
      </c>
      <c r="C381" s="1183"/>
      <c r="D381" s="1189" t="s">
        <v>630</v>
      </c>
      <c r="E381" s="1179" t="s">
        <v>2043</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5200</v>
      </c>
      <c r="W381" s="1181" t="s">
        <v>6458</v>
      </c>
      <c r="X381" s="1181" t="s">
        <v>5031</v>
      </c>
      <c r="Y381" s="1181" t="s">
        <v>6459</v>
      </c>
      <c r="Z381" s="1182" t="s">
        <v>6460</v>
      </c>
    </row>
    <row r="382" spans="2:26" ht="12.75" customHeight="1" x14ac:dyDescent="0.2">
      <c r="B382" s="2252" t="str">
        <f t="shared" si="5"/>
        <v>Nigromancia66</v>
      </c>
      <c r="C382" s="1183"/>
      <c r="D382" s="1189" t="s">
        <v>631</v>
      </c>
      <c r="E382" s="1179" t="s">
        <v>2043</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6461</v>
      </c>
      <c r="W382" s="1181" t="s">
        <v>6462</v>
      </c>
      <c r="X382" s="1181" t="s">
        <v>5406</v>
      </c>
      <c r="Y382" s="1181" t="s">
        <v>5407</v>
      </c>
      <c r="Z382" s="1182" t="s">
        <v>6463</v>
      </c>
    </row>
    <row r="383" spans="2:26" ht="12.75" customHeight="1" x14ac:dyDescent="0.2">
      <c r="B383" s="2252" t="str">
        <f t="shared" si="5"/>
        <v>Nigromancia68</v>
      </c>
      <c r="C383" s="1183"/>
      <c r="D383" s="1189" t="s">
        <v>632</v>
      </c>
      <c r="E383" s="1179" t="s">
        <v>2043</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5341</v>
      </c>
      <c r="W383" s="1181" t="s">
        <v>5342</v>
      </c>
      <c r="X383" s="1181" t="s">
        <v>5384</v>
      </c>
      <c r="Y383" s="1181" t="s">
        <v>6464</v>
      </c>
      <c r="Z383" s="1182" t="s">
        <v>6465</v>
      </c>
    </row>
    <row r="384" spans="2:26" ht="12.75" customHeight="1" x14ac:dyDescent="0.2">
      <c r="B384" s="2252" t="str">
        <f t="shared" si="5"/>
        <v>Nigromancia70</v>
      </c>
      <c r="C384" s="1183"/>
      <c r="D384" s="1189" t="s">
        <v>633</v>
      </c>
      <c r="E384" s="1179" t="s">
        <v>2043</v>
      </c>
      <c r="F384" s="1179">
        <v>70</v>
      </c>
      <c r="G384" s="1190" t="s">
        <v>2549</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5188</v>
      </c>
      <c r="W384" s="1181" t="s">
        <v>6080</v>
      </c>
      <c r="X384" s="1181" t="s">
        <v>6081</v>
      </c>
      <c r="Y384" s="1181" t="s">
        <v>6466</v>
      </c>
      <c r="Z384" s="1182" t="s">
        <v>6467</v>
      </c>
    </row>
    <row r="385" spans="2:26" ht="12.75" customHeight="1" x14ac:dyDescent="0.2">
      <c r="B385" s="2252" t="str">
        <f t="shared" si="5"/>
        <v>Nigromancia72</v>
      </c>
      <c r="C385" s="1183"/>
      <c r="D385" s="1189" t="s">
        <v>6468</v>
      </c>
      <c r="E385" s="1179" t="s">
        <v>2043</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6462</v>
      </c>
      <c r="W385" s="1181" t="s">
        <v>5407</v>
      </c>
      <c r="X385" s="1181" t="s">
        <v>5409</v>
      </c>
      <c r="Y385" s="1181" t="s">
        <v>6469</v>
      </c>
      <c r="Z385" s="1182" t="s">
        <v>6470</v>
      </c>
    </row>
    <row r="386" spans="2:26" ht="12.75" customHeight="1" x14ac:dyDescent="0.2">
      <c r="B386" s="2252" t="str">
        <f t="shared" si="5"/>
        <v>Nigromancia76</v>
      </c>
      <c r="C386" s="1183"/>
      <c r="D386" s="1189" t="s">
        <v>635</v>
      </c>
      <c r="E386" s="1179" t="s">
        <v>2043</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6462</v>
      </c>
      <c r="W386" s="1181" t="s">
        <v>5407</v>
      </c>
      <c r="X386" s="1181" t="s">
        <v>5409</v>
      </c>
      <c r="Y386" s="1181" t="s">
        <v>6469</v>
      </c>
      <c r="Z386" s="1182" t="s">
        <v>6471</v>
      </c>
    </row>
    <row r="387" spans="2:26" ht="12.75" customHeight="1" x14ac:dyDescent="0.2">
      <c r="B387" s="2252" t="str">
        <f t="shared" si="5"/>
        <v>Nigromancia78</v>
      </c>
      <c r="C387" s="1183"/>
      <c r="D387" s="1189" t="s">
        <v>6472</v>
      </c>
      <c r="E387" s="1179" t="s">
        <v>2043</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5156</v>
      </c>
      <c r="W387" s="1181" t="s">
        <v>5157</v>
      </c>
      <c r="X387" s="1181" t="s">
        <v>5031</v>
      </c>
      <c r="Y387" s="1181" t="s">
        <v>4834</v>
      </c>
      <c r="Z387" s="1182" t="s">
        <v>6473</v>
      </c>
    </row>
    <row r="388" spans="2:26" ht="12.75" customHeight="1" x14ac:dyDescent="0.2">
      <c r="B388" s="2252" t="str">
        <f t="shared" si="5"/>
        <v>Nigromancia80</v>
      </c>
      <c r="C388" s="1183"/>
      <c r="D388" s="1189" t="s">
        <v>637</v>
      </c>
      <c r="E388" s="1179" t="s">
        <v>2043</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5149</v>
      </c>
      <c r="V388" s="1181" t="s">
        <v>6474</v>
      </c>
      <c r="W388" s="1181" t="s">
        <v>6475</v>
      </c>
      <c r="X388" s="1181" t="s">
        <v>6476</v>
      </c>
      <c r="Y388" s="1181" t="s">
        <v>6477</v>
      </c>
      <c r="Z388" s="1182" t="s">
        <v>6478</v>
      </c>
    </row>
    <row r="389" spans="2:26" ht="12.75" customHeight="1" x14ac:dyDescent="0.2">
      <c r="B389" s="2252" t="str">
        <f t="shared" si="5"/>
        <v>Nigromancia82</v>
      </c>
      <c r="C389" s="1183"/>
      <c r="D389" s="1189" t="s">
        <v>638</v>
      </c>
      <c r="E389" s="1179" t="s">
        <v>2043</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6448</v>
      </c>
      <c r="W389" s="1181" t="s">
        <v>6449</v>
      </c>
      <c r="X389" s="1181" t="s">
        <v>6450</v>
      </c>
      <c r="Y389" s="1181" t="s">
        <v>6451</v>
      </c>
      <c r="Z389" s="1182" t="s">
        <v>6479</v>
      </c>
    </row>
    <row r="390" spans="2:26" ht="12.75" customHeight="1" x14ac:dyDescent="0.2">
      <c r="B390" s="2252" t="str">
        <f t="shared" si="5"/>
        <v>Nigromancia86</v>
      </c>
      <c r="C390" s="1183"/>
      <c r="D390" s="1189" t="s">
        <v>639</v>
      </c>
      <c r="E390" s="1179" t="s">
        <v>2043</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5059</v>
      </c>
      <c r="W390" s="1181" t="s">
        <v>5018</v>
      </c>
      <c r="X390" s="1181" t="s">
        <v>4920</v>
      </c>
      <c r="Y390" s="1181" t="s">
        <v>6480</v>
      </c>
      <c r="Z390" s="1182" t="s">
        <v>6481</v>
      </c>
    </row>
    <row r="391" spans="2:26" ht="12.75" customHeight="1" x14ac:dyDescent="0.2">
      <c r="B391" s="2252" t="str">
        <f t="shared" si="5"/>
        <v>Nigromancia88</v>
      </c>
      <c r="C391" s="1183"/>
      <c r="D391" s="1189" t="s">
        <v>6482</v>
      </c>
      <c r="E391" s="1179" t="s">
        <v>2043</v>
      </c>
      <c r="F391" s="1179">
        <v>88</v>
      </c>
      <c r="G391" s="1190" t="s">
        <v>2549</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5060</v>
      </c>
      <c r="W391" s="1181" t="s">
        <v>6071</v>
      </c>
      <c r="X391" s="1181" t="s">
        <v>6095</v>
      </c>
      <c r="Y391" s="1181" t="s">
        <v>6483</v>
      </c>
      <c r="Z391" s="1182" t="s">
        <v>6484</v>
      </c>
    </row>
    <row r="392" spans="2:26" ht="12.75" customHeight="1" x14ac:dyDescent="0.2">
      <c r="B392" s="2252" t="str">
        <f t="shared" ref="B392:B455" si="6">E392&amp;F392</f>
        <v>Nigromancia90</v>
      </c>
      <c r="C392" s="1183"/>
      <c r="D392" s="1189" t="s">
        <v>641</v>
      </c>
      <c r="E392" s="1179" t="s">
        <v>2043</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6485</v>
      </c>
      <c r="W392" s="1181" t="s">
        <v>6486</v>
      </c>
      <c r="X392" s="1181" t="s">
        <v>6487</v>
      </c>
      <c r="Y392" s="1181" t="s">
        <v>6488</v>
      </c>
      <c r="Z392" s="1182" t="s">
        <v>6489</v>
      </c>
    </row>
    <row r="393" spans="2:26" ht="12.75" customHeight="1" x14ac:dyDescent="0.2">
      <c r="B393" s="2252" t="str">
        <f t="shared" si="6"/>
        <v>Nigromancia92</v>
      </c>
      <c r="C393" s="1183"/>
      <c r="D393" s="1189" t="s">
        <v>642</v>
      </c>
      <c r="E393" s="1179" t="s">
        <v>2043</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6490</v>
      </c>
      <c r="W393" s="1181" t="s">
        <v>6491</v>
      </c>
      <c r="X393" s="1181" t="s">
        <v>6492</v>
      </c>
      <c r="Y393" s="1181" t="s">
        <v>6493</v>
      </c>
      <c r="Z393" s="1182" t="s">
        <v>6494</v>
      </c>
    </row>
    <row r="394" spans="2:26" ht="12.75" customHeight="1" x14ac:dyDescent="0.2">
      <c r="B394" s="2252" t="str">
        <f t="shared" si="6"/>
        <v>Nigromancia96</v>
      </c>
      <c r="C394" s="1183"/>
      <c r="D394" s="1189" t="s">
        <v>6495</v>
      </c>
      <c r="E394" s="1179" t="s">
        <v>2043</v>
      </c>
      <c r="F394" s="1179">
        <v>96</v>
      </c>
      <c r="G394" s="1190" t="s">
        <v>2549</v>
      </c>
      <c r="H394" s="1190" t="s">
        <v>4718</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6101</v>
      </c>
      <c r="W394" s="1181" t="s">
        <v>6496</v>
      </c>
      <c r="X394" s="1181" t="s">
        <v>6497</v>
      </c>
      <c r="Y394" s="1181" t="s">
        <v>6498</v>
      </c>
      <c r="Z394" s="1182" t="s">
        <v>6499</v>
      </c>
    </row>
    <row r="395" spans="2:26" ht="12.75" customHeight="1" x14ac:dyDescent="0.2">
      <c r="B395" s="2252" t="str">
        <f t="shared" si="6"/>
        <v>Nigromancia98</v>
      </c>
      <c r="C395" s="1183"/>
      <c r="D395" s="1189" t="s">
        <v>644</v>
      </c>
      <c r="E395" s="1179" t="s">
        <v>2043</v>
      </c>
      <c r="F395" s="1179">
        <v>98</v>
      </c>
      <c r="G395" s="1190" t="s">
        <v>1693</v>
      </c>
      <c r="H395" s="1190" t="s">
        <v>4718</v>
      </c>
      <c r="I395" s="1191" t="s">
        <v>1609</v>
      </c>
      <c r="J395" s="1179">
        <v>16</v>
      </c>
      <c r="K395" s="1179">
        <v>17</v>
      </c>
      <c r="L395" s="1179">
        <v>18</v>
      </c>
      <c r="M395" s="1185">
        <v>19</v>
      </c>
      <c r="N395" s="1179">
        <v>400</v>
      </c>
      <c r="O395" s="1179">
        <v>800</v>
      </c>
      <c r="P395" s="1179">
        <v>1600</v>
      </c>
      <c r="Q395" s="1185">
        <v>3200</v>
      </c>
      <c r="R395" s="1179"/>
      <c r="S395" s="1179"/>
      <c r="T395" s="1179"/>
      <c r="U395" s="1185" t="s">
        <v>5149</v>
      </c>
      <c r="V395" s="1181" t="s">
        <v>6500</v>
      </c>
      <c r="W395" s="1181" t="s">
        <v>6501</v>
      </c>
      <c r="X395" s="1181" t="s">
        <v>6502</v>
      </c>
      <c r="Y395" s="1181" t="s">
        <v>6503</v>
      </c>
      <c r="Z395" s="1182" t="s">
        <v>6504</v>
      </c>
    </row>
    <row r="396" spans="2:26" ht="12.75" customHeight="1" x14ac:dyDescent="0.2">
      <c r="B396" s="2252" t="str">
        <f t="shared" si="6"/>
        <v>Nigromancia100</v>
      </c>
      <c r="C396" s="1183"/>
      <c r="D396" s="1189" t="s">
        <v>6505</v>
      </c>
      <c r="E396" s="1179" t="s">
        <v>2043</v>
      </c>
      <c r="F396" s="1179">
        <v>100</v>
      </c>
      <c r="G396" s="1190" t="s">
        <v>1693</v>
      </c>
      <c r="H396" s="1190" t="s">
        <v>4718</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5189</v>
      </c>
      <c r="W396" s="1181" t="s">
        <v>5190</v>
      </c>
      <c r="X396" s="1181" t="s">
        <v>5191</v>
      </c>
      <c r="Y396" s="1181" t="s">
        <v>6506</v>
      </c>
      <c r="Z396" s="1182" t="s">
        <v>6507</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6508</v>
      </c>
      <c r="W398" s="1181" t="s">
        <v>6509</v>
      </c>
      <c r="X398" s="1181" t="s">
        <v>6510</v>
      </c>
      <c r="Y398" s="1181" t="s">
        <v>6511</v>
      </c>
      <c r="Z398" s="1182" t="s">
        <v>6512</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6513</v>
      </c>
      <c r="W399" s="1181" t="s">
        <v>6514</v>
      </c>
      <c r="X399" s="1181" t="s">
        <v>6515</v>
      </c>
      <c r="Y399" s="1181" t="s">
        <v>6516</v>
      </c>
      <c r="Z399" s="1182" t="s">
        <v>6517</v>
      </c>
    </row>
    <row r="400" spans="2:26" ht="12.75" customHeight="1" x14ac:dyDescent="0.2">
      <c r="B400" s="2252" t="str">
        <f t="shared" si="6"/>
        <v>Libre acceso10</v>
      </c>
      <c r="C400" s="1183"/>
      <c r="D400" s="1189" t="s">
        <v>6518</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5102</v>
      </c>
      <c r="W400" s="1181" t="s">
        <v>4929</v>
      </c>
      <c r="X400" s="1181" t="s">
        <v>5140</v>
      </c>
      <c r="Y400" s="1181" t="s">
        <v>6010</v>
      </c>
      <c r="Z400" s="1182" t="s">
        <v>6519</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6520</v>
      </c>
      <c r="W401" s="1181" t="s">
        <v>6521</v>
      </c>
      <c r="X401" s="1181" t="s">
        <v>6522</v>
      </c>
      <c r="Y401" s="1181" t="s">
        <v>6523</v>
      </c>
      <c r="Z401" s="1182" t="s">
        <v>6524</v>
      </c>
    </row>
    <row r="402" spans="2:26" ht="12.75" customHeight="1" x14ac:dyDescent="0.2">
      <c r="B402" s="2252" t="str">
        <f t="shared" si="6"/>
        <v>Libre acceso10</v>
      </c>
      <c r="C402" s="1183"/>
      <c r="D402" s="1189" t="s">
        <v>6525</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6526</v>
      </c>
      <c r="W402" s="1181" t="s">
        <v>6527</v>
      </c>
      <c r="X402" s="1181" t="s">
        <v>6528</v>
      </c>
      <c r="Y402" s="1181" t="s">
        <v>6529</v>
      </c>
      <c r="Z402" s="1182" t="s">
        <v>6530</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6531</v>
      </c>
      <c r="W403" s="1181" t="s">
        <v>6532</v>
      </c>
      <c r="X403" s="1181" t="s">
        <v>6533</v>
      </c>
      <c r="Y403" s="1181" t="s">
        <v>6534</v>
      </c>
      <c r="Z403" s="1182" t="s">
        <v>6535</v>
      </c>
    </row>
    <row r="404" spans="2:26" ht="12.75" customHeight="1" x14ac:dyDescent="0.2">
      <c r="B404" s="2252" t="str">
        <f t="shared" si="6"/>
        <v>Libre acceso10</v>
      </c>
      <c r="C404" s="1183"/>
      <c r="D404" s="1189" t="s">
        <v>6536</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5089</v>
      </c>
      <c r="W404" s="1181" t="s">
        <v>6537</v>
      </c>
      <c r="X404" s="1181" t="s">
        <v>6538</v>
      </c>
      <c r="Y404" s="1181" t="s">
        <v>6539</v>
      </c>
      <c r="Z404" s="1182" t="s">
        <v>6540</v>
      </c>
    </row>
    <row r="405" spans="2:26" ht="12.75" customHeight="1" x14ac:dyDescent="0.2">
      <c r="B405" s="2252" t="str">
        <f t="shared" si="6"/>
        <v>Libre acceso10</v>
      </c>
      <c r="C405" s="1183"/>
      <c r="D405" s="1189" t="s">
        <v>6541</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5149</v>
      </c>
      <c r="V405" s="1181" t="s">
        <v>6542</v>
      </c>
      <c r="W405" s="1181" t="s">
        <v>6543</v>
      </c>
      <c r="X405" s="1181" t="s">
        <v>6544</v>
      </c>
      <c r="Y405" s="1181" t="s">
        <v>6545</v>
      </c>
      <c r="Z405" s="1182" t="s">
        <v>6546</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6547</v>
      </c>
      <c r="W406" s="1181" t="s">
        <v>6547</v>
      </c>
      <c r="X406" s="1181" t="s">
        <v>6547</v>
      </c>
      <c r="Y406" s="1181" t="s">
        <v>6547</v>
      </c>
      <c r="Z406" s="1182" t="s">
        <v>6548</v>
      </c>
    </row>
    <row r="407" spans="2:26" ht="12.75" customHeight="1" x14ac:dyDescent="0.2">
      <c r="B407" s="2252" t="str">
        <f t="shared" si="6"/>
        <v>Libre acceso10</v>
      </c>
      <c r="C407" s="1183"/>
      <c r="D407" s="1189" t="s">
        <v>656</v>
      </c>
      <c r="E407" s="1179" t="s">
        <v>648</v>
      </c>
      <c r="F407" s="1179">
        <v>10</v>
      </c>
      <c r="G407" s="1190" t="s">
        <v>2549</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6549</v>
      </c>
      <c r="W407" s="1181" t="s">
        <v>6550</v>
      </c>
      <c r="X407" s="1181" t="s">
        <v>6551</v>
      </c>
      <c r="Y407" s="1181" t="s">
        <v>6552</v>
      </c>
      <c r="Z407" s="1182" t="s">
        <v>6553</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6554</v>
      </c>
      <c r="W408" s="1181" t="s">
        <v>6555</v>
      </c>
      <c r="X408" s="1181" t="s">
        <v>6556</v>
      </c>
      <c r="Y408" s="1181" t="s">
        <v>6557</v>
      </c>
      <c r="Z408" s="1182" t="s">
        <v>6558</v>
      </c>
    </row>
    <row r="409" spans="2:26" ht="12.75" customHeight="1" x14ac:dyDescent="0.2">
      <c r="B409" s="2252" t="str">
        <f t="shared" si="6"/>
        <v>Libre acceso10</v>
      </c>
      <c r="C409" s="1183"/>
      <c r="D409" s="1189" t="s">
        <v>657</v>
      </c>
      <c r="E409" s="1179" t="s">
        <v>648</v>
      </c>
      <c r="F409" s="1179">
        <v>10</v>
      </c>
      <c r="G409" s="1190" t="s">
        <v>2549</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6559</v>
      </c>
      <c r="W409" s="1181" t="s">
        <v>5967</v>
      </c>
      <c r="X409" s="1181" t="s">
        <v>6560</v>
      </c>
      <c r="Y409" s="1181" t="s">
        <v>6561</v>
      </c>
      <c r="Z409" s="1182" t="s">
        <v>6562</v>
      </c>
    </row>
    <row r="410" spans="2:26" ht="12.75" customHeight="1" x14ac:dyDescent="0.2">
      <c r="B410" s="2252" t="str">
        <f t="shared" si="6"/>
        <v>Libre acceso</v>
      </c>
      <c r="C410" s="1183"/>
      <c r="D410" s="1189" t="s">
        <v>6563</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6564</v>
      </c>
      <c r="W411" s="1181" t="s">
        <v>6565</v>
      </c>
      <c r="X411" s="1181" t="s">
        <v>6566</v>
      </c>
      <c r="Y411" s="1181" t="s">
        <v>6567</v>
      </c>
      <c r="Z411" s="1182" t="s">
        <v>6568</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6569</v>
      </c>
      <c r="W412" s="1181" t="s">
        <v>6570</v>
      </c>
      <c r="X412" s="1181" t="s">
        <v>6571</v>
      </c>
      <c r="Y412" s="1181" t="s">
        <v>6572</v>
      </c>
      <c r="Z412" s="1182" t="s">
        <v>6573</v>
      </c>
    </row>
    <row r="413" spans="2:26" ht="12.75" customHeight="1" x14ac:dyDescent="0.2">
      <c r="B413" s="2252" t="str">
        <f t="shared" si="6"/>
        <v>Libre acceso20</v>
      </c>
      <c r="C413" s="1183"/>
      <c r="D413" s="1189" t="s">
        <v>661</v>
      </c>
      <c r="E413" s="1179" t="s">
        <v>648</v>
      </c>
      <c r="F413" s="1179">
        <v>20</v>
      </c>
      <c r="G413" s="1190" t="s">
        <v>2549</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5102</v>
      </c>
      <c r="W413" s="1181" t="s">
        <v>5228</v>
      </c>
      <c r="X413" s="1181" t="s">
        <v>6574</v>
      </c>
      <c r="Y413" s="1181" t="s">
        <v>5140</v>
      </c>
      <c r="Z413" s="1182" t="s">
        <v>6575</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4917</v>
      </c>
      <c r="W414" s="1181" t="s">
        <v>4918</v>
      </c>
      <c r="X414" s="1181" t="s">
        <v>5059</v>
      </c>
      <c r="Y414" s="1181" t="s">
        <v>6576</v>
      </c>
      <c r="Z414" s="1182" t="s">
        <v>6577</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5101</v>
      </c>
      <c r="W415" s="1181" t="s">
        <v>5103</v>
      </c>
      <c r="X415" s="1181" t="s">
        <v>6578</v>
      </c>
      <c r="Y415" s="1181" t="s">
        <v>6574</v>
      </c>
      <c r="Z415" s="1182" t="s">
        <v>6579</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6580</v>
      </c>
      <c r="W416" s="1181" t="s">
        <v>6581</v>
      </c>
      <c r="X416" s="1181" t="s">
        <v>6582</v>
      </c>
      <c r="Y416" s="1181" t="s">
        <v>6583</v>
      </c>
      <c r="Z416" s="1182" t="s">
        <v>6584</v>
      </c>
    </row>
    <row r="417" spans="2:26" ht="12.75" customHeight="1" x14ac:dyDescent="0.2">
      <c r="B417" s="2252" t="str">
        <f t="shared" si="6"/>
        <v>Libre acceso20</v>
      </c>
      <c r="C417" s="1183"/>
      <c r="D417" s="1189" t="s">
        <v>664</v>
      </c>
      <c r="E417" s="1179" t="s">
        <v>648</v>
      </c>
      <c r="F417" s="1179">
        <v>20</v>
      </c>
      <c r="G417" s="1190" t="s">
        <v>2549</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6585</v>
      </c>
      <c r="W417" s="1181" t="s">
        <v>6586</v>
      </c>
      <c r="X417" s="1181" t="s">
        <v>6587</v>
      </c>
      <c r="Y417" s="1181" t="s">
        <v>6588</v>
      </c>
      <c r="Z417" s="1182" t="s">
        <v>6589</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6590</v>
      </c>
      <c r="W418" s="1181" t="s">
        <v>6591</v>
      </c>
      <c r="X418" s="1181" t="s">
        <v>6592</v>
      </c>
      <c r="Y418" s="1181" t="s">
        <v>6593</v>
      </c>
      <c r="Z418" s="1182" t="s">
        <v>6594</v>
      </c>
    </row>
    <row r="419" spans="2:26" ht="12.75" customHeight="1" x14ac:dyDescent="0.2">
      <c r="B419" s="2252" t="str">
        <f t="shared" si="6"/>
        <v>Libre acceso20</v>
      </c>
      <c r="C419" s="1183"/>
      <c r="D419" s="1189" t="s">
        <v>666</v>
      </c>
      <c r="E419" s="1179" t="s">
        <v>648</v>
      </c>
      <c r="F419" s="1179">
        <v>20</v>
      </c>
      <c r="G419" s="1190" t="s">
        <v>2549</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5228</v>
      </c>
      <c r="W419" s="1181" t="s">
        <v>4930</v>
      </c>
      <c r="X419" s="1181" t="s">
        <v>5453</v>
      </c>
      <c r="Y419" s="1181" t="s">
        <v>6595</v>
      </c>
      <c r="Z419" s="1182" t="s">
        <v>6596</v>
      </c>
    </row>
    <row r="420" spans="2:26" ht="12.75" customHeight="1" x14ac:dyDescent="0.2">
      <c r="B420" s="2252" t="str">
        <f t="shared" si="6"/>
        <v>Libre acceso20</v>
      </c>
      <c r="C420" s="1183"/>
      <c r="D420" s="1189" t="s">
        <v>2011</v>
      </c>
      <c r="E420" s="1179" t="s">
        <v>648</v>
      </c>
      <c r="F420" s="1179">
        <v>20</v>
      </c>
      <c r="G420" s="1190" t="s">
        <v>2549</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6597</v>
      </c>
      <c r="W420" s="1181" t="s">
        <v>6598</v>
      </c>
      <c r="X420" s="1181" t="s">
        <v>6599</v>
      </c>
      <c r="Y420" s="1181" t="s">
        <v>6600</v>
      </c>
      <c r="Z420" s="1182" t="s">
        <v>6601</v>
      </c>
    </row>
    <row r="421" spans="2:26" ht="12.75" customHeight="1" x14ac:dyDescent="0.2">
      <c r="B421" s="2252" t="str">
        <f t="shared" si="6"/>
        <v>Libre acceso20</v>
      </c>
      <c r="C421" s="1183"/>
      <c r="D421" s="1189" t="s">
        <v>667</v>
      </c>
      <c r="E421" s="1179" t="s">
        <v>648</v>
      </c>
      <c r="F421" s="1179">
        <v>20</v>
      </c>
      <c r="G421" s="1190" t="s">
        <v>2549</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5140</v>
      </c>
      <c r="W421" s="1181" t="s">
        <v>5229</v>
      </c>
      <c r="X421" s="1181" t="s">
        <v>6602</v>
      </c>
      <c r="Y421" s="1181" t="s">
        <v>6603</v>
      </c>
      <c r="Z421" s="1182" t="s">
        <v>6604</v>
      </c>
    </row>
    <row r="422" spans="2:26" ht="12.75" customHeight="1" x14ac:dyDescent="0.2">
      <c r="B422" s="2252" t="str">
        <f t="shared" si="6"/>
        <v>Libre acceso20</v>
      </c>
      <c r="C422" s="1183"/>
      <c r="D422" s="1189" t="s">
        <v>668</v>
      </c>
      <c r="E422" s="1179" t="s">
        <v>648</v>
      </c>
      <c r="F422" s="1179">
        <v>20</v>
      </c>
      <c r="G422" s="1190" t="s">
        <v>2549</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4919</v>
      </c>
      <c r="W422" s="1181" t="s">
        <v>5018</v>
      </c>
      <c r="X422" s="1181" t="s">
        <v>4920</v>
      </c>
      <c r="Y422" s="1181" t="s">
        <v>5060</v>
      </c>
      <c r="Z422" s="1182" t="s">
        <v>6605</v>
      </c>
    </row>
    <row r="423" spans="2:26" ht="12.75" customHeight="1" x14ac:dyDescent="0.2">
      <c r="B423" s="2252" t="str">
        <f t="shared" si="6"/>
        <v/>
      </c>
      <c r="C423" s="1183"/>
      <c r="D423" s="1189" t="s">
        <v>6606</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5666</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6607</v>
      </c>
      <c r="W424" s="1181" t="s">
        <v>6608</v>
      </c>
      <c r="X424" s="1181" t="s">
        <v>5395</v>
      </c>
      <c r="Y424" s="1181" t="s">
        <v>6396</v>
      </c>
      <c r="Z424" s="1182" t="s">
        <v>6609</v>
      </c>
    </row>
    <row r="425" spans="2:26" ht="12.75" customHeight="1" x14ac:dyDescent="0.2">
      <c r="B425" s="2252" t="str">
        <f t="shared" si="6"/>
        <v>Libre acceso30</v>
      </c>
      <c r="C425" s="1183"/>
      <c r="D425" s="1189" t="s">
        <v>671</v>
      </c>
      <c r="E425" s="1179" t="s">
        <v>648</v>
      </c>
      <c r="F425" s="1179">
        <v>30</v>
      </c>
      <c r="G425" s="1190" t="s">
        <v>1693</v>
      </c>
      <c r="H425" s="1190" t="s">
        <v>5666</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5156</v>
      </c>
      <c r="W425" s="1181" t="s">
        <v>5157</v>
      </c>
      <c r="X425" s="1181" t="s">
        <v>5031</v>
      </c>
      <c r="Y425" s="1181" t="s">
        <v>4834</v>
      </c>
      <c r="Z425" s="1182" t="s">
        <v>6610</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6611</v>
      </c>
      <c r="W426" s="1181" t="s">
        <v>6612</v>
      </c>
      <c r="X426" s="1181" t="s">
        <v>6613</v>
      </c>
      <c r="Y426" s="1181" t="s">
        <v>6614</v>
      </c>
      <c r="Z426" s="1182" t="s">
        <v>6615</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5502</v>
      </c>
      <c r="W427" s="1181" t="s">
        <v>6616</v>
      </c>
      <c r="X427" s="1181" t="s">
        <v>6617</v>
      </c>
      <c r="Y427" s="1181" t="s">
        <v>6618</v>
      </c>
      <c r="Z427" s="1182" t="s">
        <v>6619</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5999</v>
      </c>
      <c r="W428" s="1181" t="s">
        <v>6000</v>
      </c>
      <c r="X428" s="1181" t="s">
        <v>6001</v>
      </c>
      <c r="Y428" s="1181" t="s">
        <v>6002</v>
      </c>
      <c r="Z428" s="1182" t="s">
        <v>6620</v>
      </c>
    </row>
    <row r="429" spans="2:26" ht="12.75" customHeight="1" x14ac:dyDescent="0.2">
      <c r="B429" s="2252" t="str">
        <f t="shared" si="6"/>
        <v>Libre acceso30</v>
      </c>
      <c r="C429" s="1183"/>
      <c r="D429" s="1189" t="s">
        <v>675</v>
      </c>
      <c r="E429" s="1179" t="s">
        <v>648</v>
      </c>
      <c r="F429" s="1179">
        <v>30</v>
      </c>
      <c r="G429" s="1190" t="s">
        <v>2549</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6621</v>
      </c>
      <c r="W429" s="1181" t="s">
        <v>6622</v>
      </c>
      <c r="X429" s="1181" t="s">
        <v>6623</v>
      </c>
      <c r="Y429" s="1181" t="s">
        <v>6624</v>
      </c>
      <c r="Z429" s="1182" t="s">
        <v>6625</v>
      </c>
    </row>
    <row r="430" spans="2:26" ht="12.75" customHeight="1" x14ac:dyDescent="0.2">
      <c r="B430" s="2252" t="str">
        <f t="shared" si="6"/>
        <v>Libre acceso30</v>
      </c>
      <c r="C430" s="1183"/>
      <c r="D430" s="1189" t="s">
        <v>676</v>
      </c>
      <c r="E430" s="1179" t="s">
        <v>648</v>
      </c>
      <c r="F430" s="1179">
        <v>30</v>
      </c>
      <c r="G430" s="1190" t="s">
        <v>2549</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4919</v>
      </c>
      <c r="W430" s="1181" t="s">
        <v>5018</v>
      </c>
      <c r="X430" s="1181" t="s">
        <v>4920</v>
      </c>
      <c r="Y430" s="1181" t="s">
        <v>5060</v>
      </c>
      <c r="Z430" s="1182" t="s">
        <v>6626</v>
      </c>
    </row>
    <row r="431" spans="2:26" ht="12.75" customHeight="1" x14ac:dyDescent="0.2">
      <c r="B431" s="2252" t="str">
        <f t="shared" si="6"/>
        <v>Libre acceso30</v>
      </c>
      <c r="C431" s="1183"/>
      <c r="D431" s="1189" t="s">
        <v>2634</v>
      </c>
      <c r="E431" s="1179" t="s">
        <v>648</v>
      </c>
      <c r="F431" s="1179">
        <v>30</v>
      </c>
      <c r="G431" s="1190" t="s">
        <v>1693</v>
      </c>
      <c r="H431" s="1190" t="s">
        <v>6627</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6628</v>
      </c>
      <c r="W431" s="1181" t="s">
        <v>6629</v>
      </c>
      <c r="X431" s="1181" t="s">
        <v>6630</v>
      </c>
      <c r="Y431" s="1181" t="s">
        <v>6631</v>
      </c>
      <c r="Z431" s="1182" t="s">
        <v>6632</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5149</v>
      </c>
      <c r="V432" s="1181" t="s">
        <v>6633</v>
      </c>
      <c r="W432" s="1181" t="s">
        <v>6634</v>
      </c>
      <c r="X432" s="1181" t="s">
        <v>6635</v>
      </c>
      <c r="Y432" s="1181" t="s">
        <v>6636</v>
      </c>
      <c r="Z432" s="1182" t="s">
        <v>6637</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6638</v>
      </c>
      <c r="W433" s="1181" t="s">
        <v>6639</v>
      </c>
      <c r="X433" s="1181" t="s">
        <v>6640</v>
      </c>
      <c r="Y433" s="1181" t="s">
        <v>6641</v>
      </c>
      <c r="Z433" s="1182" t="s">
        <v>6642</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6643</v>
      </c>
      <c r="W434" s="1181" t="s">
        <v>6644</v>
      </c>
      <c r="X434" s="1181" t="s">
        <v>6645</v>
      </c>
      <c r="Y434" s="1181" t="s">
        <v>6646</v>
      </c>
      <c r="Z434" s="1182" t="s">
        <v>6647</v>
      </c>
    </row>
    <row r="435" spans="2:26" ht="12.75" customHeight="1" x14ac:dyDescent="0.2">
      <c r="B435" s="2252" t="str">
        <f t="shared" si="6"/>
        <v>Libre acceso30</v>
      </c>
      <c r="C435" s="1183"/>
      <c r="D435" s="1189" t="s">
        <v>679</v>
      </c>
      <c r="E435" s="1179" t="s">
        <v>648</v>
      </c>
      <c r="F435" s="1179">
        <v>30</v>
      </c>
      <c r="G435" s="1190" t="s">
        <v>2549</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4929</v>
      </c>
      <c r="W435" s="1181" t="s">
        <v>5229</v>
      </c>
      <c r="X435" s="1181" t="s">
        <v>6648</v>
      </c>
      <c r="Y435" s="1181" t="s">
        <v>6649</v>
      </c>
      <c r="Z435" s="1182" t="s">
        <v>6650</v>
      </c>
    </row>
    <row r="436" spans="2:26" ht="12.75" customHeight="1" x14ac:dyDescent="0.2">
      <c r="B436" s="2252" t="str">
        <f t="shared" si="6"/>
        <v/>
      </c>
      <c r="C436" s="1183"/>
      <c r="D436" s="1189" t="s">
        <v>6651</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2549</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6652</v>
      </c>
      <c r="W437" s="1181" t="s">
        <v>6653</v>
      </c>
      <c r="X437" s="1181" t="s">
        <v>6654</v>
      </c>
      <c r="Y437" s="1181" t="s">
        <v>6655</v>
      </c>
      <c r="Z437" s="1182" t="s">
        <v>6656</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5149</v>
      </c>
      <c r="V438" s="1181" t="s">
        <v>6657</v>
      </c>
      <c r="W438" s="1181" t="s">
        <v>6658</v>
      </c>
      <c r="X438" s="1181" t="s">
        <v>6659</v>
      </c>
      <c r="Y438" s="1181" t="s">
        <v>6660</v>
      </c>
      <c r="Z438" s="1182" t="s">
        <v>6661</v>
      </c>
    </row>
    <row r="439" spans="2:26" ht="12.75" customHeight="1" x14ac:dyDescent="0.2">
      <c r="B439" s="2252" t="str">
        <f t="shared" si="6"/>
        <v>Libre acceso40</v>
      </c>
      <c r="C439" s="1183"/>
      <c r="D439" s="1189" t="s">
        <v>683</v>
      </c>
      <c r="E439" s="1179" t="s">
        <v>648</v>
      </c>
      <c r="F439" s="1179">
        <v>40</v>
      </c>
      <c r="G439" s="1190" t="s">
        <v>2549</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6662</v>
      </c>
      <c r="W439" s="1181" t="s">
        <v>6663</v>
      </c>
      <c r="X439" s="1181" t="s">
        <v>6664</v>
      </c>
      <c r="Y439" s="1181" t="s">
        <v>6665</v>
      </c>
      <c r="Z439" s="1182" t="s">
        <v>6666</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6667</v>
      </c>
      <c r="W440" s="1181" t="s">
        <v>6668</v>
      </c>
      <c r="X440" s="1181" t="s">
        <v>6669</v>
      </c>
      <c r="Y440" s="1181" t="s">
        <v>6670</v>
      </c>
      <c r="Z440" s="1182" t="s">
        <v>6671</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5149</v>
      </c>
      <c r="V441" s="1181" t="s">
        <v>6672</v>
      </c>
      <c r="W441" s="1181" t="s">
        <v>6673</v>
      </c>
      <c r="X441" s="1181" t="s">
        <v>6674</v>
      </c>
      <c r="Y441" s="1181" t="s">
        <v>6675</v>
      </c>
      <c r="Z441" s="1182" t="s">
        <v>6676</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5149</v>
      </c>
      <c r="V442" s="1181" t="s">
        <v>6677</v>
      </c>
      <c r="W442" s="1181" t="s">
        <v>6678</v>
      </c>
      <c r="X442" s="1181" t="s">
        <v>6679</v>
      </c>
      <c r="Y442" s="1181" t="s">
        <v>6680</v>
      </c>
      <c r="Z442" s="1182" t="s">
        <v>6681</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6682</v>
      </c>
      <c r="W443" s="1181" t="s">
        <v>6683</v>
      </c>
      <c r="X443" s="1181" t="s">
        <v>6405</v>
      </c>
      <c r="Y443" s="1181" t="s">
        <v>5341</v>
      </c>
      <c r="Z443" s="1182" t="s">
        <v>6684</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5100</v>
      </c>
      <c r="W444" s="1181" t="s">
        <v>5102</v>
      </c>
      <c r="X444" s="1181" t="s">
        <v>5228</v>
      </c>
      <c r="Y444" s="1181" t="s">
        <v>4929</v>
      </c>
      <c r="Z444" s="1182" t="s">
        <v>6685</v>
      </c>
    </row>
    <row r="445" spans="2:26" ht="12.75" customHeight="1" x14ac:dyDescent="0.2">
      <c r="B445" s="2252" t="str">
        <f t="shared" si="6"/>
        <v>Libre acceso40</v>
      </c>
      <c r="C445" s="1183"/>
      <c r="D445" s="1189" t="s">
        <v>9132</v>
      </c>
      <c r="E445" s="1179" t="s">
        <v>648</v>
      </c>
      <c r="F445" s="1179">
        <v>40</v>
      </c>
      <c r="G445" s="1190" t="s">
        <v>2549</v>
      </c>
      <c r="H445" s="1190" t="s">
        <v>5666</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5156</v>
      </c>
      <c r="W445" s="1181" t="s">
        <v>5031</v>
      </c>
      <c r="X445" s="1181" t="s">
        <v>5032</v>
      </c>
      <c r="Y445" s="1181" t="s">
        <v>5033</v>
      </c>
      <c r="Z445" s="1182" t="s">
        <v>6686</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6687</v>
      </c>
      <c r="W446" s="1181" t="s">
        <v>6688</v>
      </c>
      <c r="X446" s="1181" t="s">
        <v>6689</v>
      </c>
      <c r="Y446" s="1181" t="s">
        <v>6690</v>
      </c>
      <c r="Z446" s="1182" t="s">
        <v>6691</v>
      </c>
    </row>
    <row r="447" spans="2:26" ht="12.75" customHeight="1" x14ac:dyDescent="0.2">
      <c r="B447" s="2252" t="str">
        <f t="shared" si="6"/>
        <v>Libre acceso40</v>
      </c>
      <c r="C447" s="1183"/>
      <c r="D447" s="1189" t="s">
        <v>690</v>
      </c>
      <c r="E447" s="1179" t="s">
        <v>648</v>
      </c>
      <c r="F447" s="1179">
        <v>40</v>
      </c>
      <c r="G447" s="1190" t="s">
        <v>1693</v>
      </c>
      <c r="H447" s="1190" t="s">
        <v>5666</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6692</v>
      </c>
      <c r="W447" s="1181" t="s">
        <v>6693</v>
      </c>
      <c r="X447" s="1181" t="s">
        <v>6694</v>
      </c>
      <c r="Y447" s="1181" t="s">
        <v>6695</v>
      </c>
      <c r="Z447" s="1182" t="s">
        <v>6696</v>
      </c>
    </row>
    <row r="448" spans="2:26" ht="12.75" customHeight="1" x14ac:dyDescent="0.2">
      <c r="B448" s="2252" t="str">
        <f t="shared" si="6"/>
        <v>Libre acceso40</v>
      </c>
      <c r="C448" s="1183"/>
      <c r="D448" s="1189" t="s">
        <v>691</v>
      </c>
      <c r="E448" s="1179" t="s">
        <v>648</v>
      </c>
      <c r="F448" s="1179">
        <v>40</v>
      </c>
      <c r="G448" s="1190" t="s">
        <v>2549</v>
      </c>
      <c r="H448" s="1190" t="s">
        <v>6697</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5200</v>
      </c>
      <c r="W448" s="1181" t="s">
        <v>6698</v>
      </c>
      <c r="X448" s="1181" t="s">
        <v>5156</v>
      </c>
      <c r="Y448" s="1181" t="s">
        <v>6458</v>
      </c>
      <c r="Z448" s="1182" t="s">
        <v>6699</v>
      </c>
    </row>
    <row r="449" spans="2:26" ht="12.75" customHeight="1" x14ac:dyDescent="0.2">
      <c r="B449" s="2252" t="str">
        <f t="shared" si="6"/>
        <v/>
      </c>
      <c r="C449" s="1183"/>
      <c r="D449" s="1189" t="s">
        <v>6700</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6663</v>
      </c>
      <c r="W450" s="1181" t="s">
        <v>6701</v>
      </c>
      <c r="X450" s="1181" t="s">
        <v>6702</v>
      </c>
      <c r="Y450" s="1181" t="s">
        <v>6703</v>
      </c>
      <c r="Z450" s="1182" t="s">
        <v>6704</v>
      </c>
    </row>
    <row r="451" spans="2:26" ht="12.75" customHeight="1" x14ac:dyDescent="0.2">
      <c r="B451" s="2252" t="str">
        <f t="shared" si="6"/>
        <v>Libre acceso50</v>
      </c>
      <c r="C451" s="1183"/>
      <c r="D451" s="2325" t="s">
        <v>9185</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5149</v>
      </c>
      <c r="V451" s="1181" t="s">
        <v>9133</v>
      </c>
      <c r="W451" s="1181" t="s">
        <v>9134</v>
      </c>
      <c r="X451" s="1181" t="s">
        <v>9135</v>
      </c>
      <c r="Y451" s="1181" t="s">
        <v>9136</v>
      </c>
      <c r="Z451" s="1182" t="s">
        <v>6705</v>
      </c>
    </row>
    <row r="452" spans="2:26" ht="12.75" customHeight="1" x14ac:dyDescent="0.2">
      <c r="B452" s="2252" t="str">
        <f t="shared" si="6"/>
        <v>Libre acceso50</v>
      </c>
      <c r="C452" s="1183"/>
      <c r="D452" s="1189" t="s">
        <v>695</v>
      </c>
      <c r="E452" s="1179" t="s">
        <v>648</v>
      </c>
      <c r="F452" s="1179">
        <v>50</v>
      </c>
      <c r="G452" s="1190" t="s">
        <v>2549</v>
      </c>
      <c r="H452" s="1190" t="s">
        <v>5666</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6706</v>
      </c>
      <c r="W452" s="1181" t="s">
        <v>6707</v>
      </c>
      <c r="X452" s="1181" t="s">
        <v>6708</v>
      </c>
      <c r="Y452" s="1181" t="s">
        <v>6709</v>
      </c>
      <c r="Z452" s="1182" t="s">
        <v>6710</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6711</v>
      </c>
      <c r="W453" s="1181" t="s">
        <v>6712</v>
      </c>
      <c r="X453" s="1181" t="s">
        <v>6713</v>
      </c>
      <c r="Y453" s="1181" t="s">
        <v>6714</v>
      </c>
      <c r="Z453" s="1182" t="s">
        <v>6715</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5149</v>
      </c>
      <c r="V454" s="1181" t="s">
        <v>6716</v>
      </c>
      <c r="W454" s="1181" t="s">
        <v>6717</v>
      </c>
      <c r="X454" s="1181" t="s">
        <v>6718</v>
      </c>
      <c r="Y454" s="1181" t="s">
        <v>6719</v>
      </c>
      <c r="Z454" s="1182" t="s">
        <v>6720</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6721</v>
      </c>
      <c r="W455" s="1181" t="s">
        <v>6722</v>
      </c>
      <c r="X455" s="1181" t="s">
        <v>6723</v>
      </c>
      <c r="Y455" s="1181" t="s">
        <v>6724</v>
      </c>
      <c r="Z455" s="1182" t="s">
        <v>6725</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6726</v>
      </c>
      <c r="W456" s="1181" t="s">
        <v>6727</v>
      </c>
      <c r="X456" s="1181" t="s">
        <v>6728</v>
      </c>
      <c r="Y456" s="1181" t="s">
        <v>6729</v>
      </c>
      <c r="Z456" s="1182" t="s">
        <v>6730</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6731</v>
      </c>
      <c r="W457" s="1181" t="s">
        <v>5172</v>
      </c>
      <c r="X457" s="1181" t="s">
        <v>6338</v>
      </c>
      <c r="Y457" s="1181" t="s">
        <v>6339</v>
      </c>
      <c r="Z457" s="1182" t="s">
        <v>6732</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6733</v>
      </c>
      <c r="W458" s="1181" t="s">
        <v>6734</v>
      </c>
      <c r="X458" s="1181" t="s">
        <v>6735</v>
      </c>
      <c r="Y458" s="1181" t="s">
        <v>6736</v>
      </c>
      <c r="Z458" s="1182" t="s">
        <v>6737</v>
      </c>
    </row>
    <row r="459" spans="2:26" ht="12.75" customHeight="1" x14ac:dyDescent="0.2">
      <c r="B459" s="2252" t="str">
        <f t="shared" si="7"/>
        <v>Libre acceso50</v>
      </c>
      <c r="C459" s="1183"/>
      <c r="D459" s="1189" t="s">
        <v>702</v>
      </c>
      <c r="E459" s="1179" t="s">
        <v>648</v>
      </c>
      <c r="F459" s="1179">
        <v>50</v>
      </c>
      <c r="G459" s="1190" t="s">
        <v>2549</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5172</v>
      </c>
      <c r="W459" s="1181" t="s">
        <v>6338</v>
      </c>
      <c r="X459" s="1181" t="s">
        <v>6738</v>
      </c>
      <c r="Y459" s="1181" t="s">
        <v>6339</v>
      </c>
      <c r="Z459" s="1182" t="s">
        <v>6739</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5149</v>
      </c>
      <c r="V460" s="1181" t="s">
        <v>6740</v>
      </c>
      <c r="W460" s="1181" t="s">
        <v>6741</v>
      </c>
      <c r="X460" s="1181" t="s">
        <v>6742</v>
      </c>
      <c r="Y460" s="1181" t="s">
        <v>6743</v>
      </c>
      <c r="Z460" s="1182" t="s">
        <v>6744</v>
      </c>
    </row>
    <row r="461" spans="2:26" ht="12.75" customHeight="1" x14ac:dyDescent="0.2">
      <c r="B461" s="2252" t="str">
        <f t="shared" si="7"/>
        <v>Libre acceso50</v>
      </c>
      <c r="C461" s="1183"/>
      <c r="D461" s="1189" t="s">
        <v>704</v>
      </c>
      <c r="E461" s="1179" t="s">
        <v>648</v>
      </c>
      <c r="F461" s="1179">
        <v>50</v>
      </c>
      <c r="G461" s="1190" t="s">
        <v>2549</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6745</v>
      </c>
      <c r="W461" s="1181" t="s">
        <v>6746</v>
      </c>
      <c r="X461" s="1181" t="s">
        <v>6747</v>
      </c>
      <c r="Y461" s="1181" t="s">
        <v>6748</v>
      </c>
      <c r="Z461" s="1182" t="s">
        <v>6749</v>
      </c>
    </row>
    <row r="462" spans="2:26" ht="12.75" customHeight="1" x14ac:dyDescent="0.2">
      <c r="B462" s="2252" t="str">
        <f t="shared" si="7"/>
        <v/>
      </c>
      <c r="C462" s="1183"/>
      <c r="D462" s="1189" t="s">
        <v>6750</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2549</v>
      </c>
      <c r="H463" s="1190" t="s">
        <v>5666</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6751</v>
      </c>
      <c r="W463" s="1181" t="s">
        <v>6752</v>
      </c>
      <c r="X463" s="1181" t="s">
        <v>4983</v>
      </c>
      <c r="Y463" s="1181" t="s">
        <v>4984</v>
      </c>
      <c r="Z463" s="1182" t="s">
        <v>9137</v>
      </c>
    </row>
    <row r="464" spans="2:26" ht="12.75" customHeight="1" x14ac:dyDescent="0.2">
      <c r="B464" s="2252" t="str">
        <f t="shared" si="7"/>
        <v>Libre acceso60</v>
      </c>
      <c r="C464" s="1183"/>
      <c r="D464" s="1189" t="s">
        <v>707</v>
      </c>
      <c r="E464" s="1179" t="s">
        <v>648</v>
      </c>
      <c r="F464" s="1179">
        <v>60</v>
      </c>
      <c r="G464" s="1190" t="s">
        <v>1693</v>
      </c>
      <c r="H464" s="1190" t="s">
        <v>5666</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6753</v>
      </c>
      <c r="W464" s="1181" t="s">
        <v>6711</v>
      </c>
      <c r="X464" s="1181" t="s">
        <v>6754</v>
      </c>
      <c r="Y464" s="1181" t="s">
        <v>6755</v>
      </c>
      <c r="Z464" s="1182" t="s">
        <v>6756</v>
      </c>
    </row>
    <row r="465" spans="2:26" ht="12.75" customHeight="1" x14ac:dyDescent="0.2">
      <c r="B465" s="2252" t="str">
        <f t="shared" si="7"/>
        <v>Libre acceso60</v>
      </c>
      <c r="C465" s="1183"/>
      <c r="D465" s="1189" t="s">
        <v>708</v>
      </c>
      <c r="E465" s="1179" t="s">
        <v>648</v>
      </c>
      <c r="F465" s="1179">
        <v>60</v>
      </c>
      <c r="G465" s="1190" t="s">
        <v>1693</v>
      </c>
      <c r="H465" s="1190" t="s">
        <v>5666</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6757</v>
      </c>
      <c r="W465" s="1181" t="s">
        <v>4769</v>
      </c>
      <c r="X465" s="1181" t="s">
        <v>6712</v>
      </c>
      <c r="Y465" s="1181" t="s">
        <v>6758</v>
      </c>
      <c r="Z465" s="1182" t="s">
        <v>6759</v>
      </c>
    </row>
    <row r="466" spans="2:26" ht="12.75" customHeight="1" x14ac:dyDescent="0.2">
      <c r="B466" s="2252" t="str">
        <f t="shared" si="7"/>
        <v>Libre acceso60</v>
      </c>
      <c r="C466" s="1183"/>
      <c r="D466" s="1189" t="s">
        <v>709</v>
      </c>
      <c r="E466" s="1179" t="s">
        <v>648</v>
      </c>
      <c r="F466" s="1179">
        <v>60</v>
      </c>
      <c r="G466" s="1190" t="s">
        <v>1693</v>
      </c>
      <c r="H466" s="1190" t="s">
        <v>5666</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6757</v>
      </c>
      <c r="W466" s="1181" t="s">
        <v>6760</v>
      </c>
      <c r="X466" s="1181" t="s">
        <v>6761</v>
      </c>
      <c r="Y466" s="1181" t="s">
        <v>6762</v>
      </c>
      <c r="Z466" s="1182" t="s">
        <v>6763</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6764</v>
      </c>
      <c r="W467" s="1181" t="s">
        <v>6765</v>
      </c>
      <c r="X467" s="1181" t="s">
        <v>6766</v>
      </c>
      <c r="Y467" s="1181" t="s">
        <v>6767</v>
      </c>
      <c r="Z467" s="1182" t="s">
        <v>6768</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6769</v>
      </c>
      <c r="W468" s="1181" t="s">
        <v>6095</v>
      </c>
      <c r="X468" s="1181" t="s">
        <v>6770</v>
      </c>
      <c r="Y468" s="1181" t="s">
        <v>6483</v>
      </c>
      <c r="Z468" s="1182" t="s">
        <v>6771</v>
      </c>
    </row>
    <row r="469" spans="2:26" ht="12.75" customHeight="1" x14ac:dyDescent="0.2">
      <c r="B469" s="2252" t="str">
        <f t="shared" si="7"/>
        <v>Libre acceso60</v>
      </c>
      <c r="C469" s="1183"/>
      <c r="D469" s="1189" t="s">
        <v>712</v>
      </c>
      <c r="E469" s="1179" t="s">
        <v>648</v>
      </c>
      <c r="F469" s="1179">
        <v>60</v>
      </c>
      <c r="G469" s="1190" t="s">
        <v>2549</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4929</v>
      </c>
      <c r="W469" s="1181" t="s">
        <v>5229</v>
      </c>
      <c r="X469" s="1181" t="s">
        <v>6772</v>
      </c>
      <c r="Y469" s="1181" t="s">
        <v>6595</v>
      </c>
      <c r="Z469" s="1182" t="s">
        <v>6773</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6774</v>
      </c>
      <c r="W470" s="1181" t="s">
        <v>6775</v>
      </c>
      <c r="X470" s="1181" t="s">
        <v>6776</v>
      </c>
      <c r="Y470" s="1181" t="s">
        <v>6777</v>
      </c>
      <c r="Z470" s="1182" t="s">
        <v>6778</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6779</v>
      </c>
      <c r="W471" s="1181" t="s">
        <v>6780</v>
      </c>
      <c r="X471" s="1181" t="s">
        <v>6781</v>
      </c>
      <c r="Y471" s="1181" t="s">
        <v>6782</v>
      </c>
      <c r="Z471" s="1182" t="s">
        <v>6783</v>
      </c>
    </row>
    <row r="472" spans="2:26" ht="12.75" customHeight="1" x14ac:dyDescent="0.2">
      <c r="B472" s="2252" t="str">
        <f t="shared" si="7"/>
        <v>Libre acceso60</v>
      </c>
      <c r="C472" s="1183"/>
      <c r="D472" s="1189" t="s">
        <v>715</v>
      </c>
      <c r="E472" s="1179" t="s">
        <v>648</v>
      </c>
      <c r="F472" s="1179">
        <v>60</v>
      </c>
      <c r="G472" s="1190" t="s">
        <v>2549</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6784</v>
      </c>
      <c r="W472" s="1181" t="s">
        <v>6785</v>
      </c>
      <c r="X472" s="1181" t="s">
        <v>6786</v>
      </c>
      <c r="Y472" s="1181" t="s">
        <v>6787</v>
      </c>
      <c r="Z472" s="1182" t="s">
        <v>6788</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6789</v>
      </c>
      <c r="W473" s="1181" t="s">
        <v>6790</v>
      </c>
      <c r="X473" s="1181" t="s">
        <v>6791</v>
      </c>
      <c r="Y473" s="1181" t="s">
        <v>6792</v>
      </c>
      <c r="Z473" s="1182" t="s">
        <v>6793</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6794</v>
      </c>
      <c r="W474" s="1181" t="s">
        <v>6795</v>
      </c>
      <c r="X474" s="1181" t="s">
        <v>6796</v>
      </c>
      <c r="Y474" s="1181" t="s">
        <v>6797</v>
      </c>
      <c r="Z474" s="1182" t="s">
        <v>6798</v>
      </c>
    </row>
    <row r="475" spans="2:26" ht="12.75" customHeight="1" x14ac:dyDescent="0.2">
      <c r="B475" s="2252" t="str">
        <f t="shared" si="7"/>
        <v/>
      </c>
      <c r="C475" s="1183"/>
      <c r="D475" s="1189" t="s">
        <v>6799</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5666</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6800</v>
      </c>
      <c r="W476" s="1181" t="s">
        <v>6801</v>
      </c>
      <c r="X476" s="1181" t="s">
        <v>6802</v>
      </c>
      <c r="Y476" s="1181" t="s">
        <v>6803</v>
      </c>
      <c r="Z476" s="1182" t="s">
        <v>6804</v>
      </c>
    </row>
    <row r="477" spans="2:26" ht="12.75" customHeight="1" x14ac:dyDescent="0.2">
      <c r="B477" s="2252" t="str">
        <f t="shared" si="7"/>
        <v>Libre acceso70</v>
      </c>
      <c r="C477" s="1183"/>
      <c r="D477" s="1189" t="s">
        <v>720</v>
      </c>
      <c r="E477" s="1179" t="s">
        <v>648</v>
      </c>
      <c r="F477" s="1179">
        <v>70</v>
      </c>
      <c r="G477" s="1190" t="s">
        <v>1693</v>
      </c>
      <c r="H477" s="1190" t="s">
        <v>5666</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5156</v>
      </c>
      <c r="W477" s="1181" t="s">
        <v>5157</v>
      </c>
      <c r="X477" s="1181" t="s">
        <v>5031</v>
      </c>
      <c r="Y477" s="1181" t="s">
        <v>4834</v>
      </c>
      <c r="Z477" s="1182" t="s">
        <v>6805</v>
      </c>
    </row>
    <row r="478" spans="2:26" ht="12.75" customHeight="1" x14ac:dyDescent="0.2">
      <c r="B478" s="2252" t="str">
        <f t="shared" si="7"/>
        <v>Libre acceso70</v>
      </c>
      <c r="C478" s="1183"/>
      <c r="D478" s="1189" t="s">
        <v>721</v>
      </c>
      <c r="E478" s="1179" t="s">
        <v>648</v>
      </c>
      <c r="F478" s="1179">
        <v>70</v>
      </c>
      <c r="G478" s="1190" t="s">
        <v>2549</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6806</v>
      </c>
      <c r="W478" s="1181" t="s">
        <v>6807</v>
      </c>
      <c r="X478" s="1181" t="s">
        <v>6808</v>
      </c>
      <c r="Y478" s="1181" t="s">
        <v>6809</v>
      </c>
      <c r="Z478" s="1182" t="s">
        <v>6810</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6811</v>
      </c>
      <c r="W479" s="1181" t="s">
        <v>6812</v>
      </c>
      <c r="X479" s="1181" t="s">
        <v>6813</v>
      </c>
      <c r="Y479" s="1181" t="s">
        <v>6814</v>
      </c>
      <c r="Z479" s="1182" t="s">
        <v>6815</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6816</v>
      </c>
      <c r="W480" s="1181" t="s">
        <v>5642</v>
      </c>
      <c r="X480" s="1181" t="s">
        <v>6817</v>
      </c>
      <c r="Y480" s="1181" t="s">
        <v>5643</v>
      </c>
      <c r="Z480" s="1182" t="s">
        <v>6818</v>
      </c>
    </row>
    <row r="481" spans="2:26" ht="12.75" customHeight="1" x14ac:dyDescent="0.2">
      <c r="B481" s="2252" t="str">
        <f t="shared" si="7"/>
        <v>Libre acceso70</v>
      </c>
      <c r="C481" s="1183"/>
      <c r="D481" s="1189" t="s">
        <v>724</v>
      </c>
      <c r="E481" s="1179" t="s">
        <v>648</v>
      </c>
      <c r="F481" s="1179">
        <v>70</v>
      </c>
      <c r="G481" s="1190" t="s">
        <v>2549</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6819</v>
      </c>
      <c r="W481" s="1181" t="s">
        <v>6820</v>
      </c>
      <c r="X481" s="1181" t="s">
        <v>6821</v>
      </c>
      <c r="Y481" s="1181" t="s">
        <v>6822</v>
      </c>
      <c r="Z481" s="1182" t="s">
        <v>6823</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5149</v>
      </c>
      <c r="V482" s="1181" t="s">
        <v>6824</v>
      </c>
      <c r="W482" s="1181" t="s">
        <v>6825</v>
      </c>
      <c r="X482" s="1181" t="s">
        <v>6826</v>
      </c>
      <c r="Y482" s="1181" t="s">
        <v>6827</v>
      </c>
      <c r="Z482" s="1182" t="s">
        <v>6828</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6829</v>
      </c>
      <c r="W483" s="1181" t="s">
        <v>6830</v>
      </c>
      <c r="X483" s="1181" t="s">
        <v>6831</v>
      </c>
      <c r="Y483" s="1181" t="s">
        <v>6832</v>
      </c>
      <c r="Z483" s="1182" t="s">
        <v>6833</v>
      </c>
    </row>
    <row r="484" spans="2:26" ht="12.75" customHeight="1" x14ac:dyDescent="0.2">
      <c r="B484" s="2252" t="str">
        <f t="shared" si="7"/>
        <v>Libre acceso70</v>
      </c>
      <c r="C484" s="1183"/>
      <c r="D484" s="1189" t="s">
        <v>6834</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6835</v>
      </c>
      <c r="W484" s="1181" t="s">
        <v>6836</v>
      </c>
      <c r="X484" s="1181" t="s">
        <v>6837</v>
      </c>
      <c r="Y484" s="1181" t="s">
        <v>6838</v>
      </c>
      <c r="Z484" s="1182" t="s">
        <v>6839</v>
      </c>
    </row>
    <row r="485" spans="2:26" ht="12.75" customHeight="1" x14ac:dyDescent="0.2">
      <c r="B485" s="2252" t="str">
        <f t="shared" si="7"/>
        <v>Libre acceso70</v>
      </c>
      <c r="C485" s="1183"/>
      <c r="D485" s="1189" t="s">
        <v>2277</v>
      </c>
      <c r="E485" s="1179" t="s">
        <v>648</v>
      </c>
      <c r="F485" s="1179">
        <v>70</v>
      </c>
      <c r="G485" s="1190" t="s">
        <v>1693</v>
      </c>
      <c r="H485" s="1190" t="s">
        <v>5666</v>
      </c>
      <c r="I485" s="1191" t="s">
        <v>1609</v>
      </c>
      <c r="J485" s="1179">
        <v>8</v>
      </c>
      <c r="K485" s="1179">
        <v>11</v>
      </c>
      <c r="L485" s="1179">
        <v>13</v>
      </c>
      <c r="M485" s="1185">
        <v>16</v>
      </c>
      <c r="N485" s="1179">
        <v>120</v>
      </c>
      <c r="O485" s="1179">
        <v>160</v>
      </c>
      <c r="P485" s="1179">
        <v>200</v>
      </c>
      <c r="Q485" s="1185">
        <v>240</v>
      </c>
      <c r="R485" s="1179"/>
      <c r="S485" s="1179"/>
      <c r="T485" s="1179"/>
      <c r="U485" s="1185"/>
      <c r="V485" s="1181" t="s">
        <v>5172</v>
      </c>
      <c r="W485" s="1181" t="s">
        <v>6338</v>
      </c>
      <c r="X485" s="1181" t="s">
        <v>5173</v>
      </c>
      <c r="Y485" s="1181" t="s">
        <v>6339</v>
      </c>
      <c r="Z485" s="1182" t="s">
        <v>6840</v>
      </c>
    </row>
    <row r="486" spans="2:26" ht="12.75" customHeight="1" x14ac:dyDescent="0.2">
      <c r="B486" s="2252" t="str">
        <f t="shared" si="7"/>
        <v>Libre acceso70</v>
      </c>
      <c r="C486" s="1183"/>
      <c r="D486" s="1189" t="s">
        <v>6841</v>
      </c>
      <c r="E486" s="1179" t="s">
        <v>648</v>
      </c>
      <c r="F486" s="1179">
        <v>70</v>
      </c>
      <c r="G486" s="1190" t="s">
        <v>2549</v>
      </c>
      <c r="H486" s="1190" t="s">
        <v>5666</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5172</v>
      </c>
      <c r="W486" s="1181" t="s">
        <v>6338</v>
      </c>
      <c r="X486" s="1181" t="s">
        <v>5173</v>
      </c>
      <c r="Y486" s="1181" t="s">
        <v>6339</v>
      </c>
      <c r="Z486" s="1182" t="s">
        <v>6842</v>
      </c>
    </row>
    <row r="487" spans="2:26" ht="12.75" customHeight="1" x14ac:dyDescent="0.2">
      <c r="B487" s="2252" t="str">
        <f t="shared" si="7"/>
        <v>Libre acceso70</v>
      </c>
      <c r="C487" s="1183"/>
      <c r="D487" s="1189" t="s">
        <v>6843</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6835</v>
      </c>
      <c r="W487" s="1181" t="s">
        <v>6836</v>
      </c>
      <c r="X487" s="1181" t="s">
        <v>6837</v>
      </c>
      <c r="Y487" s="1181" t="s">
        <v>6838</v>
      </c>
      <c r="Z487" s="1182" t="s">
        <v>6844</v>
      </c>
    </row>
    <row r="488" spans="2:26" ht="12.75" customHeight="1" x14ac:dyDescent="0.2">
      <c r="B488" s="2252" t="str">
        <f t="shared" si="7"/>
        <v/>
      </c>
      <c r="C488" s="1183"/>
      <c r="D488" s="1189" t="s">
        <v>6845</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2549</v>
      </c>
      <c r="H489" s="1190" t="s">
        <v>5666</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6846</v>
      </c>
      <c r="W489" s="1181" t="s">
        <v>6847</v>
      </c>
      <c r="X489" s="1181" t="s">
        <v>6848</v>
      </c>
      <c r="Y489" s="1181" t="s">
        <v>6849</v>
      </c>
      <c r="Z489" s="1182" t="s">
        <v>6850</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6851</v>
      </c>
      <c r="W490" s="1181" t="s">
        <v>6852</v>
      </c>
      <c r="X490" s="1181" t="s">
        <v>6853</v>
      </c>
      <c r="Y490" s="1181" t="s">
        <v>6854</v>
      </c>
      <c r="Z490" s="1182" t="s">
        <v>6855</v>
      </c>
    </row>
    <row r="491" spans="2:26" ht="12.75" customHeight="1" x14ac:dyDescent="0.2">
      <c r="B491" s="2252" t="str">
        <f t="shared" si="7"/>
        <v>Libre acceso80</v>
      </c>
      <c r="C491" s="1183"/>
      <c r="D491" s="1189" t="s">
        <v>733</v>
      </c>
      <c r="E491" s="1179" t="s">
        <v>648</v>
      </c>
      <c r="F491" s="1179">
        <v>80</v>
      </c>
      <c r="G491" s="1190" t="s">
        <v>1693</v>
      </c>
      <c r="H491" s="1190" t="s">
        <v>5666</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5156</v>
      </c>
      <c r="W491" s="1181" t="s">
        <v>5157</v>
      </c>
      <c r="X491" s="1181" t="s">
        <v>4834</v>
      </c>
      <c r="Y491" s="1181" t="s">
        <v>5381</v>
      </c>
      <c r="Z491" s="1182" t="s">
        <v>6856</v>
      </c>
    </row>
    <row r="492" spans="2:26" ht="12.75" customHeight="1" x14ac:dyDescent="0.2">
      <c r="B492" s="2252" t="str">
        <f t="shared" si="7"/>
        <v>Libre acceso80</v>
      </c>
      <c r="C492" s="1183"/>
      <c r="D492" s="1189" t="s">
        <v>6857</v>
      </c>
      <c r="E492" s="1179" t="s">
        <v>648</v>
      </c>
      <c r="F492" s="1179">
        <v>80</v>
      </c>
      <c r="G492" s="1190" t="s">
        <v>2549</v>
      </c>
      <c r="H492" s="1190" t="s">
        <v>6858</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6859</v>
      </c>
      <c r="W492" s="1181" t="s">
        <v>6860</v>
      </c>
      <c r="X492" s="1181" t="s">
        <v>6861</v>
      </c>
      <c r="Y492" s="1181" t="s">
        <v>6862</v>
      </c>
      <c r="Z492" s="1182" t="s">
        <v>6863</v>
      </c>
    </row>
    <row r="493" spans="2:26" ht="12.75" customHeight="1" x14ac:dyDescent="0.2">
      <c r="B493" s="2252" t="str">
        <f t="shared" si="7"/>
        <v>Libre acceso80</v>
      </c>
      <c r="C493" s="1183"/>
      <c r="D493" s="1189" t="s">
        <v>6864</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6865</v>
      </c>
      <c r="W493" s="1181" t="s">
        <v>6866</v>
      </c>
      <c r="X493" s="1181" t="s">
        <v>6867</v>
      </c>
      <c r="Y493" s="1181" t="s">
        <v>6868</v>
      </c>
      <c r="Z493" s="1182" t="s">
        <v>6869</v>
      </c>
    </row>
    <row r="494" spans="2:26" ht="12.75" customHeight="1" x14ac:dyDescent="0.2">
      <c r="B494" s="2252" t="str">
        <f t="shared" si="7"/>
        <v>Libre acceso80</v>
      </c>
      <c r="C494" s="1183"/>
      <c r="D494" s="1189" t="s">
        <v>735</v>
      </c>
      <c r="E494" s="1179" t="s">
        <v>648</v>
      </c>
      <c r="F494" s="1179">
        <v>80</v>
      </c>
      <c r="G494" s="1190" t="s">
        <v>1693</v>
      </c>
      <c r="H494" s="1190" t="s">
        <v>5666</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5171</v>
      </c>
      <c r="W494" s="1181" t="s">
        <v>5172</v>
      </c>
      <c r="X494" s="1181" t="s">
        <v>6338</v>
      </c>
      <c r="Y494" s="1181" t="s">
        <v>5173</v>
      </c>
      <c r="Z494" s="1182" t="s">
        <v>6870</v>
      </c>
    </row>
    <row r="495" spans="2:26" ht="12.75" customHeight="1" x14ac:dyDescent="0.2">
      <c r="B495" s="2252" t="str">
        <f t="shared" si="7"/>
        <v>Libre acceso80</v>
      </c>
      <c r="C495" s="1183"/>
      <c r="D495" s="1189" t="s">
        <v>734</v>
      </c>
      <c r="E495" s="1179" t="s">
        <v>648</v>
      </c>
      <c r="F495" s="1179">
        <v>80</v>
      </c>
      <c r="G495" s="1190" t="s">
        <v>1693</v>
      </c>
      <c r="H495" s="1190" t="s">
        <v>6871</v>
      </c>
      <c r="I495" s="1191" t="s">
        <v>1610</v>
      </c>
      <c r="J495" s="1179">
        <v>9</v>
      </c>
      <c r="K495" s="1179">
        <v>11</v>
      </c>
      <c r="L495" s="1179">
        <v>13</v>
      </c>
      <c r="M495" s="1185">
        <v>16</v>
      </c>
      <c r="N495" s="1179">
        <v>100</v>
      </c>
      <c r="O495" s="1179">
        <v>160</v>
      </c>
      <c r="P495" s="1179">
        <v>220</v>
      </c>
      <c r="Q495" s="1185">
        <v>300</v>
      </c>
      <c r="R495" s="1179"/>
      <c r="S495" s="1179"/>
      <c r="T495" s="1179"/>
      <c r="U495" s="1185"/>
      <c r="V495" s="1181" t="s">
        <v>5157</v>
      </c>
      <c r="W495" s="1181" t="s">
        <v>5031</v>
      </c>
      <c r="X495" s="1181" t="s">
        <v>5032</v>
      </c>
      <c r="Y495" s="1181" t="s">
        <v>5033</v>
      </c>
      <c r="Z495" s="1182" t="s">
        <v>6872</v>
      </c>
    </row>
    <row r="496" spans="2:26" ht="12.75" customHeight="1" x14ac:dyDescent="0.2">
      <c r="B496" s="2252" t="str">
        <f t="shared" si="7"/>
        <v>Libre acceso80</v>
      </c>
      <c r="C496" s="1183"/>
      <c r="D496" s="1189" t="s">
        <v>1955</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6873</v>
      </c>
      <c r="W496" s="1181" t="s">
        <v>6874</v>
      </c>
      <c r="X496" s="1181" t="s">
        <v>6875</v>
      </c>
      <c r="Y496" s="1181" t="s">
        <v>3246</v>
      </c>
      <c r="Z496" s="1182" t="s">
        <v>6876</v>
      </c>
    </row>
    <row r="497" spans="2:26" ht="12.75" customHeight="1" x14ac:dyDescent="0.2">
      <c r="B497" s="2252" t="str">
        <f t="shared" si="7"/>
        <v>Libre acceso80</v>
      </c>
      <c r="C497" s="1183"/>
      <c r="D497" s="1189" t="s">
        <v>2091</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6877</v>
      </c>
      <c r="W497" s="1181" t="s">
        <v>6878</v>
      </c>
      <c r="X497" s="1181" t="s">
        <v>6879</v>
      </c>
      <c r="Y497" s="1181" t="s">
        <v>6880</v>
      </c>
      <c r="Z497" s="1182" t="s">
        <v>6881</v>
      </c>
    </row>
    <row r="498" spans="2:26" ht="12.75" customHeight="1" x14ac:dyDescent="0.2">
      <c r="B498" s="2252" t="str">
        <f t="shared" si="7"/>
        <v>Libre acceso80</v>
      </c>
      <c r="C498" s="1183"/>
      <c r="D498" s="1189" t="s">
        <v>2088</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6882</v>
      </c>
      <c r="W498" s="1181" t="s">
        <v>6883</v>
      </c>
      <c r="X498" s="1181" t="s">
        <v>6884</v>
      </c>
      <c r="Y498" s="1181" t="s">
        <v>6885</v>
      </c>
      <c r="Z498" s="1182" t="s">
        <v>6886</v>
      </c>
    </row>
    <row r="499" spans="2:26" ht="12.75" customHeight="1" x14ac:dyDescent="0.2">
      <c r="B499" s="2252" t="str">
        <f t="shared" si="7"/>
        <v>Libre acceso80</v>
      </c>
      <c r="C499" s="1183"/>
      <c r="D499" s="1189" t="s">
        <v>736</v>
      </c>
      <c r="E499" s="1179" t="s">
        <v>648</v>
      </c>
      <c r="F499" s="1179">
        <v>80</v>
      </c>
      <c r="G499" s="1190" t="s">
        <v>2549</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6395</v>
      </c>
      <c r="W499" s="1181" t="s">
        <v>5395</v>
      </c>
      <c r="X499" s="1181" t="s">
        <v>6396</v>
      </c>
      <c r="Y499" s="1181" t="s">
        <v>6397</v>
      </c>
      <c r="Z499" s="1182" t="s">
        <v>6887</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6888</v>
      </c>
      <c r="W500" s="1181" t="s">
        <v>6889</v>
      </c>
      <c r="X500" s="1181" t="s">
        <v>6890</v>
      </c>
      <c r="Y500" s="1181" t="s">
        <v>6891</v>
      </c>
      <c r="Z500" s="1182" t="s">
        <v>6892</v>
      </c>
    </row>
    <row r="501" spans="2:26" ht="12.75" customHeight="1" x14ac:dyDescent="0.2">
      <c r="B501" s="2252" t="str">
        <f t="shared" si="7"/>
        <v/>
      </c>
      <c r="C501" s="1183"/>
      <c r="D501" s="1189" t="s">
        <v>6893</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2549</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5548</v>
      </c>
      <c r="W502" s="1181" t="s">
        <v>6894</v>
      </c>
      <c r="X502" s="1181" t="s">
        <v>6895</v>
      </c>
      <c r="Y502" s="1181" t="s">
        <v>6896</v>
      </c>
      <c r="Z502" s="1182" t="s">
        <v>6897</v>
      </c>
    </row>
    <row r="503" spans="2:26" ht="12.75" customHeight="1" x14ac:dyDescent="0.2">
      <c r="B503" s="2252" t="str">
        <f t="shared" si="7"/>
        <v>Libre acceso90</v>
      </c>
      <c r="C503" s="1183"/>
      <c r="D503" s="1189" t="s">
        <v>6898</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6899</v>
      </c>
      <c r="W503" s="1181" t="s">
        <v>6900</v>
      </c>
      <c r="X503" s="1181" t="s">
        <v>6901</v>
      </c>
      <c r="Y503" s="1181" t="s">
        <v>6902</v>
      </c>
      <c r="Z503" s="1182" t="s">
        <v>6903</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4929</v>
      </c>
      <c r="W504" s="1181" t="s">
        <v>4930</v>
      </c>
      <c r="X504" s="1181" t="s">
        <v>5140</v>
      </c>
      <c r="Y504" s="1181" t="s">
        <v>6010</v>
      </c>
      <c r="Z504" s="1182" t="s">
        <v>6904</v>
      </c>
    </row>
    <row r="505" spans="2:26" ht="12.75" customHeight="1" x14ac:dyDescent="0.2">
      <c r="B505" s="2252" t="str">
        <f t="shared" si="7"/>
        <v>Libre acceso90</v>
      </c>
      <c r="C505" s="1183"/>
      <c r="D505" s="1189" t="s">
        <v>741</v>
      </c>
      <c r="E505" s="1179" t="s">
        <v>648</v>
      </c>
      <c r="F505" s="1179">
        <v>90</v>
      </c>
      <c r="G505" s="1190" t="s">
        <v>2549</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5548</v>
      </c>
      <c r="W505" s="1181" t="s">
        <v>6905</v>
      </c>
      <c r="X505" s="1181" t="s">
        <v>6906</v>
      </c>
      <c r="Y505" s="1181" t="s">
        <v>6907</v>
      </c>
      <c r="Z505" s="1182" t="s">
        <v>9138</v>
      </c>
    </row>
    <row r="506" spans="2:26" ht="12.75" customHeight="1" x14ac:dyDescent="0.2">
      <c r="B506" s="2252" t="str">
        <f t="shared" si="7"/>
        <v>Libre acceso90</v>
      </c>
      <c r="C506" s="1183"/>
      <c r="D506" s="1189" t="s">
        <v>742</v>
      </c>
      <c r="E506" s="1179" t="s">
        <v>648</v>
      </c>
      <c r="F506" s="1179">
        <v>90</v>
      </c>
      <c r="G506" s="1190" t="s">
        <v>2549</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5228</v>
      </c>
      <c r="W506" s="1181" t="s">
        <v>4929</v>
      </c>
      <c r="X506" s="1181" t="s">
        <v>4930</v>
      </c>
      <c r="Y506" s="1181" t="s">
        <v>5140</v>
      </c>
      <c r="Z506" s="1182" t="s">
        <v>6908</v>
      </c>
    </row>
    <row r="507" spans="2:26" ht="12.75" customHeight="1" x14ac:dyDescent="0.2">
      <c r="B507" s="2252" t="str">
        <f t="shared" si="7"/>
        <v>Libre acceso90</v>
      </c>
      <c r="C507" s="1183"/>
      <c r="D507" s="1189" t="s">
        <v>743</v>
      </c>
      <c r="E507" s="1179" t="s">
        <v>648</v>
      </c>
      <c r="F507" s="1179">
        <v>90</v>
      </c>
      <c r="G507" s="1190" t="s">
        <v>2549</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6909</v>
      </c>
      <c r="W507" s="1181" t="s">
        <v>6910</v>
      </c>
      <c r="X507" s="1181" t="s">
        <v>6911</v>
      </c>
      <c r="Y507" s="1181" t="s">
        <v>6912</v>
      </c>
      <c r="Z507" s="1182" t="s">
        <v>6913</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5149</v>
      </c>
      <c r="V508" s="1181" t="s">
        <v>6914</v>
      </c>
      <c r="W508" s="1181" t="s">
        <v>6915</v>
      </c>
      <c r="X508" s="1181" t="s">
        <v>6916</v>
      </c>
      <c r="Y508" s="1181" t="s">
        <v>6917</v>
      </c>
      <c r="Z508" s="1182" t="s">
        <v>6918</v>
      </c>
    </row>
    <row r="509" spans="2:26" ht="12.75" customHeight="1" x14ac:dyDescent="0.2">
      <c r="B509" s="2252" t="str">
        <f t="shared" si="7"/>
        <v>Libre acceso90</v>
      </c>
      <c r="C509" s="1183"/>
      <c r="D509" s="1189" t="s">
        <v>745</v>
      </c>
      <c r="E509" s="1179" t="s">
        <v>648</v>
      </c>
      <c r="F509" s="1179">
        <v>90</v>
      </c>
      <c r="G509" s="1190" t="s">
        <v>2549</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6659</v>
      </c>
      <c r="W509" s="1181" t="s">
        <v>6919</v>
      </c>
      <c r="X509" s="1181" t="s">
        <v>6920</v>
      </c>
      <c r="Y509" s="1181" t="s">
        <v>6921</v>
      </c>
      <c r="Z509" s="1182" t="s">
        <v>6922</v>
      </c>
    </row>
    <row r="510" spans="2:26" ht="12.75" customHeight="1" x14ac:dyDescent="0.2">
      <c r="B510" s="2252" t="str">
        <f t="shared" si="7"/>
        <v>Libre acceso90</v>
      </c>
      <c r="C510" s="1183"/>
      <c r="D510" s="1189" t="s">
        <v>746</v>
      </c>
      <c r="E510" s="1179" t="s">
        <v>648</v>
      </c>
      <c r="F510" s="1179">
        <v>90</v>
      </c>
      <c r="G510" s="1190" t="s">
        <v>2549</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6923</v>
      </c>
      <c r="W510" s="1181" t="s">
        <v>6924</v>
      </c>
      <c r="X510" s="1181" t="s">
        <v>6925</v>
      </c>
      <c r="Y510" s="1181" t="s">
        <v>6926</v>
      </c>
      <c r="Z510" s="1182" t="s">
        <v>6927</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5149</v>
      </c>
      <c r="V511" s="1181" t="s">
        <v>6928</v>
      </c>
      <c r="W511" s="1181" t="s">
        <v>6929</v>
      </c>
      <c r="X511" s="1181" t="s">
        <v>6930</v>
      </c>
      <c r="Y511" s="1181" t="s">
        <v>6931</v>
      </c>
      <c r="Z511" s="1182" t="s">
        <v>6932</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5149</v>
      </c>
      <c r="V512" s="1181" t="s">
        <v>6933</v>
      </c>
      <c r="W512" s="1181" t="s">
        <v>6934</v>
      </c>
      <c r="X512" s="1181" t="s">
        <v>6935</v>
      </c>
      <c r="Y512" s="1181" t="s">
        <v>6936</v>
      </c>
      <c r="Z512" s="1182" t="s">
        <v>6937</v>
      </c>
    </row>
    <row r="513" spans="2:26" ht="12.75" customHeight="1" x14ac:dyDescent="0.2">
      <c r="B513" s="2252" t="str">
        <f t="shared" si="7"/>
        <v>Libre acceso90</v>
      </c>
      <c r="C513" s="1183"/>
      <c r="D513" s="1189" t="s">
        <v>748</v>
      </c>
      <c r="E513" s="1179" t="s">
        <v>648</v>
      </c>
      <c r="F513" s="1179">
        <v>90</v>
      </c>
      <c r="G513" s="1190" t="s">
        <v>2549</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6938</v>
      </c>
      <c r="W513" s="1181" t="s">
        <v>6939</v>
      </c>
      <c r="X513" s="1181" t="s">
        <v>6940</v>
      </c>
      <c r="Y513" s="1181" t="s">
        <v>6941</v>
      </c>
      <c r="Z513" s="1182" t="s">
        <v>6942</v>
      </c>
    </row>
    <row r="514" spans="2:26" ht="12.75" customHeight="1" x14ac:dyDescent="0.2">
      <c r="B514" s="2252" t="str">
        <f t="shared" si="7"/>
        <v/>
      </c>
      <c r="C514" s="1183"/>
      <c r="D514" s="1189" t="s">
        <v>6943</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6944</v>
      </c>
      <c r="I515" s="1191" t="s">
        <v>1609</v>
      </c>
      <c r="J515" s="1179">
        <v>10</v>
      </c>
      <c r="K515" s="1179">
        <v>12</v>
      </c>
      <c r="L515" s="1179">
        <v>14</v>
      </c>
      <c r="M515" s="1185">
        <v>16</v>
      </c>
      <c r="N515" s="1179">
        <v>200</v>
      </c>
      <c r="O515" s="1179">
        <v>300</v>
      </c>
      <c r="P515" s="1179">
        <v>360</v>
      </c>
      <c r="Q515" s="1185">
        <v>420</v>
      </c>
      <c r="R515" s="1179"/>
      <c r="S515" s="1179"/>
      <c r="T515" s="1179"/>
      <c r="U515" s="1185" t="s">
        <v>5149</v>
      </c>
      <c r="V515" s="1181" t="s">
        <v>6659</v>
      </c>
      <c r="W515" s="1181" t="s">
        <v>6945</v>
      </c>
      <c r="X515" s="1181" t="s">
        <v>6946</v>
      </c>
      <c r="Y515" s="1181" t="s">
        <v>6947</v>
      </c>
      <c r="Z515" s="1182" t="s">
        <v>6948</v>
      </c>
    </row>
    <row r="516" spans="2:26" ht="12.75" customHeight="1" x14ac:dyDescent="0.2">
      <c r="B516" s="2252" t="str">
        <f t="shared" si="7"/>
        <v>Libre acceso100</v>
      </c>
      <c r="C516" s="1183"/>
      <c r="D516" s="1189" t="s">
        <v>751</v>
      </c>
      <c r="E516" s="1179" t="s">
        <v>648</v>
      </c>
      <c r="F516" s="1179">
        <v>100</v>
      </c>
      <c r="G516" s="1190" t="s">
        <v>2549</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6949</v>
      </c>
      <c r="W516" s="1181" t="s">
        <v>6950</v>
      </c>
      <c r="X516" s="1181" t="s">
        <v>6951</v>
      </c>
      <c r="Y516" s="1181" t="s">
        <v>6952</v>
      </c>
      <c r="Z516" s="1182" t="s">
        <v>6953</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6954</v>
      </c>
      <c r="W517" s="1181" t="s">
        <v>6955</v>
      </c>
      <c r="X517" s="1181" t="s">
        <v>6956</v>
      </c>
      <c r="Y517" s="1181" t="s">
        <v>6957</v>
      </c>
      <c r="Z517" s="1182" t="s">
        <v>6958</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5149</v>
      </c>
      <c r="V518" s="1181" t="s">
        <v>6959</v>
      </c>
      <c r="W518" s="1181" t="s">
        <v>6960</v>
      </c>
      <c r="X518" s="1181" t="s">
        <v>6961</v>
      </c>
      <c r="Y518" s="1181" t="s">
        <v>6962</v>
      </c>
      <c r="Z518" s="1182" t="s">
        <v>6963</v>
      </c>
    </row>
    <row r="519" spans="2:26" ht="12.75" customHeight="1" x14ac:dyDescent="0.2">
      <c r="B519" s="2252" t="str">
        <f t="shared" si="7"/>
        <v>Libre acceso100</v>
      </c>
      <c r="C519" s="1183"/>
      <c r="D519" s="1189" t="s">
        <v>754</v>
      </c>
      <c r="E519" s="1179" t="s">
        <v>648</v>
      </c>
      <c r="F519" s="1179">
        <v>100</v>
      </c>
      <c r="G519" s="1190" t="s">
        <v>1693</v>
      </c>
      <c r="H519" s="1190" t="s">
        <v>5666</v>
      </c>
      <c r="I519" s="1191" t="s">
        <v>1609</v>
      </c>
      <c r="J519" s="1179">
        <v>10</v>
      </c>
      <c r="K519" s="1179">
        <v>12</v>
      </c>
      <c r="L519" s="1179">
        <v>14</v>
      </c>
      <c r="M519" s="1185">
        <v>16</v>
      </c>
      <c r="N519" s="1179">
        <v>100</v>
      </c>
      <c r="O519" s="1179">
        <v>150</v>
      </c>
      <c r="P519" s="1179">
        <v>200</v>
      </c>
      <c r="Q519" s="1185">
        <v>250</v>
      </c>
      <c r="R519" s="1179"/>
      <c r="S519" s="1179"/>
      <c r="T519" s="1179"/>
      <c r="U519" s="1185"/>
      <c r="V519" s="1181" t="s">
        <v>5156</v>
      </c>
      <c r="W519" s="1181" t="s">
        <v>5157</v>
      </c>
      <c r="X519" s="1181" t="s">
        <v>5031</v>
      </c>
      <c r="Y519" s="1181" t="s">
        <v>4834</v>
      </c>
      <c r="Z519" s="1182" t="s">
        <v>6964</v>
      </c>
    </row>
    <row r="520" spans="2:26" ht="12.75" customHeight="1" x14ac:dyDescent="0.2">
      <c r="B520" s="2252" t="str">
        <f t="shared" ref="B520:B583" si="8">E520&amp;F520</f>
        <v>Libre acceso100</v>
      </c>
      <c r="C520" s="1183"/>
      <c r="D520" s="1189" t="s">
        <v>755</v>
      </c>
      <c r="E520" s="1179" t="s">
        <v>648</v>
      </c>
      <c r="F520" s="1179">
        <v>100</v>
      </c>
      <c r="G520" s="1190" t="s">
        <v>2549</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6965</v>
      </c>
      <c r="W520" s="1181" t="s">
        <v>6966</v>
      </c>
      <c r="X520" s="1181" t="s">
        <v>6967</v>
      </c>
      <c r="Y520" s="1181" t="s">
        <v>6968</v>
      </c>
      <c r="Z520" s="1182" t="s">
        <v>6969</v>
      </c>
    </row>
    <row r="521" spans="2:26" ht="12.75" customHeight="1" x14ac:dyDescent="0.2">
      <c r="B521" s="2252" t="str">
        <f t="shared" si="8"/>
        <v>Libre acceso100</v>
      </c>
      <c r="C521" s="1183"/>
      <c r="D521" s="1189" t="s">
        <v>756</v>
      </c>
      <c r="E521" s="1179" t="s">
        <v>648</v>
      </c>
      <c r="F521" s="1179">
        <v>100</v>
      </c>
      <c r="G521" s="1190" t="s">
        <v>2549</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6970</v>
      </c>
      <c r="W521" s="1181" t="s">
        <v>6971</v>
      </c>
      <c r="X521" s="1181" t="s">
        <v>6972</v>
      </c>
      <c r="Y521" s="1181" t="s">
        <v>6973</v>
      </c>
      <c r="Z521" s="1182" t="s">
        <v>6974</v>
      </c>
    </row>
    <row r="522" spans="2:26" ht="12.75" customHeight="1" x14ac:dyDescent="0.2">
      <c r="B522" s="2252" t="str">
        <f t="shared" si="8"/>
        <v>Libre acceso100</v>
      </c>
      <c r="C522" s="1183"/>
      <c r="D522" s="1189" t="s">
        <v>757</v>
      </c>
      <c r="E522" s="1179" t="s">
        <v>648</v>
      </c>
      <c r="F522" s="1179">
        <v>100</v>
      </c>
      <c r="G522" s="1190" t="s">
        <v>2549</v>
      </c>
      <c r="H522" s="1190" t="s">
        <v>5666</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5156</v>
      </c>
      <c r="W522" s="1181" t="s">
        <v>5157</v>
      </c>
      <c r="X522" s="1181" t="s">
        <v>4834</v>
      </c>
      <c r="Y522" s="1181" t="s">
        <v>5381</v>
      </c>
      <c r="Z522" s="1182" t="s">
        <v>6975</v>
      </c>
    </row>
    <row r="523" spans="2:26" ht="12.75" customHeight="1" x14ac:dyDescent="0.2">
      <c r="B523" s="2252" t="str">
        <f t="shared" si="8"/>
        <v>Libre acceso100</v>
      </c>
      <c r="C523" s="1183"/>
      <c r="D523" s="1189" t="s">
        <v>758</v>
      </c>
      <c r="E523" s="1179" t="s">
        <v>648</v>
      </c>
      <c r="F523" s="1179">
        <v>100</v>
      </c>
      <c r="G523" s="1190" t="s">
        <v>2549</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6976</v>
      </c>
      <c r="W523" s="1181" t="s">
        <v>6977</v>
      </c>
      <c r="X523" s="1181" t="s">
        <v>6978</v>
      </c>
      <c r="Y523" s="1181" t="s">
        <v>6979</v>
      </c>
      <c r="Z523" s="1182" t="s">
        <v>6980</v>
      </c>
    </row>
    <row r="524" spans="2:26" ht="12.75" customHeight="1" x14ac:dyDescent="0.2">
      <c r="B524" s="2252" t="str">
        <f t="shared" si="8"/>
        <v>Libre acceso100</v>
      </c>
      <c r="C524" s="1183"/>
      <c r="D524" s="1189" t="s">
        <v>759</v>
      </c>
      <c r="E524" s="1179" t="s">
        <v>648</v>
      </c>
      <c r="F524" s="1179">
        <v>100</v>
      </c>
      <c r="G524" s="1190" t="s">
        <v>2549</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6425</v>
      </c>
      <c r="W524" s="1181" t="s">
        <v>6397</v>
      </c>
      <c r="X524" s="1181" t="s">
        <v>6981</v>
      </c>
      <c r="Y524" s="1181" t="s">
        <v>6982</v>
      </c>
      <c r="Z524" s="1182" t="s">
        <v>6983</v>
      </c>
    </row>
    <row r="525" spans="2:26" ht="12.75" customHeight="1" x14ac:dyDescent="0.2">
      <c r="B525" s="2252" t="str">
        <f t="shared" si="8"/>
        <v>Libre acceso100</v>
      </c>
      <c r="C525" s="1183"/>
      <c r="D525" s="1189" t="s">
        <v>760</v>
      </c>
      <c r="E525" s="1179" t="s">
        <v>648</v>
      </c>
      <c r="F525" s="1179">
        <v>100</v>
      </c>
      <c r="G525" s="1190" t="s">
        <v>2549</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6984</v>
      </c>
      <c r="W525" s="1181" t="s">
        <v>6985</v>
      </c>
      <c r="X525" s="1181" t="s">
        <v>6986</v>
      </c>
      <c r="Y525" s="1181" t="s">
        <v>6987</v>
      </c>
      <c r="Z525" s="1182" t="s">
        <v>6988</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5157</v>
      </c>
      <c r="W526" s="1181" t="s">
        <v>6989</v>
      </c>
      <c r="X526" s="1181" t="s">
        <v>5032</v>
      </c>
      <c r="Y526" s="1181" t="s">
        <v>5033</v>
      </c>
      <c r="Z526" s="1182" t="s">
        <v>6990</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6991</v>
      </c>
      <c r="E528" s="1179" t="s">
        <v>81</v>
      </c>
      <c r="F528" s="1179">
        <v>4</v>
      </c>
      <c r="G528" s="1190" t="s">
        <v>3143</v>
      </c>
      <c r="H528" s="1190" t="s">
        <v>6992</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5059</v>
      </c>
      <c r="W528" s="1181" t="s">
        <v>4919</v>
      </c>
      <c r="X528" s="1181" t="s">
        <v>5018</v>
      </c>
      <c r="Y528" s="1181" t="s">
        <v>6993</v>
      </c>
      <c r="Z528" s="1182" t="s">
        <v>6994</v>
      </c>
    </row>
    <row r="529" spans="2:26" ht="12.75" customHeight="1" x14ac:dyDescent="0.2">
      <c r="B529" s="2252" t="str">
        <f t="shared" si="8"/>
        <v>Caos14</v>
      </c>
      <c r="C529" s="1183"/>
      <c r="D529" s="1189" t="s">
        <v>6995</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6996</v>
      </c>
      <c r="W529" s="1181" t="s">
        <v>6997</v>
      </c>
      <c r="X529" s="1181" t="s">
        <v>6998</v>
      </c>
      <c r="Y529" s="1181" t="s">
        <v>6999</v>
      </c>
      <c r="Z529" s="1182" t="s">
        <v>7000</v>
      </c>
    </row>
    <row r="530" spans="2:26" ht="12.75" customHeight="1" x14ac:dyDescent="0.2">
      <c r="B530" s="2252" t="str">
        <f t="shared" si="8"/>
        <v>Caos24</v>
      </c>
      <c r="C530" s="1183"/>
      <c r="D530" s="1189" t="s">
        <v>7001</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7002</v>
      </c>
      <c r="W530" s="1181" t="s">
        <v>7003</v>
      </c>
      <c r="X530" s="1181" t="s">
        <v>7004</v>
      </c>
      <c r="Y530" s="1181" t="s">
        <v>7005</v>
      </c>
      <c r="Z530" s="1182" t="s">
        <v>7006</v>
      </c>
    </row>
    <row r="531" spans="2:26" ht="12.75" customHeight="1" x14ac:dyDescent="0.2">
      <c r="B531" s="2252" t="str">
        <f t="shared" si="8"/>
        <v>Caos34</v>
      </c>
      <c r="C531" s="1183"/>
      <c r="D531" s="1189" t="s">
        <v>7007</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5156</v>
      </c>
      <c r="W531" s="1181" t="s">
        <v>7008</v>
      </c>
      <c r="X531" s="1181" t="s">
        <v>7009</v>
      </c>
      <c r="Y531" s="1181" t="s">
        <v>4834</v>
      </c>
      <c r="Z531" s="1182" t="s">
        <v>7010</v>
      </c>
    </row>
    <row r="532" spans="2:26" ht="12.75" customHeight="1" x14ac:dyDescent="0.2">
      <c r="B532" s="2252" t="str">
        <f t="shared" si="8"/>
        <v>Caos44</v>
      </c>
      <c r="C532" s="1183"/>
      <c r="D532" s="1189" t="s">
        <v>7011</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7012</v>
      </c>
      <c r="W532" s="1181" t="s">
        <v>7013</v>
      </c>
      <c r="X532" s="1181" t="s">
        <v>7014</v>
      </c>
      <c r="Y532" s="1181" t="s">
        <v>7015</v>
      </c>
      <c r="Z532" s="1182" t="s">
        <v>7016</v>
      </c>
    </row>
    <row r="533" spans="2:26" ht="12.75" customHeight="1" x14ac:dyDescent="0.2">
      <c r="B533" s="2252" t="str">
        <f t="shared" si="8"/>
        <v>Caos54</v>
      </c>
      <c r="C533" s="1183"/>
      <c r="D533" s="1189" t="s">
        <v>7017</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5188</v>
      </c>
      <c r="W533" s="1181" t="s">
        <v>5189</v>
      </c>
      <c r="X533" s="1181" t="s">
        <v>5190</v>
      </c>
      <c r="Y533" s="1181" t="s">
        <v>5191</v>
      </c>
      <c r="Z533" s="1182" t="s">
        <v>7018</v>
      </c>
    </row>
    <row r="534" spans="2:26" ht="12.75" customHeight="1" x14ac:dyDescent="0.2">
      <c r="B534" s="2252" t="str">
        <f t="shared" si="8"/>
        <v>Caos64</v>
      </c>
      <c r="C534" s="1183"/>
      <c r="D534" s="1189" t="s">
        <v>7019</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5157</v>
      </c>
      <c r="W534" s="1181" t="s">
        <v>7020</v>
      </c>
      <c r="X534" s="1181" t="s">
        <v>7021</v>
      </c>
      <c r="Y534" s="1181" t="s">
        <v>7022</v>
      </c>
      <c r="Z534" s="1182" t="s">
        <v>7023</v>
      </c>
    </row>
    <row r="535" spans="2:26" ht="12.75" customHeight="1" x14ac:dyDescent="0.2">
      <c r="B535" s="2252" t="str">
        <f t="shared" si="8"/>
        <v>Caos74</v>
      </c>
      <c r="C535" s="1183"/>
      <c r="D535" s="1189" t="s">
        <v>7024</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7025</v>
      </c>
      <c r="W535" s="1181" t="s">
        <v>7026</v>
      </c>
      <c r="X535" s="1181" t="s">
        <v>7027</v>
      </c>
      <c r="Y535" s="1181" t="s">
        <v>7028</v>
      </c>
      <c r="Z535" s="1182" t="s">
        <v>7029</v>
      </c>
    </row>
    <row r="536" spans="2:26" ht="12.75" customHeight="1" x14ac:dyDescent="0.2">
      <c r="B536" s="2252" t="str">
        <f t="shared" si="8"/>
        <v>Caos84</v>
      </c>
      <c r="C536" s="1183"/>
      <c r="D536" s="1189" t="s">
        <v>7030</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7031</v>
      </c>
      <c r="W536" s="1181" t="s">
        <v>7032</v>
      </c>
      <c r="X536" s="1181" t="s">
        <v>7033</v>
      </c>
      <c r="Y536" s="1181" t="s">
        <v>7034</v>
      </c>
      <c r="Z536" s="1182" t="s">
        <v>7035</v>
      </c>
    </row>
    <row r="537" spans="2:26" ht="12.75" customHeight="1" x14ac:dyDescent="0.2">
      <c r="B537" s="2252" t="str">
        <f t="shared" si="8"/>
        <v>Caos94</v>
      </c>
      <c r="C537" s="1183"/>
      <c r="D537" s="1189" t="s">
        <v>7036</v>
      </c>
      <c r="E537" s="1179" t="s">
        <v>81</v>
      </c>
      <c r="F537" s="1179">
        <v>94</v>
      </c>
      <c r="G537" s="1190" t="s">
        <v>3143</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7037</v>
      </c>
      <c r="W537" s="1181" t="s">
        <v>7038</v>
      </c>
      <c r="X537" s="1181" t="s">
        <v>7039</v>
      </c>
      <c r="Y537" s="1181" t="s">
        <v>7040</v>
      </c>
      <c r="Z537" s="1182" t="s">
        <v>7041</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7042</v>
      </c>
      <c r="W539" s="1181" t="s">
        <v>7043</v>
      </c>
      <c r="X539" s="1181" t="s">
        <v>7044</v>
      </c>
      <c r="Y539" s="1181" t="s">
        <v>7045</v>
      </c>
      <c r="Z539" s="1182" t="s">
        <v>7046</v>
      </c>
    </row>
    <row r="540" spans="2:26" ht="12.75" customHeight="1" x14ac:dyDescent="0.2">
      <c r="B540" s="2252" t="str">
        <f t="shared" si="8"/>
        <v>Guerra14</v>
      </c>
      <c r="C540" s="1183"/>
      <c r="D540" s="1189" t="s">
        <v>7047</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7048</v>
      </c>
      <c r="W540" s="1181" t="s">
        <v>7049</v>
      </c>
      <c r="X540" s="1181" t="s">
        <v>7050</v>
      </c>
      <c r="Y540" s="1181" t="s">
        <v>7051</v>
      </c>
      <c r="Z540" s="1182" t="s">
        <v>7052</v>
      </c>
    </row>
    <row r="541" spans="2:26" ht="12.75" customHeight="1" x14ac:dyDescent="0.2">
      <c r="B541" s="2252" t="str">
        <f t="shared" si="8"/>
        <v>Guerra24</v>
      </c>
      <c r="C541" s="1183"/>
      <c r="D541" s="1189" t="s">
        <v>7053</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7054</v>
      </c>
      <c r="W541" s="1181" t="s">
        <v>7055</v>
      </c>
      <c r="X541" s="1181" t="s">
        <v>7056</v>
      </c>
      <c r="Y541" s="1181" t="s">
        <v>7057</v>
      </c>
      <c r="Z541" s="1182" t="s">
        <v>7058</v>
      </c>
    </row>
    <row r="542" spans="2:26" ht="12.75" customHeight="1" x14ac:dyDescent="0.2">
      <c r="B542" s="2252" t="str">
        <f t="shared" si="8"/>
        <v>Guerra34</v>
      </c>
      <c r="C542" s="1183"/>
      <c r="D542" s="1189" t="s">
        <v>7059</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7060</v>
      </c>
      <c r="W542" s="1181" t="s">
        <v>7061</v>
      </c>
      <c r="X542" s="1181" t="s">
        <v>7062</v>
      </c>
      <c r="Y542" s="1181" t="s">
        <v>7063</v>
      </c>
      <c r="Z542" s="1182" t="s">
        <v>7064</v>
      </c>
    </row>
    <row r="543" spans="2:26" ht="12.75" customHeight="1" x14ac:dyDescent="0.2">
      <c r="B543" s="2252" t="str">
        <f t="shared" si="8"/>
        <v>Guerra44</v>
      </c>
      <c r="C543" s="1183"/>
      <c r="D543" s="1189" t="s">
        <v>7065</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7066</v>
      </c>
      <c r="W543" s="1181" t="s">
        <v>7067</v>
      </c>
      <c r="X543" s="1181" t="s">
        <v>7068</v>
      </c>
      <c r="Y543" s="1181" t="s">
        <v>7069</v>
      </c>
      <c r="Z543" s="1182" t="s">
        <v>7070</v>
      </c>
    </row>
    <row r="544" spans="2:26" ht="12.75" customHeight="1" x14ac:dyDescent="0.2">
      <c r="B544" s="2252" t="str">
        <f t="shared" si="8"/>
        <v>Guerra54</v>
      </c>
      <c r="C544" s="1183"/>
      <c r="D544" s="1189" t="s">
        <v>7071</v>
      </c>
      <c r="E544" s="1179" t="s">
        <v>82</v>
      </c>
      <c r="F544" s="1179">
        <v>54</v>
      </c>
      <c r="G544" s="1190" t="s">
        <v>2549</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7048</v>
      </c>
      <c r="W544" s="1181" t="s">
        <v>7049</v>
      </c>
      <c r="X544" s="1181" t="s">
        <v>7072</v>
      </c>
      <c r="Y544" s="1181" t="s">
        <v>7051</v>
      </c>
      <c r="Z544" s="1182" t="s">
        <v>7073</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7074</v>
      </c>
      <c r="W545" s="1181" t="s">
        <v>7075</v>
      </c>
      <c r="X545" s="1181" t="s">
        <v>7076</v>
      </c>
      <c r="Y545" s="1181" t="s">
        <v>7077</v>
      </c>
      <c r="Z545" s="1182" t="s">
        <v>7078</v>
      </c>
    </row>
    <row r="546" spans="2:26" ht="12.75" customHeight="1" x14ac:dyDescent="0.2">
      <c r="B546" s="2252" t="str">
        <f t="shared" si="8"/>
        <v>Guerra74</v>
      </c>
      <c r="C546" s="1183"/>
      <c r="D546" s="1189" t="s">
        <v>7079</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7080</v>
      </c>
      <c r="W546" s="1181" t="s">
        <v>7072</v>
      </c>
      <c r="X546" s="1181" t="s">
        <v>7050</v>
      </c>
      <c r="Y546" s="1181" t="s">
        <v>7051</v>
      </c>
      <c r="Z546" s="1182" t="s">
        <v>7081</v>
      </c>
    </row>
    <row r="547" spans="2:26" ht="12.75" customHeight="1" x14ac:dyDescent="0.2">
      <c r="B547" s="2252" t="str">
        <f t="shared" si="8"/>
        <v>Guerra84</v>
      </c>
      <c r="C547" s="1183"/>
      <c r="D547" s="1189" t="s">
        <v>7082</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7083</v>
      </c>
      <c r="W547" s="1181" t="s">
        <v>7084</v>
      </c>
      <c r="X547" s="1181" t="s">
        <v>7085</v>
      </c>
      <c r="Y547" s="1181" t="s">
        <v>7086</v>
      </c>
      <c r="Z547" s="1182" t="s">
        <v>7087</v>
      </c>
    </row>
    <row r="548" spans="2:26" ht="12.75" customHeight="1" x14ac:dyDescent="0.2">
      <c r="B548" s="2252" t="str">
        <f t="shared" si="8"/>
        <v>Guerra94</v>
      </c>
      <c r="C548" s="1183"/>
      <c r="D548" s="1189" t="s">
        <v>7088</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7080</v>
      </c>
      <c r="W548" s="1181" t="s">
        <v>7049</v>
      </c>
      <c r="X548" s="1181" t="s">
        <v>7050</v>
      </c>
      <c r="Y548" s="1181" t="s">
        <v>7089</v>
      </c>
      <c r="Z548" s="1182" t="s">
        <v>7090</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7091</v>
      </c>
      <c r="E550" s="1179" t="s">
        <v>83</v>
      </c>
      <c r="F550" s="1179">
        <v>4</v>
      </c>
      <c r="G550" s="1190" t="s">
        <v>2549</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7092</v>
      </c>
      <c r="W550" s="1181" t="s">
        <v>7093</v>
      </c>
      <c r="X550" s="1181" t="s">
        <v>7094</v>
      </c>
      <c r="Y550" s="1181" t="s">
        <v>7095</v>
      </c>
      <c r="Z550" s="1182" t="s">
        <v>7096</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7097</v>
      </c>
      <c r="W551" s="1181" t="s">
        <v>7098</v>
      </c>
      <c r="X551" s="1181" t="s">
        <v>7099</v>
      </c>
      <c r="Y551" s="1181" t="s">
        <v>7100</v>
      </c>
      <c r="Z551" s="1182" t="s">
        <v>7101</v>
      </c>
    </row>
    <row r="552" spans="2:26" ht="12.75" customHeight="1" x14ac:dyDescent="0.2">
      <c r="B552" s="2252" t="str">
        <f t="shared" si="8"/>
        <v>Literae24</v>
      </c>
      <c r="C552" s="1183"/>
      <c r="D552" s="1189" t="s">
        <v>7102</v>
      </c>
      <c r="E552" s="1179" t="s">
        <v>83</v>
      </c>
      <c r="F552" s="1179">
        <v>24</v>
      </c>
      <c r="G552" s="1190" t="s">
        <v>2549</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2077</v>
      </c>
      <c r="W552" s="1181" t="s">
        <v>2079</v>
      </c>
      <c r="X552" s="1181" t="s">
        <v>2080</v>
      </c>
      <c r="Y552" s="1181" t="s">
        <v>7103</v>
      </c>
      <c r="Z552" s="1182" t="s">
        <v>7104</v>
      </c>
    </row>
    <row r="553" spans="2:26" ht="12.75" customHeight="1" x14ac:dyDescent="0.2">
      <c r="B553" s="2252" t="str">
        <f t="shared" si="8"/>
        <v>Literae34</v>
      </c>
      <c r="C553" s="1183"/>
      <c r="D553" s="1189" t="s">
        <v>7105</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5172</v>
      </c>
      <c r="W553" s="1181" t="s">
        <v>6338</v>
      </c>
      <c r="X553" s="1181" t="s">
        <v>5173</v>
      </c>
      <c r="Y553" s="1181" t="s">
        <v>6339</v>
      </c>
      <c r="Z553" s="1182" t="s">
        <v>7106</v>
      </c>
    </row>
    <row r="554" spans="2:26" ht="12.75" customHeight="1" x14ac:dyDescent="0.2">
      <c r="B554" s="2252" t="str">
        <f t="shared" si="8"/>
        <v>Literae44</v>
      </c>
      <c r="C554" s="1183"/>
      <c r="D554" s="1189" t="s">
        <v>7107</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7108</v>
      </c>
      <c r="W554" s="1181" t="s">
        <v>7109</v>
      </c>
      <c r="X554" s="1181" t="s">
        <v>7110</v>
      </c>
      <c r="Y554" s="1181" t="s">
        <v>6007</v>
      </c>
      <c r="Z554" s="1182" t="s">
        <v>7111</v>
      </c>
    </row>
    <row r="555" spans="2:26" ht="12.75" customHeight="1" x14ac:dyDescent="0.2">
      <c r="B555" s="2252" t="str">
        <f t="shared" si="8"/>
        <v>Literae54</v>
      </c>
      <c r="C555" s="1183"/>
      <c r="D555" s="1189" t="s">
        <v>7112</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7113</v>
      </c>
      <c r="W555" s="1181" t="s">
        <v>7114</v>
      </c>
      <c r="X555" s="1181" t="s">
        <v>7115</v>
      </c>
      <c r="Y555" s="1181" t="s">
        <v>7116</v>
      </c>
      <c r="Z555" s="1182" t="s">
        <v>7117</v>
      </c>
    </row>
    <row r="556" spans="2:26" ht="12.75" customHeight="1" x14ac:dyDescent="0.2">
      <c r="B556" s="2252" t="str">
        <f t="shared" si="8"/>
        <v>Literae64</v>
      </c>
      <c r="C556" s="1183"/>
      <c r="D556" s="1189" t="s">
        <v>791</v>
      </c>
      <c r="E556" s="1179" t="s">
        <v>83</v>
      </c>
      <c r="F556" s="1179">
        <v>64</v>
      </c>
      <c r="G556" s="1190" t="s">
        <v>2549</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7118</v>
      </c>
      <c r="W556" s="1181" t="s">
        <v>7119</v>
      </c>
      <c r="X556" s="1181" t="s">
        <v>7120</v>
      </c>
      <c r="Y556" s="1181" t="s">
        <v>7121</v>
      </c>
      <c r="Z556" s="1182" t="s">
        <v>7122</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5102</v>
      </c>
      <c r="W557" s="1181" t="s">
        <v>4929</v>
      </c>
      <c r="X557" s="1181" t="s">
        <v>5140</v>
      </c>
      <c r="Y557" s="1181" t="s">
        <v>5141</v>
      </c>
      <c r="Z557" s="1182" t="s">
        <v>7123</v>
      </c>
    </row>
    <row r="558" spans="2:26" ht="12.75" customHeight="1" x14ac:dyDescent="0.2">
      <c r="B558" s="2252" t="str">
        <f t="shared" si="8"/>
        <v>Literae84</v>
      </c>
      <c r="C558" s="1183"/>
      <c r="D558" s="1189" t="s">
        <v>793</v>
      </c>
      <c r="E558" s="1179" t="s">
        <v>83</v>
      </c>
      <c r="F558" s="1179">
        <v>84</v>
      </c>
      <c r="G558" s="1190" t="s">
        <v>2549</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5188</v>
      </c>
      <c r="W558" s="1181" t="s">
        <v>5234</v>
      </c>
      <c r="X558" s="1181" t="s">
        <v>7124</v>
      </c>
      <c r="Y558" s="1181" t="s">
        <v>6081</v>
      </c>
      <c r="Z558" s="1182" t="s">
        <v>7125</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5156</v>
      </c>
      <c r="W559" s="1181" t="s">
        <v>5157</v>
      </c>
      <c r="X559" s="1181" t="s">
        <v>5031</v>
      </c>
      <c r="Y559" s="1181" t="s">
        <v>4834</v>
      </c>
      <c r="Z559" s="1182" t="s">
        <v>7126</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2072</v>
      </c>
      <c r="W561" s="1181" t="s">
        <v>2077</v>
      </c>
      <c r="X561" s="1181" t="s">
        <v>2079</v>
      </c>
      <c r="Y561" s="1181" t="s">
        <v>2080</v>
      </c>
      <c r="Z561" s="1182" t="s">
        <v>7127</v>
      </c>
    </row>
    <row r="562" spans="2:26" ht="12.75" customHeight="1" x14ac:dyDescent="0.2">
      <c r="B562" s="2252" t="str">
        <f t="shared" si="8"/>
        <v>Muerte14</v>
      </c>
      <c r="C562" s="1183"/>
      <c r="D562" s="1189" t="s">
        <v>7128</v>
      </c>
      <c r="E562" s="1179" t="s">
        <v>84</v>
      </c>
      <c r="F562" s="1179">
        <v>14</v>
      </c>
      <c r="G562" s="1190" t="s">
        <v>3143</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7129</v>
      </c>
      <c r="W562" s="1181" t="s">
        <v>7130</v>
      </c>
      <c r="X562" s="1181" t="s">
        <v>7131</v>
      </c>
      <c r="Y562" s="1181" t="s">
        <v>7132</v>
      </c>
      <c r="Z562" s="1182" t="s">
        <v>7133</v>
      </c>
    </row>
    <row r="563" spans="2:26" ht="12.75" customHeight="1" x14ac:dyDescent="0.2">
      <c r="B563" s="2252" t="str">
        <f t="shared" si="8"/>
        <v>Muerte24</v>
      </c>
      <c r="C563" s="1183"/>
      <c r="D563" s="1189" t="s">
        <v>798</v>
      </c>
      <c r="E563" s="1179" t="s">
        <v>84</v>
      </c>
      <c r="F563" s="1179">
        <v>24</v>
      </c>
      <c r="G563" s="1190" t="s">
        <v>1693</v>
      </c>
      <c r="H563" s="1190" t="s">
        <v>5554</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7134</v>
      </c>
      <c r="W563" s="1181" t="s">
        <v>6846</v>
      </c>
      <c r="X563" s="1181" t="s">
        <v>7135</v>
      </c>
      <c r="Y563" s="1181" t="s">
        <v>7136</v>
      </c>
      <c r="Z563" s="1182" t="s">
        <v>7137</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5157</v>
      </c>
      <c r="W564" s="1181" t="s">
        <v>5031</v>
      </c>
      <c r="X564" s="1181" t="s">
        <v>4834</v>
      </c>
      <c r="Y564" s="1181" t="s">
        <v>5032</v>
      </c>
      <c r="Z564" s="1182" t="s">
        <v>7138</v>
      </c>
    </row>
    <row r="565" spans="2:26" ht="12.75" customHeight="1" x14ac:dyDescent="0.2">
      <c r="B565" s="2252" t="str">
        <f t="shared" si="8"/>
        <v>Muerte44</v>
      </c>
      <c r="C565" s="1183"/>
      <c r="D565" s="1189" t="s">
        <v>800</v>
      </c>
      <c r="E565" s="1179" t="s">
        <v>84</v>
      </c>
      <c r="F565" s="1179">
        <v>44</v>
      </c>
      <c r="G565" s="1190" t="s">
        <v>1693</v>
      </c>
      <c r="H565" s="1190" t="s">
        <v>5666</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7139</v>
      </c>
      <c r="W565" s="1181" t="s">
        <v>7140</v>
      </c>
      <c r="X565" s="1181" t="s">
        <v>7141</v>
      </c>
      <c r="Y565" s="1181" t="s">
        <v>7142</v>
      </c>
      <c r="Z565" s="1182" t="s">
        <v>7143</v>
      </c>
    </row>
    <row r="566" spans="2:26" ht="12.75" customHeight="1" x14ac:dyDescent="0.2">
      <c r="B566" s="2252" t="str">
        <f t="shared" si="8"/>
        <v>Muerte54</v>
      </c>
      <c r="C566" s="1183"/>
      <c r="D566" s="1193" t="s">
        <v>7144</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7145</v>
      </c>
      <c r="W566" s="1181" t="s">
        <v>7146</v>
      </c>
      <c r="X566" s="1181" t="s">
        <v>7147</v>
      </c>
      <c r="Y566" s="1181" t="s">
        <v>7148</v>
      </c>
      <c r="Z566" s="1182" t="s">
        <v>7149</v>
      </c>
    </row>
    <row r="567" spans="2:26" ht="12.75" customHeight="1" x14ac:dyDescent="0.2">
      <c r="B567" s="2252" t="str">
        <f t="shared" si="8"/>
        <v>Muerte64</v>
      </c>
      <c r="C567" s="1183"/>
      <c r="D567" s="1189" t="s">
        <v>7150</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7151</v>
      </c>
      <c r="W567" s="1181" t="s">
        <v>7152</v>
      </c>
      <c r="X567" s="1181" t="s">
        <v>7153</v>
      </c>
      <c r="Y567" s="1181" t="s">
        <v>7154</v>
      </c>
      <c r="Z567" s="1182" t="s">
        <v>7155</v>
      </c>
    </row>
    <row r="568" spans="2:26" ht="12.75" customHeight="1" x14ac:dyDescent="0.2">
      <c r="B568" s="2252" t="str">
        <f t="shared" si="8"/>
        <v>Muerte74</v>
      </c>
      <c r="C568" s="1183"/>
      <c r="D568" s="1189" t="s">
        <v>7156</v>
      </c>
      <c r="E568" s="1179" t="s">
        <v>84</v>
      </c>
      <c r="F568" s="1179">
        <v>74</v>
      </c>
      <c r="G568" s="1190" t="s">
        <v>3143</v>
      </c>
      <c r="H568" s="1190" t="s">
        <v>7157</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5156</v>
      </c>
      <c r="W568" s="1181" t="s">
        <v>5031</v>
      </c>
      <c r="X568" s="1181" t="s">
        <v>5032</v>
      </c>
      <c r="Y568" s="1181" t="s">
        <v>5033</v>
      </c>
      <c r="Z568" s="1182" t="s">
        <v>7158</v>
      </c>
    </row>
    <row r="569" spans="2:26" ht="12.75" customHeight="1" x14ac:dyDescent="0.2">
      <c r="B569" s="2252" t="str">
        <f t="shared" si="8"/>
        <v>Muerte84</v>
      </c>
      <c r="C569" s="1183"/>
      <c r="D569" s="1189" t="s">
        <v>803</v>
      </c>
      <c r="E569" s="1179" t="s">
        <v>84</v>
      </c>
      <c r="F569" s="1179">
        <v>84</v>
      </c>
      <c r="G569" s="1190" t="s">
        <v>1693</v>
      </c>
      <c r="H569" s="1190" t="s">
        <v>5554</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7159</v>
      </c>
      <c r="W569" s="1181" t="s">
        <v>7160</v>
      </c>
      <c r="X569" s="1181" t="s">
        <v>7161</v>
      </c>
      <c r="Y569" s="1181" t="s">
        <v>7162</v>
      </c>
      <c r="Z569" s="1182" t="s">
        <v>7163</v>
      </c>
    </row>
    <row r="570" spans="2:26" ht="12.75" customHeight="1" x14ac:dyDescent="0.2">
      <c r="B570" s="2252" t="str">
        <f t="shared" si="8"/>
        <v>Muerte94</v>
      </c>
      <c r="C570" s="1183"/>
      <c r="D570" s="1189" t="s">
        <v>933</v>
      </c>
      <c r="E570" s="1179" t="s">
        <v>84</v>
      </c>
      <c r="F570" s="1179">
        <v>94</v>
      </c>
      <c r="G570" s="1190" t="s">
        <v>3143</v>
      </c>
      <c r="H570" s="1190" t="s">
        <v>5582</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7164</v>
      </c>
      <c r="W570" s="1181" t="s">
        <v>7165</v>
      </c>
      <c r="X570" s="1181" t="s">
        <v>7166</v>
      </c>
      <c r="Y570" s="1181" t="s">
        <v>7167</v>
      </c>
      <c r="Z570" s="1182" t="s">
        <v>7168</v>
      </c>
    </row>
    <row r="571" spans="2:26" ht="12.75" customHeight="1" x14ac:dyDescent="0.2">
      <c r="B571" s="2252" t="str">
        <f t="shared" si="8"/>
        <v/>
      </c>
      <c r="C571" s="1183"/>
      <c r="D571" s="1189" t="s">
        <v>7169</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7170</v>
      </c>
      <c r="W572" s="1181" t="s">
        <v>7171</v>
      </c>
      <c r="X572" s="1181" t="s">
        <v>7172</v>
      </c>
      <c r="Y572" s="1181" t="s">
        <v>7173</v>
      </c>
      <c r="Z572" s="1182" t="s">
        <v>7174</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6701</v>
      </c>
      <c r="W573" s="1181" t="s">
        <v>7175</v>
      </c>
      <c r="X573" s="1181" t="s">
        <v>7037</v>
      </c>
      <c r="Y573" s="1181" t="s">
        <v>7176</v>
      </c>
      <c r="Z573" s="1182" t="s">
        <v>7177</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7178</v>
      </c>
      <c r="W574" s="1181" t="s">
        <v>7179</v>
      </c>
      <c r="X574" s="1181" t="s">
        <v>7180</v>
      </c>
      <c r="Y574" s="1181" t="s">
        <v>7181</v>
      </c>
      <c r="Z574" s="1182" t="s">
        <v>7182</v>
      </c>
    </row>
    <row r="575" spans="2:26" ht="12.75" customHeight="1" x14ac:dyDescent="0.2">
      <c r="B575" s="2252" t="str">
        <f t="shared" si="8"/>
        <v>Musical34</v>
      </c>
      <c r="C575" s="1183"/>
      <c r="D575" s="1189" t="s">
        <v>7183</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7184</v>
      </c>
      <c r="W575" s="1181" t="s">
        <v>7185</v>
      </c>
      <c r="X575" s="1181" t="s">
        <v>7186</v>
      </c>
      <c r="Y575" s="1181" t="s">
        <v>6682</v>
      </c>
      <c r="Z575" s="1182" t="s">
        <v>7187</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7188</v>
      </c>
      <c r="W576" s="1181" t="s">
        <v>7189</v>
      </c>
      <c r="X576" s="1181" t="s">
        <v>7190</v>
      </c>
      <c r="Y576" s="1181" t="s">
        <v>7191</v>
      </c>
      <c r="Z576" s="1182" t="s">
        <v>7192</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7193</v>
      </c>
      <c r="W577" s="1181" t="s">
        <v>7194</v>
      </c>
      <c r="X577" s="1181" t="s">
        <v>7195</v>
      </c>
      <c r="Y577" s="1181" t="s">
        <v>7196</v>
      </c>
      <c r="Z577" s="1182" t="s">
        <v>7197</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7198</v>
      </c>
      <c r="W578" s="1181" t="s">
        <v>7199</v>
      </c>
      <c r="X578" s="1181" t="s">
        <v>7200</v>
      </c>
      <c r="Y578" s="1181" t="s">
        <v>7201</v>
      </c>
      <c r="Z578" s="1182" t="s">
        <v>7202</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5962</v>
      </c>
      <c r="W579" s="1181" t="s">
        <v>4918</v>
      </c>
      <c r="X579" s="1181" t="s">
        <v>5059</v>
      </c>
      <c r="Y579" s="1181" t="s">
        <v>4919</v>
      </c>
      <c r="Z579" s="1182" t="s">
        <v>7203</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7204</v>
      </c>
      <c r="W580" s="1181" t="s">
        <v>7205</v>
      </c>
      <c r="X580" s="1181" t="s">
        <v>7206</v>
      </c>
      <c r="Y580" s="1181" t="s">
        <v>7207</v>
      </c>
      <c r="Z580" s="1182" t="s">
        <v>7208</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5616</v>
      </c>
      <c r="W581" s="1181" t="s">
        <v>7209</v>
      </c>
      <c r="X581" s="1181" t="s">
        <v>7210</v>
      </c>
      <c r="Y581" s="1181" t="s">
        <v>7211</v>
      </c>
      <c r="Z581" s="1182" t="s">
        <v>7212</v>
      </c>
    </row>
    <row r="582" spans="2:26" ht="12.75" customHeight="1" x14ac:dyDescent="0.2">
      <c r="B582" s="2252" t="str">
        <f t="shared" si="8"/>
        <v/>
      </c>
      <c r="C582" s="1183"/>
      <c r="D582" s="1189" t="s">
        <v>7213</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2549</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5548</v>
      </c>
      <c r="W583" s="1181" t="s">
        <v>7214</v>
      </c>
      <c r="X583" s="1181" t="s">
        <v>7215</v>
      </c>
      <c r="Y583" s="1181" t="s">
        <v>7216</v>
      </c>
      <c r="Z583" s="1182" t="s">
        <v>7217</v>
      </c>
    </row>
    <row r="584" spans="2:26" ht="12.75" customHeight="1" x14ac:dyDescent="0.2">
      <c r="B584" s="2252" t="str">
        <f t="shared" ref="B584:B647" si="9">E584&amp;F584</f>
        <v>Nobleza14</v>
      </c>
      <c r="C584" s="1183"/>
      <c r="D584" s="1189" t="s">
        <v>818</v>
      </c>
      <c r="E584" s="1179" t="s">
        <v>86</v>
      </c>
      <c r="F584" s="1179">
        <v>14</v>
      </c>
      <c r="G584" s="1190" t="s">
        <v>2549</v>
      </c>
      <c r="H584" s="1190" t="s">
        <v>7218</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7219</v>
      </c>
      <c r="W584" s="1181" t="s">
        <v>7220</v>
      </c>
      <c r="X584" s="1181" t="s">
        <v>7221</v>
      </c>
      <c r="Y584" s="1181" t="s">
        <v>7222</v>
      </c>
      <c r="Z584" s="1182" t="s">
        <v>7223</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7224</v>
      </c>
      <c r="W585" s="1181" t="s">
        <v>7225</v>
      </c>
      <c r="X585" s="1181" t="s">
        <v>7226</v>
      </c>
      <c r="Y585" s="1181" t="s">
        <v>7227</v>
      </c>
      <c r="Z585" s="1182" t="s">
        <v>7228</v>
      </c>
    </row>
    <row r="586" spans="2:26" ht="12.75" customHeight="1" x14ac:dyDescent="0.2">
      <c r="B586" s="2252" t="str">
        <f t="shared" si="9"/>
        <v>Nobleza34</v>
      </c>
      <c r="C586" s="1183"/>
      <c r="D586" s="1189" t="s">
        <v>820</v>
      </c>
      <c r="E586" s="1179" t="s">
        <v>86</v>
      </c>
      <c r="F586" s="1179">
        <v>34</v>
      </c>
      <c r="G586" s="1190" t="s">
        <v>2549</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5548</v>
      </c>
      <c r="W586" s="1181" t="s">
        <v>7229</v>
      </c>
      <c r="X586" s="1181" t="s">
        <v>7230</v>
      </c>
      <c r="Y586" s="1181" t="s">
        <v>7231</v>
      </c>
      <c r="Z586" s="1182" t="s">
        <v>7232</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7233</v>
      </c>
      <c r="W587" s="1181" t="s">
        <v>7234</v>
      </c>
      <c r="X587" s="1181" t="s">
        <v>7235</v>
      </c>
      <c r="Y587" s="1181" t="s">
        <v>7236</v>
      </c>
      <c r="Z587" s="1182" t="s">
        <v>7237</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7233</v>
      </c>
      <c r="W588" s="1181" t="s">
        <v>7234</v>
      </c>
      <c r="X588" s="1181" t="s">
        <v>7235</v>
      </c>
      <c r="Y588" s="1181" t="s">
        <v>7236</v>
      </c>
      <c r="Z588" s="1182" t="s">
        <v>7238</v>
      </c>
    </row>
    <row r="589" spans="2:26" ht="12.75" customHeight="1" x14ac:dyDescent="0.2">
      <c r="B589" s="2252" t="str">
        <f t="shared" si="9"/>
        <v>Nobleza64</v>
      </c>
      <c r="C589" s="1183"/>
      <c r="D589" s="1189" t="s">
        <v>823</v>
      </c>
      <c r="E589" s="1179" t="s">
        <v>86</v>
      </c>
      <c r="F589" s="1179">
        <v>64</v>
      </c>
      <c r="G589" s="1190" t="s">
        <v>2549</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7233</v>
      </c>
      <c r="W589" s="1181" t="s">
        <v>7234</v>
      </c>
      <c r="X589" s="1181" t="s">
        <v>7235</v>
      </c>
      <c r="Y589" s="1181" t="s">
        <v>7236</v>
      </c>
      <c r="Z589" s="1182" t="s">
        <v>7239</v>
      </c>
    </row>
    <row r="590" spans="2:26" ht="12.75" customHeight="1" x14ac:dyDescent="0.2">
      <c r="B590" s="2252" t="str">
        <f t="shared" si="9"/>
        <v>Nobleza74</v>
      </c>
      <c r="C590" s="1183"/>
      <c r="D590" s="1189" t="s">
        <v>7240</v>
      </c>
      <c r="E590" s="1179" t="s">
        <v>86</v>
      </c>
      <c r="F590" s="1179">
        <v>74</v>
      </c>
      <c r="G590" s="1190" t="s">
        <v>5317</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7241</v>
      </c>
      <c r="W590" s="1181" t="s">
        <v>7242</v>
      </c>
      <c r="X590" s="1181" t="s">
        <v>7243</v>
      </c>
      <c r="Y590" s="1181" t="s">
        <v>7244</v>
      </c>
      <c r="Z590" s="1182" t="s">
        <v>7245</v>
      </c>
    </row>
    <row r="591" spans="2:26" ht="12.75" customHeight="1" x14ac:dyDescent="0.2">
      <c r="B591" s="2252" t="str">
        <f t="shared" si="9"/>
        <v>Nobleza84</v>
      </c>
      <c r="C591" s="1183"/>
      <c r="D591" s="1189" t="s">
        <v>825</v>
      </c>
      <c r="E591" s="1179" t="s">
        <v>86</v>
      </c>
      <c r="F591" s="1179">
        <v>84</v>
      </c>
      <c r="G591" s="1190" t="s">
        <v>2549</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7246</v>
      </c>
      <c r="W591" s="1181" t="s">
        <v>7247</v>
      </c>
      <c r="X591" s="1181" t="s">
        <v>7248</v>
      </c>
      <c r="Y591" s="1181" t="s">
        <v>7249</v>
      </c>
      <c r="Z591" s="1182" t="s">
        <v>7250</v>
      </c>
    </row>
    <row r="592" spans="2:26" ht="12.75" customHeight="1" x14ac:dyDescent="0.2">
      <c r="B592" s="2252" t="str">
        <f t="shared" si="9"/>
        <v>Nobleza94</v>
      </c>
      <c r="C592" s="1183"/>
      <c r="D592" s="1189" t="s">
        <v>826</v>
      </c>
      <c r="E592" s="1179" t="s">
        <v>86</v>
      </c>
      <c r="F592" s="1179">
        <v>94</v>
      </c>
      <c r="G592" s="1190" t="s">
        <v>2549</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7251</v>
      </c>
      <c r="W592" s="1181" t="s">
        <v>7252</v>
      </c>
      <c r="X592" s="1181" t="s">
        <v>7253</v>
      </c>
      <c r="Y592" s="1181" t="s">
        <v>7254</v>
      </c>
      <c r="Z592" s="1182" t="s">
        <v>7255</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7256</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7257</v>
      </c>
      <c r="W594" s="1181" t="s">
        <v>7258</v>
      </c>
      <c r="X594" s="1181" t="s">
        <v>7259</v>
      </c>
      <c r="Y594" s="1181" t="s">
        <v>7260</v>
      </c>
      <c r="Z594" s="1182" t="s">
        <v>7261</v>
      </c>
    </row>
    <row r="595" spans="2:26" ht="12.75" customHeight="1" x14ac:dyDescent="0.2">
      <c r="B595" s="2252" t="str">
        <f t="shared" si="9"/>
        <v>Paz14</v>
      </c>
      <c r="C595" s="1183"/>
      <c r="D595" s="1189" t="s">
        <v>7262</v>
      </c>
      <c r="E595" s="1179" t="s">
        <v>87</v>
      </c>
      <c r="F595" s="1179">
        <v>14</v>
      </c>
      <c r="G595" s="1190" t="s">
        <v>2549</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7263</v>
      </c>
      <c r="W595" s="1181" t="s">
        <v>7264</v>
      </c>
      <c r="X595" s="1181" t="s">
        <v>7265</v>
      </c>
      <c r="Y595" s="1181" t="s">
        <v>7266</v>
      </c>
      <c r="Z595" s="1182" t="s">
        <v>7267</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7268</v>
      </c>
      <c r="W596" s="1181" t="s">
        <v>7269</v>
      </c>
      <c r="X596" s="1181" t="s">
        <v>7270</v>
      </c>
      <c r="Y596" s="1181" t="s">
        <v>7271</v>
      </c>
      <c r="Z596" s="1182" t="s">
        <v>7272</v>
      </c>
    </row>
    <row r="597" spans="2:26" ht="12.75" customHeight="1" x14ac:dyDescent="0.2">
      <c r="B597" s="2252" t="str">
        <f t="shared" si="9"/>
        <v>Paz34</v>
      </c>
      <c r="C597" s="1183"/>
      <c r="D597" s="1189" t="s">
        <v>7273</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7274</v>
      </c>
      <c r="W597" s="1181" t="s">
        <v>7275</v>
      </c>
      <c r="X597" s="1181" t="s">
        <v>7276</v>
      </c>
      <c r="Y597" s="1181" t="s">
        <v>7277</v>
      </c>
      <c r="Z597" s="1182" t="s">
        <v>7278</v>
      </c>
    </row>
    <row r="598" spans="2:26" ht="12.75" customHeight="1" x14ac:dyDescent="0.2">
      <c r="B598" s="2252" t="str">
        <f t="shared" si="9"/>
        <v>Paz44</v>
      </c>
      <c r="C598" s="1183"/>
      <c r="D598" s="1189" t="s">
        <v>7279</v>
      </c>
      <c r="E598" s="1179" t="s">
        <v>87</v>
      </c>
      <c r="F598" s="1179">
        <v>44</v>
      </c>
      <c r="G598" s="1190" t="s">
        <v>2549</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7274</v>
      </c>
      <c r="W598" s="1181" t="s">
        <v>7275</v>
      </c>
      <c r="X598" s="1181" t="s">
        <v>7276</v>
      </c>
      <c r="Y598" s="1181" t="s">
        <v>7277</v>
      </c>
      <c r="Z598" s="1182" t="s">
        <v>7280</v>
      </c>
    </row>
    <row r="599" spans="2:26" ht="12.75" customHeight="1" x14ac:dyDescent="0.2">
      <c r="B599" s="2252" t="str">
        <f t="shared" si="9"/>
        <v>Paz54</v>
      </c>
      <c r="C599" s="1183"/>
      <c r="D599" s="1189" t="s">
        <v>7281</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5156</v>
      </c>
      <c r="W599" s="1181" t="s">
        <v>5031</v>
      </c>
      <c r="X599" s="1181" t="s">
        <v>5032</v>
      </c>
      <c r="Y599" s="1181" t="s">
        <v>5033</v>
      </c>
      <c r="Z599" s="1182" t="s">
        <v>7282</v>
      </c>
    </row>
    <row r="600" spans="2:26" ht="12.75" customHeight="1" x14ac:dyDescent="0.2">
      <c r="B600" s="2252" t="str">
        <f t="shared" si="9"/>
        <v>Paz64</v>
      </c>
      <c r="C600" s="1183"/>
      <c r="D600" s="1189" t="s">
        <v>3258</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7283</v>
      </c>
      <c r="W600" s="1181" t="s">
        <v>7284</v>
      </c>
      <c r="X600" s="1181" t="s">
        <v>7285</v>
      </c>
      <c r="Y600" s="1181" t="s">
        <v>7286</v>
      </c>
      <c r="Z600" s="1182" t="s">
        <v>7287</v>
      </c>
    </row>
    <row r="601" spans="2:26" ht="12.75" customHeight="1" x14ac:dyDescent="0.2">
      <c r="B601" s="2252" t="str">
        <f t="shared" si="9"/>
        <v>Paz74</v>
      </c>
      <c r="C601" s="1183"/>
      <c r="D601" s="1189" t="s">
        <v>7288</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7289</v>
      </c>
      <c r="W601" s="1181" t="s">
        <v>7290</v>
      </c>
      <c r="X601" s="1181" t="s">
        <v>7291</v>
      </c>
      <c r="Y601" s="1181" t="s">
        <v>7292</v>
      </c>
      <c r="Z601" s="1182" t="s">
        <v>7293</v>
      </c>
    </row>
    <row r="602" spans="2:26" ht="12.75" customHeight="1" x14ac:dyDescent="0.2">
      <c r="B602" s="2252" t="str">
        <f t="shared" si="9"/>
        <v>Paz84</v>
      </c>
      <c r="C602" s="1183"/>
      <c r="D602" s="1189" t="s">
        <v>7294</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5156</v>
      </c>
      <c r="W602" s="1181" t="s">
        <v>5157</v>
      </c>
      <c r="X602" s="1181" t="s">
        <v>5031</v>
      </c>
      <c r="Y602" s="1181" t="s">
        <v>4834</v>
      </c>
      <c r="Z602" s="1182" t="s">
        <v>7295</v>
      </c>
    </row>
    <row r="603" spans="2:26" ht="12.75" customHeight="1" x14ac:dyDescent="0.2">
      <c r="B603" s="2252" t="str">
        <f t="shared" si="9"/>
        <v>Paz94</v>
      </c>
      <c r="C603" s="1183"/>
      <c r="D603" s="1189" t="s">
        <v>7296</v>
      </c>
      <c r="E603" s="1179" t="s">
        <v>87</v>
      </c>
      <c r="F603" s="1179">
        <v>94</v>
      </c>
      <c r="G603" s="1190" t="s">
        <v>2549</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7297</v>
      </c>
      <c r="W603" s="1181" t="s">
        <v>7298</v>
      </c>
      <c r="X603" s="1181" t="s">
        <v>7299</v>
      </c>
      <c r="Y603" s="1181" t="s">
        <v>7300</v>
      </c>
      <c r="Z603" s="1182" t="s">
        <v>7301</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7302</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5156</v>
      </c>
      <c r="W605" s="1181" t="s">
        <v>5157</v>
      </c>
      <c r="X605" s="1181" t="s">
        <v>5031</v>
      </c>
      <c r="Y605" s="1181" t="s">
        <v>4834</v>
      </c>
      <c r="Z605" s="1182" t="s">
        <v>7303</v>
      </c>
    </row>
    <row r="606" spans="2:26" ht="12.75" customHeight="1" x14ac:dyDescent="0.2">
      <c r="B606" s="2252" t="str">
        <f t="shared" si="9"/>
        <v>Pecado14</v>
      </c>
      <c r="C606" s="1183"/>
      <c r="D606" s="1189" t="s">
        <v>7304</v>
      </c>
      <c r="E606" s="1179" t="s">
        <v>88</v>
      </c>
      <c r="F606" s="1179">
        <v>14</v>
      </c>
      <c r="G606" s="1190" t="s">
        <v>2549</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5156</v>
      </c>
      <c r="W606" s="1181" t="s">
        <v>5157</v>
      </c>
      <c r="X606" s="1181" t="s">
        <v>5031</v>
      </c>
      <c r="Y606" s="1181" t="s">
        <v>4834</v>
      </c>
      <c r="Z606" s="1182" t="s">
        <v>7305</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7306</v>
      </c>
      <c r="W607" s="1181" t="s">
        <v>7307</v>
      </c>
      <c r="X607" s="1181" t="s">
        <v>7308</v>
      </c>
      <c r="Y607" s="1181" t="s">
        <v>7309</v>
      </c>
      <c r="Z607" s="1182" t="s">
        <v>7310</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5157</v>
      </c>
      <c r="W608" s="1181" t="s">
        <v>5031</v>
      </c>
      <c r="X608" s="1181" t="s">
        <v>4834</v>
      </c>
      <c r="Y608" s="1181" t="s">
        <v>5032</v>
      </c>
      <c r="Z608" s="1182" t="s">
        <v>7311</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7312</v>
      </c>
      <c r="W609" s="1181" t="s">
        <v>7313</v>
      </c>
      <c r="X609" s="1181" t="s">
        <v>7314</v>
      </c>
      <c r="Y609" s="1181" t="s">
        <v>7315</v>
      </c>
      <c r="Z609" s="1182" t="s">
        <v>7316</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5200</v>
      </c>
      <c r="W610" s="1181" t="s">
        <v>5156</v>
      </c>
      <c r="X610" s="1181" t="s">
        <v>5157</v>
      </c>
      <c r="Y610" s="1181" t="s">
        <v>5031</v>
      </c>
      <c r="Z610" s="1182" t="s">
        <v>7317</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7318</v>
      </c>
      <c r="W611" s="1181" t="s">
        <v>7319</v>
      </c>
      <c r="X611" s="1181" t="s">
        <v>7320</v>
      </c>
      <c r="Y611" s="1181" t="s">
        <v>7321</v>
      </c>
      <c r="Z611" s="1182" t="s">
        <v>7322</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5156</v>
      </c>
      <c r="W612" s="1181" t="s">
        <v>5157</v>
      </c>
      <c r="X612" s="1181" t="s">
        <v>5031</v>
      </c>
      <c r="Y612" s="1181" t="s">
        <v>4834</v>
      </c>
      <c r="Z612" s="1182" t="s">
        <v>7323</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5156</v>
      </c>
      <c r="W613" s="1181" t="s">
        <v>5157</v>
      </c>
      <c r="X613" s="1181" t="s">
        <v>5031</v>
      </c>
      <c r="Y613" s="1181" t="s">
        <v>4834</v>
      </c>
      <c r="Z613" s="1182" t="s">
        <v>7324</v>
      </c>
    </row>
    <row r="614" spans="2:26" ht="12.75" customHeight="1" x14ac:dyDescent="0.2">
      <c r="B614" s="2252" t="str">
        <f t="shared" si="9"/>
        <v>Pecado94</v>
      </c>
      <c r="C614" s="1183"/>
      <c r="D614" s="1189" t="s">
        <v>7325</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5156</v>
      </c>
      <c r="W614" s="1181" t="s">
        <v>5157</v>
      </c>
      <c r="X614" s="1181" t="s">
        <v>5031</v>
      </c>
      <c r="Y614" s="1181" t="s">
        <v>4834</v>
      </c>
      <c r="Z614" s="1182" t="s">
        <v>7326</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7327</v>
      </c>
      <c r="W616" s="1181" t="s">
        <v>7328</v>
      </c>
      <c r="X616" s="1181" t="s">
        <v>7329</v>
      </c>
      <c r="Y616" s="1181" t="s">
        <v>7330</v>
      </c>
      <c r="Z616" s="1182" t="s">
        <v>7331</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7332</v>
      </c>
      <c r="W617" s="1181" t="s">
        <v>7333</v>
      </c>
      <c r="X617" s="1181" t="s">
        <v>7334</v>
      </c>
      <c r="Y617" s="1181" t="s">
        <v>7335</v>
      </c>
      <c r="Z617" s="1182" t="s">
        <v>7336</v>
      </c>
    </row>
    <row r="618" spans="2:26" ht="12.75" customHeight="1" x14ac:dyDescent="0.2">
      <c r="B618" s="2252" t="str">
        <f t="shared" si="9"/>
        <v>Conocimiento24</v>
      </c>
      <c r="C618" s="1183"/>
      <c r="D618" s="1189" t="s">
        <v>7337</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5299</v>
      </c>
      <c r="W618" s="1181" t="s">
        <v>5300</v>
      </c>
      <c r="X618" s="1181" t="s">
        <v>5301</v>
      </c>
      <c r="Y618" s="1181" t="s">
        <v>5329</v>
      </c>
      <c r="Z618" s="1182" t="s">
        <v>7338</v>
      </c>
    </row>
    <row r="619" spans="2:26" ht="12.75" customHeight="1" x14ac:dyDescent="0.2">
      <c r="B619" s="2252" t="str">
        <f t="shared" si="9"/>
        <v>Conocimiento34</v>
      </c>
      <c r="C619" s="1183"/>
      <c r="D619" s="1189" t="s">
        <v>7339</v>
      </c>
      <c r="E619" s="1179" t="s">
        <v>89</v>
      </c>
      <c r="F619" s="1179">
        <v>34</v>
      </c>
      <c r="G619" s="1190" t="s">
        <v>2549</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7340</v>
      </c>
      <c r="W619" s="1181" t="s">
        <v>5339</v>
      </c>
      <c r="X619" s="1181" t="s">
        <v>5299</v>
      </c>
      <c r="Y619" s="1181" t="s">
        <v>5300</v>
      </c>
      <c r="Z619" s="1182" t="s">
        <v>7341</v>
      </c>
    </row>
    <row r="620" spans="2:26" ht="12.75" customHeight="1" x14ac:dyDescent="0.2">
      <c r="B620" s="2252" t="str">
        <f t="shared" si="9"/>
        <v>Conocimiento44</v>
      </c>
      <c r="C620" s="1183"/>
      <c r="D620" s="1189" t="s">
        <v>7342</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7343</v>
      </c>
      <c r="W620" s="1181" t="s">
        <v>7344</v>
      </c>
      <c r="X620" s="1181" t="s">
        <v>7345</v>
      </c>
      <c r="Y620" s="1181" t="s">
        <v>7346</v>
      </c>
      <c r="Z620" s="1182" t="s">
        <v>7347</v>
      </c>
    </row>
    <row r="621" spans="2:26" ht="12.75" customHeight="1" x14ac:dyDescent="0.2">
      <c r="B621" s="2252" t="str">
        <f t="shared" si="9"/>
        <v>Conocimiento54</v>
      </c>
      <c r="C621" s="1183"/>
      <c r="D621" s="1189" t="s">
        <v>7348</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7349</v>
      </c>
      <c r="W621" s="1181" t="s">
        <v>7350</v>
      </c>
      <c r="X621" s="1181" t="s">
        <v>7351</v>
      </c>
      <c r="Y621" s="1181" t="s">
        <v>7352</v>
      </c>
      <c r="Z621" s="1182" t="s">
        <v>7353</v>
      </c>
    </row>
    <row r="622" spans="2:26" ht="12.75" customHeight="1" x14ac:dyDescent="0.2">
      <c r="B622" s="2252" t="str">
        <f t="shared" si="9"/>
        <v>Conocimiento64</v>
      </c>
      <c r="C622" s="1183"/>
      <c r="D622" s="1189" t="s">
        <v>855</v>
      </c>
      <c r="E622" s="1179" t="s">
        <v>89</v>
      </c>
      <c r="F622" s="1179">
        <v>64</v>
      </c>
      <c r="G622" s="1190" t="s">
        <v>2549</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7354</v>
      </c>
      <c r="W622" s="1181" t="s">
        <v>7355</v>
      </c>
      <c r="X622" s="1181" t="s">
        <v>7356</v>
      </c>
      <c r="Y622" s="1181" t="s">
        <v>7357</v>
      </c>
      <c r="Z622" s="1182" t="s">
        <v>7358</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7359</v>
      </c>
      <c r="W623" s="1181" t="s">
        <v>7360</v>
      </c>
      <c r="X623" s="1181" t="s">
        <v>7361</v>
      </c>
      <c r="Y623" s="1181" t="s">
        <v>7362</v>
      </c>
      <c r="Z623" s="1182" t="s">
        <v>7363</v>
      </c>
    </row>
    <row r="624" spans="2:26" ht="12.75" customHeight="1" x14ac:dyDescent="0.2">
      <c r="B624" s="2252" t="str">
        <f t="shared" si="9"/>
        <v>Conocimiento84</v>
      </c>
      <c r="C624" s="1183"/>
      <c r="D624" s="1189" t="s">
        <v>7364</v>
      </c>
      <c r="E624" s="1179" t="s">
        <v>89</v>
      </c>
      <c r="F624" s="1179">
        <v>84</v>
      </c>
      <c r="G624" s="1190" t="s">
        <v>2549</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7365</v>
      </c>
      <c r="W624" s="1181" t="s">
        <v>7366</v>
      </c>
      <c r="X624" s="1181" t="s">
        <v>7367</v>
      </c>
      <c r="Y624" s="1181" t="s">
        <v>7368</v>
      </c>
      <c r="Z624" s="1182" t="s">
        <v>7369</v>
      </c>
    </row>
    <row r="625" spans="2:26" ht="12.75" customHeight="1" x14ac:dyDescent="0.2">
      <c r="B625" s="2252" t="str">
        <f t="shared" si="9"/>
        <v>Conocimiento94</v>
      </c>
      <c r="C625" s="1183"/>
      <c r="D625" s="1189" t="s">
        <v>7370</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7371</v>
      </c>
      <c r="W625" s="1181" t="s">
        <v>7372</v>
      </c>
      <c r="X625" s="1181" t="s">
        <v>7373</v>
      </c>
      <c r="Y625" s="1181" t="s">
        <v>7374</v>
      </c>
      <c r="Z625" s="1182" t="s">
        <v>7375</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7376</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5155</v>
      </c>
      <c r="W627" s="1181" t="s">
        <v>5200</v>
      </c>
      <c r="X627" s="1181" t="s">
        <v>5156</v>
      </c>
      <c r="Y627" s="1181" t="s">
        <v>5031</v>
      </c>
      <c r="Z627" s="1182" t="s">
        <v>7377</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7378</v>
      </c>
      <c r="W628" s="1181" t="s">
        <v>7379</v>
      </c>
      <c r="X628" s="1181" t="s">
        <v>7380</v>
      </c>
      <c r="Y628" s="1181" t="s">
        <v>7381</v>
      </c>
      <c r="Z628" s="1182" t="s">
        <v>7382</v>
      </c>
    </row>
    <row r="629" spans="2:26" ht="12.75" customHeight="1" x14ac:dyDescent="0.2">
      <c r="B629" s="2252" t="str">
        <f t="shared" si="9"/>
        <v>Sangre24</v>
      </c>
      <c r="C629" s="1183"/>
      <c r="D629" s="1189" t="s">
        <v>7383</v>
      </c>
      <c r="E629" s="1179" t="s">
        <v>90</v>
      </c>
      <c r="F629" s="1179">
        <v>24</v>
      </c>
      <c r="G629" s="1190" t="s">
        <v>2549</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7384</v>
      </c>
      <c r="W629" s="1181" t="s">
        <v>7385</v>
      </c>
      <c r="X629" s="1181" t="s">
        <v>7386</v>
      </c>
      <c r="Y629" s="1181" t="s">
        <v>7387</v>
      </c>
      <c r="Z629" s="1182" t="s">
        <v>7388</v>
      </c>
    </row>
    <row r="630" spans="2:26" ht="12.75" customHeight="1" x14ac:dyDescent="0.2">
      <c r="B630" s="2252" t="str">
        <f t="shared" si="9"/>
        <v>Sangre34</v>
      </c>
      <c r="C630" s="1183"/>
      <c r="D630" s="1189" t="s">
        <v>7389</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7390</v>
      </c>
      <c r="W630" s="1181" t="s">
        <v>7391</v>
      </c>
      <c r="X630" s="1181" t="s">
        <v>7392</v>
      </c>
      <c r="Y630" s="1181" t="s">
        <v>7393</v>
      </c>
      <c r="Z630" s="1182" t="s">
        <v>7394</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7395</v>
      </c>
      <c r="W631" s="1181" t="s">
        <v>7396</v>
      </c>
      <c r="X631" s="1181" t="s">
        <v>7397</v>
      </c>
      <c r="Y631" s="1181" t="s">
        <v>7398</v>
      </c>
      <c r="Z631" s="1182" t="s">
        <v>7399</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7400</v>
      </c>
      <c r="W632" s="1181" t="s">
        <v>7401</v>
      </c>
      <c r="X632" s="1181" t="s">
        <v>7402</v>
      </c>
      <c r="Y632" s="1181" t="s">
        <v>7403</v>
      </c>
      <c r="Z632" s="1182" t="s">
        <v>7404</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7405</v>
      </c>
      <c r="W633" s="1181" t="s">
        <v>7406</v>
      </c>
      <c r="X633" s="1181" t="s">
        <v>7407</v>
      </c>
      <c r="Y633" s="1181" t="s">
        <v>7408</v>
      </c>
      <c r="Z633" s="1182" t="s">
        <v>7409</v>
      </c>
    </row>
    <row r="634" spans="2:26" ht="12.75" customHeight="1" x14ac:dyDescent="0.2">
      <c r="B634" s="2252" t="str">
        <f t="shared" si="9"/>
        <v>Sangre74</v>
      </c>
      <c r="C634" s="1183"/>
      <c r="D634" s="1189" t="s">
        <v>7410</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7411</v>
      </c>
      <c r="W634" s="1181" t="s">
        <v>7412</v>
      </c>
      <c r="X634" s="1181" t="s">
        <v>7413</v>
      </c>
      <c r="Y634" s="1181" t="s">
        <v>7414</v>
      </c>
      <c r="Z634" s="1182" t="s">
        <v>7415</v>
      </c>
    </row>
    <row r="635" spans="2:26" ht="12.75" customHeight="1" x14ac:dyDescent="0.2">
      <c r="B635" s="2252" t="str">
        <f t="shared" si="9"/>
        <v>Sangre84</v>
      </c>
      <c r="C635" s="1183"/>
      <c r="D635" s="1189" t="s">
        <v>7416</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7417</v>
      </c>
      <c r="W635" s="1181" t="s">
        <v>7418</v>
      </c>
      <c r="X635" s="1181" t="s">
        <v>7419</v>
      </c>
      <c r="Y635" s="1181" t="s">
        <v>7420</v>
      </c>
      <c r="Z635" s="1182" t="s">
        <v>7421</v>
      </c>
    </row>
    <row r="636" spans="2:26" ht="12.75" customHeight="1" x14ac:dyDescent="0.2">
      <c r="B636" s="2252" t="str">
        <f t="shared" si="9"/>
        <v>Sangre94</v>
      </c>
      <c r="C636" s="1183"/>
      <c r="D636" s="1189" t="s">
        <v>7422</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7423</v>
      </c>
      <c r="W636" s="1181" t="s">
        <v>7424</v>
      </c>
      <c r="X636" s="1181" t="s">
        <v>7425</v>
      </c>
      <c r="Y636" s="1181" t="s">
        <v>7426</v>
      </c>
      <c r="Z636" s="1182" t="s">
        <v>7427</v>
      </c>
    </row>
    <row r="637" spans="2:26" ht="12.75" customHeight="1" x14ac:dyDescent="0.2">
      <c r="B637" s="2252" t="str">
        <f t="shared" si="9"/>
        <v/>
      </c>
      <c r="C637" s="1183"/>
      <c r="D637" s="1189" t="s">
        <v>9139</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9140</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7428</v>
      </c>
      <c r="W638" s="1181" t="s">
        <v>7429</v>
      </c>
      <c r="X638" s="1181" t="s">
        <v>7430</v>
      </c>
      <c r="Y638" s="1181" t="s">
        <v>7431</v>
      </c>
      <c r="Z638" s="1182" t="s">
        <v>9141</v>
      </c>
    </row>
    <row r="639" spans="2:26" ht="12.75" customHeight="1" x14ac:dyDescent="0.2">
      <c r="B639" s="2252" t="str">
        <f t="shared" si="9"/>
        <v>Sueños14</v>
      </c>
      <c r="C639" s="1183"/>
      <c r="D639" s="1189" t="s">
        <v>9142</v>
      </c>
      <c r="E639" s="1179" t="s">
        <v>91</v>
      </c>
      <c r="F639" s="1179">
        <v>14</v>
      </c>
      <c r="G639" s="1190" t="s">
        <v>2549</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7432</v>
      </c>
      <c r="W639" s="1181" t="s">
        <v>7433</v>
      </c>
      <c r="X639" s="1181" t="s">
        <v>7434</v>
      </c>
      <c r="Y639" s="1181" t="s">
        <v>7435</v>
      </c>
      <c r="Z639" s="1182" t="s">
        <v>9143</v>
      </c>
    </row>
    <row r="640" spans="2:26" ht="12.75" customHeight="1" x14ac:dyDescent="0.2">
      <c r="B640" s="2252" t="str">
        <f t="shared" si="9"/>
        <v>Sueños24</v>
      </c>
      <c r="C640" s="1183"/>
      <c r="D640" s="1189" t="s">
        <v>9144</v>
      </c>
      <c r="E640" s="1179" t="s">
        <v>91</v>
      </c>
      <c r="F640" s="1179">
        <v>24</v>
      </c>
      <c r="G640" s="1190" t="s">
        <v>2549</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5157</v>
      </c>
      <c r="W640" s="1181" t="s">
        <v>5031</v>
      </c>
      <c r="X640" s="1181" t="s">
        <v>4834</v>
      </c>
      <c r="Y640" s="1181" t="s">
        <v>9145</v>
      </c>
      <c r="Z640" s="1182" t="s">
        <v>9146</v>
      </c>
    </row>
    <row r="641" spans="2:26" ht="12.75" customHeight="1" x14ac:dyDescent="0.2">
      <c r="B641" s="2252" t="str">
        <f t="shared" si="9"/>
        <v>Sueños34</v>
      </c>
      <c r="C641" s="1183"/>
      <c r="D641" s="1189" t="s">
        <v>9147</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4780</v>
      </c>
      <c r="W641" s="1181" t="s">
        <v>7436</v>
      </c>
      <c r="X641" s="1181" t="s">
        <v>7437</v>
      </c>
      <c r="Y641" s="1181" t="s">
        <v>7438</v>
      </c>
      <c r="Z641" s="1182" t="s">
        <v>9148</v>
      </c>
    </row>
    <row r="642" spans="2:26" ht="12.75" customHeight="1" x14ac:dyDescent="0.2">
      <c r="B642" s="2252" t="str">
        <f t="shared" si="9"/>
        <v>Sueños44</v>
      </c>
      <c r="C642" s="1183"/>
      <c r="D642" s="1189" t="s">
        <v>874</v>
      </c>
      <c r="E642" s="1179" t="s">
        <v>91</v>
      </c>
      <c r="F642" s="1179">
        <v>44</v>
      </c>
      <c r="G642" s="1190" t="s">
        <v>2549</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7439</v>
      </c>
      <c r="W642" s="1181" t="s">
        <v>7440</v>
      </c>
      <c r="X642" s="1181" t="s">
        <v>7441</v>
      </c>
      <c r="Y642" s="1181" t="s">
        <v>9149</v>
      </c>
      <c r="Z642" s="1182" t="s">
        <v>9150</v>
      </c>
    </row>
    <row r="643" spans="2:26" ht="12.75" customHeight="1" x14ac:dyDescent="0.2">
      <c r="B643" s="2252" t="str">
        <f t="shared" si="9"/>
        <v>Sueños54</v>
      </c>
      <c r="C643" s="1183"/>
      <c r="D643" s="1189" t="s">
        <v>9151</v>
      </c>
      <c r="E643" s="1179" t="s">
        <v>91</v>
      </c>
      <c r="F643" s="1179">
        <v>54</v>
      </c>
      <c r="G643" s="1190" t="s">
        <v>2549</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5155</v>
      </c>
      <c r="W643" s="1181" t="s">
        <v>5200</v>
      </c>
      <c r="X643" s="1181" t="s">
        <v>5156</v>
      </c>
      <c r="Y643" s="1181" t="s">
        <v>5157</v>
      </c>
      <c r="Z643" s="1182" t="s">
        <v>9152</v>
      </c>
    </row>
    <row r="644" spans="2:26" ht="12.75" customHeight="1" x14ac:dyDescent="0.2">
      <c r="B644" s="2252" t="str">
        <f t="shared" si="9"/>
        <v>Sueños64</v>
      </c>
      <c r="C644" s="1183"/>
      <c r="D644" s="1189" t="s">
        <v>7442</v>
      </c>
      <c r="E644" s="1179" t="s">
        <v>91</v>
      </c>
      <c r="F644" s="1179">
        <v>64</v>
      </c>
      <c r="G644" s="1190" t="s">
        <v>2549</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7443</v>
      </c>
      <c r="W644" s="1181" t="s">
        <v>7444</v>
      </c>
      <c r="X644" s="1181" t="s">
        <v>7445</v>
      </c>
      <c r="Y644" s="1181" t="s">
        <v>7446</v>
      </c>
      <c r="Z644" s="1182" t="s">
        <v>7447</v>
      </c>
    </row>
    <row r="645" spans="2:26" ht="12.75" customHeight="1" x14ac:dyDescent="0.2">
      <c r="B645" s="2252" t="str">
        <f t="shared" si="9"/>
        <v>Sueños74</v>
      </c>
      <c r="C645" s="1183"/>
      <c r="D645" s="1189" t="s">
        <v>7448</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5200</v>
      </c>
      <c r="W645" s="1181" t="s">
        <v>5156</v>
      </c>
      <c r="X645" s="1181" t="s">
        <v>5157</v>
      </c>
      <c r="Y645" s="1181" t="s">
        <v>5031</v>
      </c>
      <c r="Z645" s="1182" t="s">
        <v>7449</v>
      </c>
    </row>
    <row r="646" spans="2:26" ht="12.75" customHeight="1" x14ac:dyDescent="0.2">
      <c r="B646" s="2252" t="str">
        <f t="shared" si="9"/>
        <v>Sueños84</v>
      </c>
      <c r="C646" s="1183"/>
      <c r="D646" s="1189" t="s">
        <v>9153</v>
      </c>
      <c r="E646" s="1179" t="s">
        <v>91</v>
      </c>
      <c r="F646" s="1179">
        <v>84</v>
      </c>
      <c r="G646" s="1190" t="s">
        <v>2549</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7450</v>
      </c>
      <c r="W646" s="1181" t="s">
        <v>7451</v>
      </c>
      <c r="X646" s="1181" t="s">
        <v>7452</v>
      </c>
      <c r="Y646" s="1181" t="s">
        <v>7453</v>
      </c>
      <c r="Z646" s="1182" t="s">
        <v>7454</v>
      </c>
    </row>
    <row r="647" spans="2:26" ht="12.75" customHeight="1" x14ac:dyDescent="0.2">
      <c r="B647" s="2252" t="str">
        <f t="shared" si="9"/>
        <v>Sueños94</v>
      </c>
      <c r="C647" s="1183"/>
      <c r="D647" s="1189" t="s">
        <v>9154</v>
      </c>
      <c r="E647" s="1179" t="s">
        <v>91</v>
      </c>
      <c r="F647" s="1179">
        <v>94</v>
      </c>
      <c r="G647" s="1190" t="s">
        <v>2549</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7455</v>
      </c>
      <c r="W647" s="1181" t="s">
        <v>7456</v>
      </c>
      <c r="X647" s="1181" t="s">
        <v>7457</v>
      </c>
      <c r="Y647" s="1181" t="s">
        <v>7458</v>
      </c>
      <c r="Z647" s="1182" t="s">
        <v>9155</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7459</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7460</v>
      </c>
      <c r="W649" s="1181" t="s">
        <v>7461</v>
      </c>
      <c r="X649" s="1181" t="s">
        <v>7462</v>
      </c>
      <c r="Y649" s="1181" t="s">
        <v>7463</v>
      </c>
      <c r="Z649" s="1182" t="s">
        <v>7464</v>
      </c>
    </row>
    <row r="650" spans="2:26" ht="12.75" customHeight="1" x14ac:dyDescent="0.2">
      <c r="B650" s="2252" t="str">
        <f t="shared" si="10"/>
        <v>Tiempo14</v>
      </c>
      <c r="C650" s="1183"/>
      <c r="D650" s="1189" t="s">
        <v>7465</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7466</v>
      </c>
      <c r="W650" s="1181" t="s">
        <v>7467</v>
      </c>
      <c r="X650" s="1181" t="s">
        <v>7468</v>
      </c>
      <c r="Y650" s="1181" t="s">
        <v>7469</v>
      </c>
      <c r="Z650" s="1182" t="s">
        <v>7470</v>
      </c>
    </row>
    <row r="651" spans="2:26" ht="12.75" customHeight="1" x14ac:dyDescent="0.2">
      <c r="B651" s="2252" t="str">
        <f t="shared" si="10"/>
        <v>Tiempo24</v>
      </c>
      <c r="C651" s="1183"/>
      <c r="D651" s="1189" t="s">
        <v>7471</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7472</v>
      </c>
      <c r="W651" s="1181" t="s">
        <v>7473</v>
      </c>
      <c r="X651" s="1181" t="s">
        <v>7474</v>
      </c>
      <c r="Y651" s="1181" t="s">
        <v>7475</v>
      </c>
      <c r="Z651" s="1182" t="s">
        <v>7476</v>
      </c>
    </row>
    <row r="652" spans="2:26" ht="12.75" customHeight="1" x14ac:dyDescent="0.2">
      <c r="B652" s="2252" t="str">
        <f t="shared" si="10"/>
        <v>Tiempo34</v>
      </c>
      <c r="C652" s="1183"/>
      <c r="D652" s="1189" t="s">
        <v>7477</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7478</v>
      </c>
      <c r="W652" s="1181" t="s">
        <v>7479</v>
      </c>
      <c r="X652" s="1181" t="s">
        <v>7480</v>
      </c>
      <c r="Y652" s="1181" t="s">
        <v>7481</v>
      </c>
      <c r="Z652" s="1182" t="s">
        <v>7482</v>
      </c>
    </row>
    <row r="653" spans="2:26" ht="12.75" customHeight="1" x14ac:dyDescent="0.2">
      <c r="B653" s="2252" t="str">
        <f t="shared" si="10"/>
        <v>Tiempo44</v>
      </c>
      <c r="C653" s="1183"/>
      <c r="D653" s="1189" t="s">
        <v>7483</v>
      </c>
      <c r="E653" s="1179" t="s">
        <v>92</v>
      </c>
      <c r="F653" s="1179">
        <v>44</v>
      </c>
      <c r="G653" s="1190" t="s">
        <v>2549</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7484</v>
      </c>
      <c r="W653" s="1181" t="s">
        <v>7485</v>
      </c>
      <c r="X653" s="1181" t="s">
        <v>7486</v>
      </c>
      <c r="Y653" s="1181" t="s">
        <v>7487</v>
      </c>
      <c r="Z653" s="1182" t="s">
        <v>7488</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7489</v>
      </c>
      <c r="W654" s="1181" t="s">
        <v>7490</v>
      </c>
      <c r="X654" s="1181" t="s">
        <v>7491</v>
      </c>
      <c r="Y654" s="1181" t="s">
        <v>7492</v>
      </c>
      <c r="Z654" s="1182" t="s">
        <v>7493</v>
      </c>
    </row>
    <row r="655" spans="2:26" ht="12.75" customHeight="1" x14ac:dyDescent="0.2">
      <c r="B655" s="2252" t="str">
        <f t="shared" si="10"/>
        <v>Tiempo64</v>
      </c>
      <c r="C655" s="1183"/>
      <c r="D655" s="1189" t="s">
        <v>7494</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7495</v>
      </c>
      <c r="W655" s="1181" t="s">
        <v>7496</v>
      </c>
      <c r="X655" s="1181" t="s">
        <v>7497</v>
      </c>
      <c r="Y655" s="1181" t="s">
        <v>7498</v>
      </c>
      <c r="Z655" s="1182" t="s">
        <v>7499</v>
      </c>
    </row>
    <row r="656" spans="2:26" ht="12.75" customHeight="1" x14ac:dyDescent="0.2">
      <c r="B656" s="2252" t="str">
        <f t="shared" si="10"/>
        <v>Tiempo74</v>
      </c>
      <c r="C656" s="1183"/>
      <c r="D656" s="1189" t="s">
        <v>7500</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7501</v>
      </c>
      <c r="W656" s="1181" t="s">
        <v>7502</v>
      </c>
      <c r="X656" s="1181" t="s">
        <v>7503</v>
      </c>
      <c r="Y656" s="1181" t="s">
        <v>7504</v>
      </c>
      <c r="Z656" s="1182" t="s">
        <v>7505</v>
      </c>
    </row>
    <row r="657" spans="2:26" ht="12.75" customHeight="1" x14ac:dyDescent="0.2">
      <c r="B657" s="2252" t="str">
        <f t="shared" si="10"/>
        <v>Tiempo84</v>
      </c>
      <c r="C657" s="1183"/>
      <c r="D657" s="1189" t="s">
        <v>7506</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7507</v>
      </c>
      <c r="W657" s="1181" t="s">
        <v>7508</v>
      </c>
      <c r="X657" s="1181" t="s">
        <v>7509</v>
      </c>
      <c r="Y657" s="1181" t="s">
        <v>7510</v>
      </c>
      <c r="Z657" s="1182" t="s">
        <v>7511</v>
      </c>
    </row>
    <row r="658" spans="2:26" ht="12.75" customHeight="1" x14ac:dyDescent="0.2">
      <c r="B658" s="2252" t="str">
        <f t="shared" si="10"/>
        <v>Tiempo94</v>
      </c>
      <c r="C658" s="1183"/>
      <c r="D658" s="1189" t="s">
        <v>7512</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7513</v>
      </c>
      <c r="W658" s="1181" t="s">
        <v>7514</v>
      </c>
      <c r="X658" s="1181" t="s">
        <v>7515</v>
      </c>
      <c r="Y658" s="1181" t="s">
        <v>7516</v>
      </c>
      <c r="Z658" s="1182" t="s">
        <v>7517</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7518</v>
      </c>
      <c r="E660" s="1179" t="s">
        <v>2536</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7519</v>
      </c>
      <c r="W660" s="1181" t="s">
        <v>7520</v>
      </c>
      <c r="X660" s="1181" t="s">
        <v>7521</v>
      </c>
      <c r="Y660" s="1181" t="s">
        <v>7522</v>
      </c>
      <c r="Z660" s="1182" t="s">
        <v>7523</v>
      </c>
    </row>
    <row r="661" spans="2:26" ht="12.75" customHeight="1" x14ac:dyDescent="0.2">
      <c r="B661" s="2252" t="str">
        <f t="shared" si="10"/>
        <v>Umbral14</v>
      </c>
      <c r="C661" s="1183"/>
      <c r="D661" s="1189" t="s">
        <v>7524</v>
      </c>
      <c r="E661" s="1179" t="s">
        <v>2536</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5017</v>
      </c>
      <c r="W661" s="1181" t="s">
        <v>7525</v>
      </c>
      <c r="X661" s="1181" t="s">
        <v>5734</v>
      </c>
      <c r="Y661" s="1181" t="s">
        <v>5735</v>
      </c>
      <c r="Z661" s="1182" t="s">
        <v>7526</v>
      </c>
    </row>
    <row r="662" spans="2:26" ht="12.75" customHeight="1" x14ac:dyDescent="0.2">
      <c r="B662" s="2252" t="str">
        <f t="shared" si="10"/>
        <v>Umbral24</v>
      </c>
      <c r="C662" s="1183"/>
      <c r="D662" s="1189" t="s">
        <v>7527</v>
      </c>
      <c r="E662" s="1179" t="s">
        <v>2536</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4923</v>
      </c>
      <c r="W662" s="1181" t="s">
        <v>4714</v>
      </c>
      <c r="X662" s="1181" t="s">
        <v>7528</v>
      </c>
      <c r="Y662" s="1181" t="s">
        <v>7529</v>
      </c>
      <c r="Z662" s="1182" t="s">
        <v>7530</v>
      </c>
    </row>
    <row r="663" spans="2:26" ht="12.75" customHeight="1" x14ac:dyDescent="0.2">
      <c r="B663" s="2252" t="str">
        <f t="shared" si="10"/>
        <v>Umbral34</v>
      </c>
      <c r="C663" s="1183"/>
      <c r="D663" s="1189" t="s">
        <v>7531</v>
      </c>
      <c r="E663" s="1179" t="s">
        <v>2536</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6308</v>
      </c>
      <c r="W663" s="1181" t="s">
        <v>6309</v>
      </c>
      <c r="X663" s="1181" t="s">
        <v>6310</v>
      </c>
      <c r="Y663" s="1181" t="s">
        <v>6311</v>
      </c>
      <c r="Z663" s="1182" t="s">
        <v>7532</v>
      </c>
    </row>
    <row r="664" spans="2:26" ht="12.75" customHeight="1" x14ac:dyDescent="0.2">
      <c r="B664" s="2252" t="str">
        <f t="shared" si="10"/>
        <v>Umbral44</v>
      </c>
      <c r="C664" s="1183"/>
      <c r="D664" s="1189" t="s">
        <v>9156</v>
      </c>
      <c r="E664" s="1179" t="s">
        <v>2536</v>
      </c>
      <c r="F664" s="1179">
        <v>44</v>
      </c>
      <c r="G664" s="1190" t="s">
        <v>2549</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6308</v>
      </c>
      <c r="W664" s="1181" t="s">
        <v>6310</v>
      </c>
      <c r="X664" s="1181" t="s">
        <v>7533</v>
      </c>
      <c r="Y664" s="1181" t="s">
        <v>7534</v>
      </c>
      <c r="Z664" s="1182" t="s">
        <v>9157</v>
      </c>
    </row>
    <row r="665" spans="2:26" ht="12.75" customHeight="1" x14ac:dyDescent="0.2">
      <c r="B665" s="2252" t="str">
        <f t="shared" si="10"/>
        <v>Umbral54</v>
      </c>
      <c r="C665" s="1183"/>
      <c r="D665" s="1189" t="s">
        <v>897</v>
      </c>
      <c r="E665" s="1179" t="s">
        <v>2536</v>
      </c>
      <c r="F665" s="1179">
        <v>54</v>
      </c>
      <c r="G665" s="1190" t="s">
        <v>2549</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7535</v>
      </c>
      <c r="W665" s="1181" t="s">
        <v>7536</v>
      </c>
      <c r="X665" s="1181" t="s">
        <v>7537</v>
      </c>
      <c r="Y665" s="1181" t="s">
        <v>7538</v>
      </c>
      <c r="Z665" s="1182" t="s">
        <v>7539</v>
      </c>
    </row>
    <row r="666" spans="2:26" ht="12.75" customHeight="1" x14ac:dyDescent="0.2">
      <c r="B666" s="2252" t="str">
        <f t="shared" si="10"/>
        <v>Umbral64</v>
      </c>
      <c r="C666" s="1183"/>
      <c r="D666" s="1189" t="s">
        <v>898</v>
      </c>
      <c r="E666" s="1179" t="s">
        <v>2536</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7540</v>
      </c>
      <c r="W666" s="1181" t="s">
        <v>7541</v>
      </c>
      <c r="X666" s="1181" t="s">
        <v>7542</v>
      </c>
      <c r="Y666" s="1181" t="s">
        <v>7543</v>
      </c>
      <c r="Z666" s="1182" t="s">
        <v>7544</v>
      </c>
    </row>
    <row r="667" spans="2:26" ht="12.75" customHeight="1" x14ac:dyDescent="0.2">
      <c r="B667" s="2252" t="str">
        <f t="shared" si="10"/>
        <v>Umbral74</v>
      </c>
      <c r="C667" s="1183"/>
      <c r="D667" s="1189" t="s">
        <v>7545</v>
      </c>
      <c r="E667" s="1179" t="s">
        <v>2536</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7529</v>
      </c>
      <c r="W667" s="1181" t="s">
        <v>7546</v>
      </c>
      <c r="X667" s="1181" t="s">
        <v>7547</v>
      </c>
      <c r="Y667" s="1181" t="s">
        <v>7548</v>
      </c>
      <c r="Z667" s="1182" t="s">
        <v>7549</v>
      </c>
    </row>
    <row r="668" spans="2:26" ht="12.75" customHeight="1" x14ac:dyDescent="0.2">
      <c r="B668" s="2252" t="str">
        <f t="shared" si="10"/>
        <v>Umbral84</v>
      </c>
      <c r="C668" s="1183"/>
      <c r="D668" s="1189" t="s">
        <v>7550</v>
      </c>
      <c r="E668" s="1179" t="s">
        <v>2536</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7551</v>
      </c>
      <c r="W668" s="1181" t="s">
        <v>7552</v>
      </c>
      <c r="X668" s="1181" t="s">
        <v>7553</v>
      </c>
      <c r="Y668" s="1181" t="s">
        <v>7554</v>
      </c>
      <c r="Z668" s="1182" t="s">
        <v>7555</v>
      </c>
    </row>
    <row r="669" spans="2:26" ht="12.75" customHeight="1" x14ac:dyDescent="0.2">
      <c r="B669" s="2252" t="str">
        <f t="shared" si="10"/>
        <v>Umbral94</v>
      </c>
      <c r="C669" s="1183"/>
      <c r="D669" s="1189" t="s">
        <v>7556</v>
      </c>
      <c r="E669" s="1179" t="s">
        <v>2536</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5172</v>
      </c>
      <c r="W669" s="1181" t="s">
        <v>6338</v>
      </c>
      <c r="X669" s="1181" t="s">
        <v>5174</v>
      </c>
      <c r="Y669" s="1181" t="s">
        <v>7557</v>
      </c>
      <c r="Z669" s="1182" t="s">
        <v>7558</v>
      </c>
    </row>
    <row r="670" spans="2:26" ht="12.75" customHeight="1" x14ac:dyDescent="0.2">
      <c r="B670" s="2252" t="str">
        <f t="shared" si="10"/>
        <v/>
      </c>
      <c r="C670" s="1183"/>
      <c r="D670" s="1189" t="s">
        <v>9158</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7559</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7560</v>
      </c>
      <c r="W671" s="1181" t="s">
        <v>7561</v>
      </c>
      <c r="X671" s="1181" t="s">
        <v>7562</v>
      </c>
      <c r="Y671" s="1181" t="s">
        <v>7563</v>
      </c>
      <c r="Z671" s="1182" t="s">
        <v>7564</v>
      </c>
    </row>
    <row r="672" spans="2:26" ht="12.75" customHeight="1" x14ac:dyDescent="0.2">
      <c r="B672" s="2252" t="str">
        <f t="shared" si="10"/>
        <v>Vacío14</v>
      </c>
      <c r="C672" s="1183"/>
      <c r="D672" s="1189" t="s">
        <v>7565</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7566</v>
      </c>
      <c r="W672" s="1181" t="s">
        <v>7567</v>
      </c>
      <c r="X672" s="1181" t="s">
        <v>7568</v>
      </c>
      <c r="Y672" s="1181" t="s">
        <v>7569</v>
      </c>
      <c r="Z672" s="1182" t="s">
        <v>7570</v>
      </c>
    </row>
    <row r="673" spans="2:26" ht="12.75" customHeight="1" x14ac:dyDescent="0.2">
      <c r="B673" s="2252" t="str">
        <f t="shared" si="10"/>
        <v>Vacío24</v>
      </c>
      <c r="C673" s="1183"/>
      <c r="D673" s="1189" t="s">
        <v>7571</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7572</v>
      </c>
      <c r="W673" s="1181" t="s">
        <v>7573</v>
      </c>
      <c r="X673" s="1181" t="s">
        <v>7574</v>
      </c>
      <c r="Y673" s="1181" t="s">
        <v>7575</v>
      </c>
      <c r="Z673" s="1182" t="s">
        <v>7576</v>
      </c>
    </row>
    <row r="674" spans="2:26" ht="12.75" customHeight="1" x14ac:dyDescent="0.2">
      <c r="B674" s="2252" t="str">
        <f t="shared" si="10"/>
        <v>Vacío34</v>
      </c>
      <c r="C674" s="1183"/>
      <c r="D674" s="1189" t="s">
        <v>7577</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7578</v>
      </c>
      <c r="W674" s="1181" t="s">
        <v>6319</v>
      </c>
      <c r="X674" s="1181" t="s">
        <v>7579</v>
      </c>
      <c r="Y674" s="1181" t="s">
        <v>7580</v>
      </c>
      <c r="Z674" s="1182" t="s">
        <v>7581</v>
      </c>
    </row>
    <row r="675" spans="2:26" ht="12.75" customHeight="1" x14ac:dyDescent="0.2">
      <c r="B675" s="2252" t="str">
        <f t="shared" si="10"/>
        <v>Vacío44</v>
      </c>
      <c r="C675" s="1183"/>
      <c r="D675" s="1189" t="s">
        <v>7582</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6405</v>
      </c>
      <c r="W675" s="1181" t="s">
        <v>4751</v>
      </c>
      <c r="X675" s="1181" t="s">
        <v>7583</v>
      </c>
      <c r="Y675" s="1181" t="s">
        <v>5703</v>
      </c>
      <c r="Z675" s="1182" t="s">
        <v>7584</v>
      </c>
    </row>
    <row r="676" spans="2:26" ht="12.75" customHeight="1" x14ac:dyDescent="0.2">
      <c r="B676" s="2252" t="str">
        <f t="shared" si="10"/>
        <v>Vacío54</v>
      </c>
      <c r="C676" s="1183"/>
      <c r="D676" s="1189" t="s">
        <v>2007</v>
      </c>
      <c r="E676" s="1179" t="s">
        <v>93</v>
      </c>
      <c r="F676" s="1179">
        <v>54</v>
      </c>
      <c r="G676" s="1190" t="s">
        <v>2549</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7585</v>
      </c>
      <c r="W676" s="1181" t="s">
        <v>7586</v>
      </c>
      <c r="X676" s="1181" t="s">
        <v>7587</v>
      </c>
      <c r="Y676" s="1181" t="s">
        <v>7588</v>
      </c>
      <c r="Z676" s="1182" t="s">
        <v>7589</v>
      </c>
    </row>
    <row r="677" spans="2:26" ht="12.75" customHeight="1" x14ac:dyDescent="0.2">
      <c r="B677" s="2252" t="str">
        <f t="shared" si="10"/>
        <v>Vacío64</v>
      </c>
      <c r="C677" s="1183"/>
      <c r="D677" s="1189" t="s">
        <v>7590</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7591</v>
      </c>
      <c r="W677" s="1181" t="s">
        <v>7592</v>
      </c>
      <c r="X677" s="1181" t="s">
        <v>7593</v>
      </c>
      <c r="Y677" s="1181" t="s">
        <v>7594</v>
      </c>
      <c r="Z677" s="1182" t="s">
        <v>7595</v>
      </c>
    </row>
    <row r="678" spans="2:26" ht="12.75" customHeight="1" x14ac:dyDescent="0.2">
      <c r="B678" s="2252" t="str">
        <f t="shared" si="10"/>
        <v>Vacío74</v>
      </c>
      <c r="C678" s="1183"/>
      <c r="D678" s="1189" t="s">
        <v>7596</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7597</v>
      </c>
      <c r="W678" s="1181" t="s">
        <v>7598</v>
      </c>
      <c r="X678" s="1181" t="s">
        <v>7599</v>
      </c>
      <c r="Y678" s="1181" t="s">
        <v>7600</v>
      </c>
      <c r="Z678" s="1182" t="s">
        <v>7601</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7602</v>
      </c>
      <c r="W679" s="1181" t="s">
        <v>7603</v>
      </c>
      <c r="X679" s="1181" t="s">
        <v>7604</v>
      </c>
      <c r="Y679" s="1181" t="s">
        <v>7605</v>
      </c>
      <c r="Z679" s="1182" t="s">
        <v>7606</v>
      </c>
    </row>
    <row r="680" spans="2:26" ht="12.75" customHeight="1" thickBot="1" x14ac:dyDescent="0.25">
      <c r="B680" s="2252" t="str">
        <f t="shared" si="10"/>
        <v>Vacío94</v>
      </c>
      <c r="C680" s="1194"/>
      <c r="D680" s="1195" t="s">
        <v>7607</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7608</v>
      </c>
      <c r="W680" s="1200" t="s">
        <v>7609</v>
      </c>
      <c r="X680" s="1200" t="s">
        <v>7610</v>
      </c>
      <c r="Y680" s="1200" t="s">
        <v>7611</v>
      </c>
      <c r="Z680" s="1201" t="s">
        <v>7612</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324" t="s">
        <v>3130</v>
      </c>
      <c r="D2" s="4325"/>
      <c r="E2" s="4325"/>
      <c r="F2" s="4325"/>
      <c r="G2" s="4326"/>
      <c r="I2" s="4371" t="s">
        <v>3131</v>
      </c>
      <c r="J2" s="4372"/>
      <c r="L2" s="5286" t="s">
        <v>3132</v>
      </c>
    </row>
    <row r="3" spans="1:27" x14ac:dyDescent="0.2">
      <c r="A3" s="618">
        <v>3</v>
      </c>
      <c r="C3" s="4371"/>
      <c r="D3" s="4372"/>
      <c r="E3" s="4372"/>
      <c r="F3" s="4372"/>
      <c r="G3" s="4373"/>
      <c r="I3" s="4371"/>
      <c r="J3" s="4372"/>
      <c r="L3" s="5287"/>
    </row>
    <row r="4" spans="1:27" ht="13.5" thickBot="1" x14ac:dyDescent="0.25">
      <c r="A4" s="618">
        <v>4</v>
      </c>
      <c r="C4" s="619" t="s">
        <v>3133</v>
      </c>
      <c r="D4" s="2164" t="s">
        <v>3134</v>
      </c>
      <c r="E4" s="2165" t="s">
        <v>3135</v>
      </c>
      <c r="F4" s="2165" t="s">
        <v>3136</v>
      </c>
      <c r="G4" s="2166" t="s">
        <v>1754</v>
      </c>
      <c r="I4" s="620" t="s">
        <v>3137</v>
      </c>
      <c r="J4" s="621" t="s">
        <v>3138</v>
      </c>
      <c r="L4" s="622" t="s">
        <v>1693</v>
      </c>
    </row>
    <row r="5" spans="1:27" ht="13.5" thickTop="1" x14ac:dyDescent="0.2">
      <c r="A5" s="618">
        <v>5</v>
      </c>
      <c r="C5" s="2167" t="s">
        <v>1931</v>
      </c>
      <c r="D5" s="2168" t="s">
        <v>3139</v>
      </c>
      <c r="E5" s="2169" t="s">
        <v>3140</v>
      </c>
      <c r="F5" s="2169" t="s">
        <v>3141</v>
      </c>
      <c r="G5" s="2170" t="s">
        <v>3142</v>
      </c>
      <c r="I5" s="623">
        <v>0</v>
      </c>
      <c r="J5" s="624">
        <v>20</v>
      </c>
      <c r="L5" s="622" t="s">
        <v>3143</v>
      </c>
    </row>
    <row r="6" spans="1:27" ht="13.5" thickBot="1" x14ac:dyDescent="0.25">
      <c r="A6" s="618">
        <v>6</v>
      </c>
      <c r="C6" s="2171" t="s">
        <v>1934</v>
      </c>
      <c r="D6" s="2172" t="s">
        <v>3144</v>
      </c>
      <c r="E6" s="2173" t="s">
        <v>3145</v>
      </c>
      <c r="F6" s="2173" t="s">
        <v>3146</v>
      </c>
      <c r="G6" s="2174" t="s">
        <v>3147</v>
      </c>
      <c r="I6" s="625">
        <v>50</v>
      </c>
      <c r="J6" s="626">
        <v>30</v>
      </c>
      <c r="L6" s="627" t="s">
        <v>3148</v>
      </c>
    </row>
    <row r="7" spans="1:27" x14ac:dyDescent="0.2">
      <c r="A7" s="618">
        <v>7</v>
      </c>
      <c r="C7" s="2175" t="s">
        <v>1938</v>
      </c>
      <c r="D7" s="2176" t="s">
        <v>3149</v>
      </c>
      <c r="E7" s="2173" t="s">
        <v>3150</v>
      </c>
      <c r="F7" s="2173" t="s">
        <v>3151</v>
      </c>
      <c r="G7" s="2174" t="s">
        <v>3152</v>
      </c>
      <c r="I7" s="625">
        <v>100</v>
      </c>
      <c r="J7" s="626">
        <v>40</v>
      </c>
    </row>
    <row r="8" spans="1:27" x14ac:dyDescent="0.2">
      <c r="A8" s="618">
        <v>8</v>
      </c>
      <c r="C8" s="2171" t="s">
        <v>2034</v>
      </c>
      <c r="D8" s="2172" t="s">
        <v>3153</v>
      </c>
      <c r="E8" s="2173" t="s">
        <v>3154</v>
      </c>
      <c r="F8" s="2173" t="s">
        <v>3155</v>
      </c>
      <c r="G8" s="2174" t="s">
        <v>3156</v>
      </c>
      <c r="I8" s="623">
        <v>150</v>
      </c>
      <c r="J8" s="624">
        <v>50</v>
      </c>
    </row>
    <row r="9" spans="1:27" x14ac:dyDescent="0.2">
      <c r="A9" s="618">
        <v>9</v>
      </c>
      <c r="C9" s="2175" t="s">
        <v>2029</v>
      </c>
      <c r="D9" s="2176" t="s">
        <v>3157</v>
      </c>
      <c r="E9" s="2173" t="s">
        <v>3158</v>
      </c>
      <c r="F9" s="2173" t="s">
        <v>3159</v>
      </c>
      <c r="G9" s="2174" t="s">
        <v>3160</v>
      </c>
      <c r="I9" s="625">
        <v>200</v>
      </c>
      <c r="J9" s="626">
        <v>60</v>
      </c>
    </row>
    <row r="10" spans="1:27" x14ac:dyDescent="0.2">
      <c r="A10" s="618">
        <v>10</v>
      </c>
      <c r="C10" s="2171" t="s">
        <v>2030</v>
      </c>
      <c r="D10" s="2172" t="s">
        <v>3161</v>
      </c>
      <c r="E10" s="2173" t="s">
        <v>3162</v>
      </c>
      <c r="F10" s="2173" t="s">
        <v>3163</v>
      </c>
      <c r="G10" s="2174" t="s">
        <v>3164</v>
      </c>
      <c r="I10" s="625">
        <v>250</v>
      </c>
      <c r="J10" s="626">
        <v>70</v>
      </c>
    </row>
    <row r="11" spans="1:27" x14ac:dyDescent="0.2">
      <c r="A11" s="618">
        <v>11</v>
      </c>
      <c r="C11" s="2175" t="s">
        <v>3165</v>
      </c>
      <c r="D11" s="2176" t="s">
        <v>3166</v>
      </c>
      <c r="E11" s="2173" t="s">
        <v>3167</v>
      </c>
      <c r="F11" s="2173" t="s">
        <v>3168</v>
      </c>
      <c r="G11" s="2174" t="s">
        <v>3169</v>
      </c>
      <c r="I11" s="623">
        <v>300</v>
      </c>
      <c r="J11" s="624">
        <v>80</v>
      </c>
    </row>
    <row r="12" spans="1:27" ht="13.5" thickBot="1" x14ac:dyDescent="0.25">
      <c r="A12" s="618">
        <v>12</v>
      </c>
      <c r="C12" s="2177" t="s">
        <v>2041</v>
      </c>
      <c r="D12" s="2178" t="s">
        <v>3170</v>
      </c>
      <c r="E12" s="2179" t="s">
        <v>3171</v>
      </c>
      <c r="F12" s="2179" t="s">
        <v>3172</v>
      </c>
      <c r="G12" s="2163" t="s">
        <v>3173</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324" t="s">
        <v>2739</v>
      </c>
      <c r="D15" s="4326"/>
      <c r="F15" s="4324" t="s">
        <v>3174</v>
      </c>
      <c r="G15" s="4325"/>
      <c r="H15" s="4325"/>
      <c r="I15" s="4325"/>
      <c r="J15" s="4325"/>
      <c r="K15" s="4325"/>
      <c r="L15" s="4325"/>
      <c r="M15" s="4325"/>
      <c r="N15" s="4326"/>
      <c r="AA15" s="630"/>
    </row>
    <row r="16" spans="1:27" x14ac:dyDescent="0.2">
      <c r="A16" s="618">
        <v>16</v>
      </c>
      <c r="C16" s="4371"/>
      <c r="D16" s="4373"/>
      <c r="F16" s="4371"/>
      <c r="G16" s="4372"/>
      <c r="H16" s="4372"/>
      <c r="I16" s="4372"/>
      <c r="J16" s="4372"/>
      <c r="K16" s="4372"/>
      <c r="L16" s="4372"/>
      <c r="M16" s="4372"/>
      <c r="N16" s="4373"/>
      <c r="AA16" s="630"/>
    </row>
    <row r="17" spans="1:27" x14ac:dyDescent="0.2">
      <c r="A17" s="618">
        <v>17</v>
      </c>
      <c r="C17" s="634" t="s">
        <v>1754</v>
      </c>
      <c r="D17" s="632" t="s">
        <v>2740</v>
      </c>
      <c r="E17" s="633">
        <v>1</v>
      </c>
      <c r="F17" s="634"/>
      <c r="G17" s="635" t="s">
        <v>1931</v>
      </c>
      <c r="H17" s="636" t="s">
        <v>1934</v>
      </c>
      <c r="I17" s="637" t="s">
        <v>1938</v>
      </c>
      <c r="J17" s="636" t="s">
        <v>2034</v>
      </c>
      <c r="K17" s="637" t="s">
        <v>2029</v>
      </c>
      <c r="L17" s="636" t="s">
        <v>2030</v>
      </c>
      <c r="M17" s="637" t="s">
        <v>3165</v>
      </c>
      <c r="N17" s="638" t="s">
        <v>2041</v>
      </c>
      <c r="AA17" s="630"/>
    </row>
    <row r="18" spans="1:27" x14ac:dyDescent="0.2">
      <c r="A18" s="618">
        <v>18</v>
      </c>
      <c r="C18" s="1832" t="s">
        <v>3175</v>
      </c>
      <c r="D18" s="639">
        <f>COUNTIF(Sheele!$C$33:$J$36,C18)</f>
        <v>0</v>
      </c>
      <c r="E18" s="633">
        <v>2</v>
      </c>
      <c r="F18" s="640" t="s">
        <v>3176</v>
      </c>
      <c r="G18" s="641">
        <v>8</v>
      </c>
      <c r="H18" s="641">
        <v>8</v>
      </c>
      <c r="I18" s="641">
        <v>6</v>
      </c>
      <c r="J18" s="641">
        <v>6</v>
      </c>
      <c r="K18" s="641">
        <v>5</v>
      </c>
      <c r="L18" s="642">
        <v>5</v>
      </c>
      <c r="M18" s="641">
        <v>7</v>
      </c>
      <c r="N18" s="624">
        <v>6</v>
      </c>
      <c r="AA18" s="643"/>
    </row>
    <row r="19" spans="1:27" x14ac:dyDescent="0.2">
      <c r="A19" s="618">
        <v>19</v>
      </c>
      <c r="C19" s="1832" t="s">
        <v>3177</v>
      </c>
      <c r="D19" s="639">
        <f>COUNTIF(Sheele!$C$33:$J$36,C19)</f>
        <v>0</v>
      </c>
      <c r="E19" s="633">
        <v>3</v>
      </c>
      <c r="F19" s="640" t="s">
        <v>3178</v>
      </c>
      <c r="G19" s="641">
        <v>2</v>
      </c>
      <c r="H19" s="641">
        <v>3</v>
      </c>
      <c r="I19" s="641">
        <v>4</v>
      </c>
      <c r="J19" s="641">
        <v>5</v>
      </c>
      <c r="K19" s="641">
        <v>2</v>
      </c>
      <c r="L19" s="642">
        <v>2</v>
      </c>
      <c r="M19" s="641">
        <v>3</v>
      </c>
      <c r="N19" s="624">
        <v>2</v>
      </c>
      <c r="AA19" s="643"/>
    </row>
    <row r="20" spans="1:27" x14ac:dyDescent="0.2">
      <c r="A20" s="618">
        <v>20</v>
      </c>
      <c r="C20" s="1832" t="s">
        <v>3179</v>
      </c>
      <c r="D20" s="639">
        <f>COUNTIF(Sheele!$C$33:$J$36,C20)</f>
        <v>0</v>
      </c>
      <c r="E20" s="633">
        <v>4</v>
      </c>
      <c r="F20" s="640" t="s">
        <v>3180</v>
      </c>
      <c r="G20" s="641">
        <v>8</v>
      </c>
      <c r="H20" s="641">
        <v>6</v>
      </c>
      <c r="I20" s="641">
        <v>5</v>
      </c>
      <c r="J20" s="641">
        <v>6</v>
      </c>
      <c r="K20" s="641">
        <v>6</v>
      </c>
      <c r="L20" s="642">
        <v>6</v>
      </c>
      <c r="M20" s="641">
        <v>6</v>
      </c>
      <c r="N20" s="624">
        <v>8</v>
      </c>
      <c r="AA20" s="643"/>
    </row>
    <row r="21" spans="1:27" x14ac:dyDescent="0.2">
      <c r="A21" s="618">
        <v>21</v>
      </c>
      <c r="C21" s="1832" t="s">
        <v>3181</v>
      </c>
      <c r="D21" s="639">
        <f>COUNTIF(Sheele!$C$33:$J$36,C21)</f>
        <v>0</v>
      </c>
      <c r="E21" s="633">
        <v>5</v>
      </c>
      <c r="F21" s="640" t="s">
        <v>3182</v>
      </c>
      <c r="G21" s="641">
        <v>2</v>
      </c>
      <c r="H21" s="641">
        <v>3</v>
      </c>
      <c r="I21" s="641">
        <v>4</v>
      </c>
      <c r="J21" s="641">
        <v>6</v>
      </c>
      <c r="K21" s="641">
        <v>2</v>
      </c>
      <c r="L21" s="642">
        <v>2</v>
      </c>
      <c r="M21" s="641">
        <v>4</v>
      </c>
      <c r="N21" s="624">
        <v>2</v>
      </c>
      <c r="AA21" s="643"/>
    </row>
    <row r="22" spans="1:27" x14ac:dyDescent="0.2">
      <c r="A22" s="618">
        <v>22</v>
      </c>
      <c r="C22" s="1832" t="s">
        <v>3183</v>
      </c>
      <c r="D22" s="639">
        <f>COUNTIF(Sheele!$C$33:$J$36,C22)</f>
        <v>0</v>
      </c>
      <c r="E22" s="633">
        <v>6</v>
      </c>
      <c r="F22" s="640" t="s">
        <v>3184</v>
      </c>
      <c r="G22" s="641">
        <v>8</v>
      </c>
      <c r="H22" s="641">
        <v>8</v>
      </c>
      <c r="I22" s="641">
        <v>7</v>
      </c>
      <c r="J22" s="641">
        <v>6</v>
      </c>
      <c r="K22" s="641">
        <v>9</v>
      </c>
      <c r="L22" s="642">
        <v>9</v>
      </c>
      <c r="M22" s="641">
        <v>7</v>
      </c>
      <c r="N22" s="624">
        <v>9</v>
      </c>
      <c r="AA22" s="643"/>
    </row>
    <row r="23" spans="1:27" x14ac:dyDescent="0.2">
      <c r="A23" s="618">
        <v>23</v>
      </c>
      <c r="C23" s="1832" t="s">
        <v>3185</v>
      </c>
      <c r="D23" s="639">
        <f>COUNTIF(Sheele!$C$33:$J$36,C23)</f>
        <v>0</v>
      </c>
      <c r="E23" s="633">
        <v>7</v>
      </c>
      <c r="F23" s="640" t="s">
        <v>3186</v>
      </c>
      <c r="G23" s="641">
        <v>6</v>
      </c>
      <c r="H23" s="641">
        <v>6</v>
      </c>
      <c r="I23" s="641">
        <v>5</v>
      </c>
      <c r="J23" s="641">
        <v>6</v>
      </c>
      <c r="K23" s="641">
        <v>7</v>
      </c>
      <c r="L23" s="642">
        <v>7</v>
      </c>
      <c r="M23" s="641">
        <v>8</v>
      </c>
      <c r="N23" s="624">
        <v>10</v>
      </c>
      <c r="AA23" s="643"/>
    </row>
    <row r="24" spans="1:27" x14ac:dyDescent="0.2">
      <c r="A24" s="618">
        <v>24</v>
      </c>
      <c r="C24" s="1832" t="s">
        <v>3187</v>
      </c>
      <c r="D24" s="639">
        <f>COUNTIF(Sheele!$C$33:$J$36,C24)</f>
        <v>0</v>
      </c>
      <c r="E24" s="633">
        <v>8</v>
      </c>
      <c r="F24" s="640" t="s">
        <v>3188</v>
      </c>
      <c r="G24" s="641">
        <v>8</v>
      </c>
      <c r="H24" s="641">
        <v>8</v>
      </c>
      <c r="I24" s="641">
        <v>8</v>
      </c>
      <c r="J24" s="641">
        <v>8</v>
      </c>
      <c r="K24" s="641">
        <v>9</v>
      </c>
      <c r="L24" s="642">
        <v>9</v>
      </c>
      <c r="M24" s="641">
        <v>8</v>
      </c>
      <c r="N24" s="624">
        <v>8</v>
      </c>
      <c r="AA24" s="643"/>
    </row>
    <row r="25" spans="1:27" ht="13.5" thickBot="1" x14ac:dyDescent="0.25">
      <c r="A25" s="618">
        <v>25</v>
      </c>
      <c r="C25" s="1833" t="s">
        <v>3189</v>
      </c>
      <c r="D25" s="644">
        <f>COUNTIF(Sheele!$C$33:$J$36,C25)</f>
        <v>0</v>
      </c>
      <c r="E25" s="633">
        <v>9</v>
      </c>
      <c r="F25" s="645" t="s">
        <v>3190</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324" t="s">
        <v>3191</v>
      </c>
      <c r="D27" s="4325"/>
      <c r="E27" s="4325"/>
      <c r="F27" s="4325"/>
      <c r="G27" s="4325"/>
      <c r="H27" s="4325"/>
      <c r="I27" s="4325"/>
      <c r="J27" s="4325"/>
      <c r="K27" s="4326"/>
    </row>
    <row r="28" spans="1:27" ht="12.75" customHeight="1" thickBot="1" x14ac:dyDescent="0.25">
      <c r="A28" s="618">
        <v>28</v>
      </c>
      <c r="C28" s="5288"/>
      <c r="D28" s="5289"/>
      <c r="E28" s="5289"/>
      <c r="F28" s="5289"/>
      <c r="G28" s="5289"/>
      <c r="H28" s="5289"/>
      <c r="I28" s="5289"/>
      <c r="J28" s="5289"/>
      <c r="K28" s="5290"/>
    </row>
    <row r="29" spans="1:27" ht="12.75" customHeight="1" x14ac:dyDescent="0.2">
      <c r="A29" s="618">
        <v>29</v>
      </c>
      <c r="B29" s="1583">
        <v>1</v>
      </c>
      <c r="C29" s="1454" t="s">
        <v>1687</v>
      </c>
      <c r="D29" s="631" t="s">
        <v>1931</v>
      </c>
      <c r="E29" s="649" t="s">
        <v>1934</v>
      </c>
      <c r="F29" s="631" t="s">
        <v>1938</v>
      </c>
      <c r="G29" s="649" t="s">
        <v>2034</v>
      </c>
      <c r="H29" s="631" t="s">
        <v>2029</v>
      </c>
      <c r="I29" s="649" t="s">
        <v>2030</v>
      </c>
      <c r="J29" s="631" t="s">
        <v>3165</v>
      </c>
      <c r="K29" s="650" t="s">
        <v>2041</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8229</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3126</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8230</v>
      </c>
      <c r="D77" s="1573"/>
      <c r="E77" s="1573"/>
      <c r="F77" s="1573"/>
      <c r="G77" s="1573"/>
      <c r="H77" s="1573"/>
      <c r="I77" s="1573"/>
      <c r="J77" s="1573"/>
      <c r="K77" s="1574"/>
    </row>
    <row r="78" spans="1:11" x14ac:dyDescent="0.2">
      <c r="A78" s="618">
        <v>78</v>
      </c>
      <c r="B78" s="1583">
        <v>50</v>
      </c>
      <c r="C78" s="1461" t="s">
        <v>8231</v>
      </c>
      <c r="D78" s="1575"/>
      <c r="E78" s="1575"/>
      <c r="F78" s="1575"/>
      <c r="G78" s="1575"/>
      <c r="H78" s="1575"/>
      <c r="I78" s="1575"/>
      <c r="J78" s="1575"/>
      <c r="K78" s="1576"/>
    </row>
    <row r="79" spans="1:11" x14ac:dyDescent="0.2">
      <c r="A79" s="618">
        <v>79</v>
      </c>
      <c r="B79" s="1583">
        <v>51</v>
      </c>
      <c r="C79" s="1462" t="s">
        <v>8232</v>
      </c>
      <c r="D79" s="1573"/>
      <c r="E79" s="1573"/>
      <c r="F79" s="1573"/>
      <c r="G79" s="1573"/>
      <c r="H79" s="1573"/>
      <c r="I79" s="1573"/>
      <c r="J79" s="1573"/>
      <c r="K79" s="1574"/>
    </row>
    <row r="80" spans="1:11" x14ac:dyDescent="0.2">
      <c r="A80" s="618">
        <v>80</v>
      </c>
      <c r="B80" s="1583">
        <v>52</v>
      </c>
      <c r="C80" s="1461" t="s">
        <v>8233</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78" t="s">
        <v>3192</v>
      </c>
      <c r="D89" s="5279"/>
      <c r="E89" s="5279"/>
      <c r="F89" s="5279"/>
      <c r="G89" s="651" t="s">
        <v>3193</v>
      </c>
      <c r="H89" s="652"/>
      <c r="I89" s="653"/>
      <c r="J89" s="653"/>
      <c r="K89" s="653"/>
      <c r="L89" s="653"/>
      <c r="M89" s="653"/>
      <c r="N89" s="653"/>
      <c r="O89" s="653"/>
      <c r="P89" s="653"/>
      <c r="Q89" s="653"/>
      <c r="R89" s="5282" t="s">
        <v>3194</v>
      </c>
    </row>
    <row r="90" spans="1:18" ht="13.5" thickBot="1" x14ac:dyDescent="0.25">
      <c r="C90" s="5284" t="s">
        <v>3195</v>
      </c>
      <c r="D90" s="5284"/>
      <c r="E90" s="5284"/>
      <c r="F90" s="655" t="s">
        <v>2740</v>
      </c>
      <c r="G90" s="654" t="s">
        <v>3196</v>
      </c>
      <c r="H90" s="655" t="s">
        <v>3197</v>
      </c>
      <c r="I90" s="631"/>
      <c r="J90" s="631"/>
      <c r="K90" s="631"/>
      <c r="L90" s="5285" t="s">
        <v>1866</v>
      </c>
      <c r="M90" s="5285"/>
      <c r="N90" s="5285"/>
      <c r="O90" s="5285"/>
      <c r="P90" s="5285"/>
      <c r="Q90" s="5285"/>
      <c r="R90" s="5283"/>
    </row>
    <row r="91" spans="1:18" x14ac:dyDescent="0.2">
      <c r="B91" s="656">
        <f>H91</f>
        <v>0</v>
      </c>
      <c r="C91" s="1939" t="s">
        <v>3198</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3199</v>
      </c>
      <c r="D92" s="657"/>
      <c r="E92" s="657"/>
      <c r="F92" s="658">
        <f>COUNTIF(Sheele!$C$20:$F$29,C92)</f>
        <v>0</v>
      </c>
      <c r="G92" s="1925">
        <v>1</v>
      </c>
      <c r="H92" s="1925">
        <f>IF(OR($F92=0,$G92=0),0,MAX($H$91:H91)+1)</f>
        <v>0</v>
      </c>
      <c r="I92" s="1925" t="s">
        <v>1769</v>
      </c>
      <c r="J92" s="1927" t="s">
        <v>1769</v>
      </c>
      <c r="K92" s="1925" t="s">
        <v>1769</v>
      </c>
      <c r="L92" s="5250" t="s">
        <v>3200</v>
      </c>
      <c r="M92" s="5268"/>
      <c r="N92" s="5268"/>
      <c r="O92" s="5268"/>
      <c r="P92" s="5268"/>
      <c r="Q92" s="5268"/>
      <c r="R92" s="1944" t="s">
        <v>1769</v>
      </c>
    </row>
    <row r="93" spans="1:18" x14ac:dyDescent="0.2">
      <c r="B93" s="659">
        <f t="shared" si="0"/>
        <v>0</v>
      </c>
      <c r="C93" s="657" t="s">
        <v>3201</v>
      </c>
      <c r="D93" s="657"/>
      <c r="E93" s="657"/>
      <c r="F93" s="658">
        <f>COUNTIF(Sheele!$C$20:$F$29,C93)</f>
        <v>0</v>
      </c>
      <c r="G93" s="1925">
        <v>1</v>
      </c>
      <c r="H93" s="1925">
        <f>IF(OR($F93=0,$G93=0),0,MAX($H$91:H92)+1)</f>
        <v>0</v>
      </c>
      <c r="I93" s="1925" t="s">
        <v>1769</v>
      </c>
      <c r="J93" s="1925" t="s">
        <v>1769</v>
      </c>
      <c r="K93" s="1925" t="s">
        <v>1769</v>
      </c>
      <c r="L93" s="5250" t="s">
        <v>3202</v>
      </c>
      <c r="M93" s="5268"/>
      <c r="N93" s="5268"/>
      <c r="O93" s="5268"/>
      <c r="P93" s="5268"/>
      <c r="Q93" s="5268"/>
      <c r="R93" s="1944" t="s">
        <v>1769</v>
      </c>
    </row>
    <row r="94" spans="1:18" x14ac:dyDescent="0.2">
      <c r="B94" s="659">
        <f t="shared" si="0"/>
        <v>0</v>
      </c>
      <c r="C94" s="657" t="s">
        <v>3203</v>
      </c>
      <c r="D94" s="657"/>
      <c r="E94" s="657"/>
      <c r="F94" s="658">
        <f>COUNTIF(Sheele!$C$20:$F$29,C94)</f>
        <v>0</v>
      </c>
      <c r="G94" s="1925">
        <v>1</v>
      </c>
      <c r="H94" s="1925">
        <f>IF(OR($F94=0,$G94=0),0,MAX($H$91:H93)+1)</f>
        <v>0</v>
      </c>
      <c r="I94" s="1925" t="s">
        <v>1769</v>
      </c>
      <c r="J94" s="1927" t="s">
        <v>1769</v>
      </c>
      <c r="K94" s="1925" t="s">
        <v>1769</v>
      </c>
      <c r="L94" s="5250" t="s">
        <v>3204</v>
      </c>
      <c r="M94" s="5268"/>
      <c r="N94" s="5268"/>
      <c r="O94" s="5268"/>
      <c r="P94" s="5268"/>
      <c r="Q94" s="5268"/>
      <c r="R94" s="1944" t="s">
        <v>1769</v>
      </c>
    </row>
    <row r="95" spans="1:18" x14ac:dyDescent="0.2">
      <c r="B95" s="659">
        <f t="shared" si="0"/>
        <v>0</v>
      </c>
      <c r="C95" s="657" t="s">
        <v>3205</v>
      </c>
      <c r="D95" s="657"/>
      <c r="E95" s="657"/>
      <c r="F95" s="658">
        <f>COUNTIF(Sheele!$C$20:$F$29,C95)</f>
        <v>0</v>
      </c>
      <c r="G95" s="1925">
        <v>1</v>
      </c>
      <c r="H95" s="1925">
        <f>IF(OR($F95=0,$G95=0),0,MAX($H$91:H94)+1)</f>
        <v>0</v>
      </c>
      <c r="I95" s="1925" t="s">
        <v>1769</v>
      </c>
      <c r="J95" s="1927" t="s">
        <v>1769</v>
      </c>
      <c r="K95" s="1925" t="s">
        <v>1769</v>
      </c>
      <c r="L95" s="5250" t="s">
        <v>3206</v>
      </c>
      <c r="M95" s="5268"/>
      <c r="N95" s="5268"/>
      <c r="O95" s="5268"/>
      <c r="P95" s="5268"/>
      <c r="Q95" s="5268"/>
      <c r="R95" s="1944" t="s">
        <v>1769</v>
      </c>
    </row>
    <row r="96" spans="1:18" x14ac:dyDescent="0.2">
      <c r="B96" s="659">
        <f t="shared" si="0"/>
        <v>0</v>
      </c>
      <c r="C96" s="657" t="s">
        <v>3207</v>
      </c>
      <c r="D96" s="657"/>
      <c r="E96" s="657"/>
      <c r="F96" s="658">
        <f>COUNTIF(Sheele!$C$20:$F$29,C96)</f>
        <v>0</v>
      </c>
      <c r="G96" s="1925">
        <v>1</v>
      </c>
      <c r="H96" s="1925">
        <f>IF(OR($F96=0,$G96=0),0,MAX($H$91:H95)+1)</f>
        <v>0</v>
      </c>
      <c r="I96" s="1925" t="s">
        <v>1769</v>
      </c>
      <c r="J96" s="1925" t="s">
        <v>1769</v>
      </c>
      <c r="K96" s="1925" t="s">
        <v>1769</v>
      </c>
      <c r="L96" s="5276" t="s">
        <v>3208</v>
      </c>
      <c r="M96" s="5268"/>
      <c r="N96" s="5268"/>
      <c r="O96" s="5268"/>
      <c r="P96" s="5268"/>
      <c r="Q96" s="5268"/>
      <c r="R96" s="1944" t="s">
        <v>1769</v>
      </c>
    </row>
    <row r="97" spans="2:18" x14ac:dyDescent="0.2">
      <c r="B97" s="659">
        <f t="shared" si="0"/>
        <v>0</v>
      </c>
      <c r="C97" s="657" t="s">
        <v>3209</v>
      </c>
      <c r="D97" s="657"/>
      <c r="E97" s="657"/>
      <c r="F97" s="658"/>
      <c r="G97" s="1925"/>
      <c r="H97" s="1925"/>
      <c r="I97" s="1925" t="s">
        <v>1769</v>
      </c>
      <c r="J97" s="1927" t="s">
        <v>1769</v>
      </c>
      <c r="K97" s="1925" t="s">
        <v>1769</v>
      </c>
      <c r="L97" s="5250"/>
      <c r="M97" s="5268"/>
      <c r="N97" s="5268"/>
      <c r="O97" s="5268"/>
      <c r="P97" s="5268"/>
      <c r="Q97" s="5268"/>
      <c r="R97" s="1945"/>
    </row>
    <row r="98" spans="2:18" x14ac:dyDescent="0.2">
      <c r="B98" s="659">
        <f t="shared" si="0"/>
        <v>0</v>
      </c>
      <c r="C98" s="657" t="s">
        <v>3210</v>
      </c>
      <c r="D98" s="657"/>
      <c r="E98" s="657"/>
      <c r="F98" s="658">
        <f>COUNTIF(Sheele!$C$20:$F$29,C98)</f>
        <v>0</v>
      </c>
      <c r="G98" s="1925"/>
      <c r="H98" s="1925">
        <f>IF(OR($F98=0,$G98=0),0,MAX($H$91:H97)+1)</f>
        <v>0</v>
      </c>
      <c r="I98" s="1925" t="s">
        <v>1769</v>
      </c>
      <c r="J98" s="1925" t="s">
        <v>1769</v>
      </c>
      <c r="K98" s="1925" t="s">
        <v>1769</v>
      </c>
      <c r="L98" s="5250" t="s">
        <v>3211</v>
      </c>
      <c r="M98" s="5268"/>
      <c r="N98" s="5268"/>
      <c r="O98" s="5268"/>
      <c r="P98" s="5268"/>
      <c r="Q98" s="5268"/>
      <c r="R98" s="1945"/>
    </row>
    <row r="99" spans="2:18" x14ac:dyDescent="0.2">
      <c r="B99" s="659">
        <f t="shared" si="0"/>
        <v>0</v>
      </c>
      <c r="C99" s="657" t="s">
        <v>3212</v>
      </c>
      <c r="D99" s="657"/>
      <c r="E99" s="657"/>
      <c r="F99" s="658">
        <f>COUNTIF(Sheele!$C$20:$F$29,C99)</f>
        <v>0</v>
      </c>
      <c r="G99" s="1925"/>
      <c r="H99" s="1925">
        <f>IF(OR($F99=0,$G99=0),0,MAX($H$91:H98)+1)</f>
        <v>0</v>
      </c>
      <c r="I99" s="1925" t="s">
        <v>1769</v>
      </c>
      <c r="J99" s="1925" t="s">
        <v>1769</v>
      </c>
      <c r="K99" s="1925" t="s">
        <v>1769</v>
      </c>
      <c r="L99" s="5250" t="s">
        <v>3213</v>
      </c>
      <c r="M99" s="5268"/>
      <c r="N99" s="5268"/>
      <c r="O99" s="5268"/>
      <c r="P99" s="5268"/>
      <c r="Q99" s="5268"/>
      <c r="R99" s="1945"/>
    </row>
    <row r="100" spans="2:18" x14ac:dyDescent="0.2">
      <c r="B100" s="659">
        <f t="shared" si="0"/>
        <v>0</v>
      </c>
      <c r="C100" s="657" t="s">
        <v>3214</v>
      </c>
      <c r="D100" s="657"/>
      <c r="E100" s="657"/>
      <c r="F100" s="658">
        <f>COUNTIF(Sheele!$C$20:$F$29,C100)</f>
        <v>0</v>
      </c>
      <c r="G100" s="1925"/>
      <c r="H100" s="1925">
        <f>IF(OR($F100=0,$G100=0),0,MAX($H$91:H99)+1)</f>
        <v>0</v>
      </c>
      <c r="I100" s="1925" t="s">
        <v>1769</v>
      </c>
      <c r="J100" s="1927" t="s">
        <v>1769</v>
      </c>
      <c r="K100" s="1925" t="s">
        <v>1769</v>
      </c>
      <c r="L100" s="5250" t="s">
        <v>3215</v>
      </c>
      <c r="M100" s="5268"/>
      <c r="N100" s="5268"/>
      <c r="O100" s="5268"/>
      <c r="P100" s="5268"/>
      <c r="Q100" s="5268"/>
      <c r="R100" s="1945"/>
    </row>
    <row r="101" spans="2:18" x14ac:dyDescent="0.2">
      <c r="B101" s="659">
        <f t="shared" si="0"/>
        <v>0</v>
      </c>
      <c r="C101" s="657" t="s">
        <v>3216</v>
      </c>
      <c r="D101" s="657"/>
      <c r="E101" s="660"/>
      <c r="F101" s="658">
        <f>COUNTIF(Sheele!$C$20:$F$29,C101)</f>
        <v>0</v>
      </c>
      <c r="G101" s="1925"/>
      <c r="H101" s="1925">
        <f>IF(OR($F101=0,$G101=0),0,MAX($H$91:H100)+1)</f>
        <v>0</v>
      </c>
      <c r="I101" s="1925" t="s">
        <v>1769</v>
      </c>
      <c r="J101" s="1927" t="s">
        <v>1769</v>
      </c>
      <c r="K101" s="1925" t="s">
        <v>1769</v>
      </c>
      <c r="L101" s="5276" t="s">
        <v>3217</v>
      </c>
      <c r="M101" s="5268"/>
      <c r="N101" s="5268"/>
      <c r="O101" s="5268"/>
      <c r="P101" s="5268"/>
      <c r="Q101" s="5268"/>
      <c r="R101" s="1945"/>
    </row>
    <row r="102" spans="2:18" x14ac:dyDescent="0.2">
      <c r="B102" s="659">
        <f t="shared" si="0"/>
        <v>0</v>
      </c>
      <c r="C102" s="657" t="s">
        <v>3218</v>
      </c>
      <c r="D102" s="657"/>
      <c r="E102" s="657"/>
      <c r="F102" s="658"/>
      <c r="G102" s="1925"/>
      <c r="H102" s="1925"/>
      <c r="I102" s="1925" t="s">
        <v>1769</v>
      </c>
      <c r="J102" s="1925" t="s">
        <v>1769</v>
      </c>
      <c r="K102" s="1925" t="s">
        <v>1769</v>
      </c>
      <c r="L102" s="5250"/>
      <c r="M102" s="5268"/>
      <c r="N102" s="5268"/>
      <c r="O102" s="5268"/>
      <c r="P102" s="5268"/>
      <c r="Q102" s="5268"/>
      <c r="R102" s="1945"/>
    </row>
    <row r="103" spans="2:18" x14ac:dyDescent="0.2">
      <c r="B103" s="659">
        <f t="shared" si="0"/>
        <v>0</v>
      </c>
      <c r="C103" s="657" t="s">
        <v>3219</v>
      </c>
      <c r="D103" s="657"/>
      <c r="E103" s="657"/>
      <c r="F103" s="658">
        <f>COUNTIF(Sheele!$C$20:$F$29,C103)</f>
        <v>0</v>
      </c>
      <c r="G103" s="1925"/>
      <c r="H103" s="1925">
        <f>IF(OR($F103=0,$G103=0),0,MAX($H$91:H102)+1)</f>
        <v>0</v>
      </c>
      <c r="I103" s="1925" t="s">
        <v>1769</v>
      </c>
      <c r="J103" s="1927" t="s">
        <v>1769</v>
      </c>
      <c r="K103" s="1925" t="s">
        <v>1769</v>
      </c>
      <c r="L103" s="5276" t="s">
        <v>3220</v>
      </c>
      <c r="M103" s="5268"/>
      <c r="N103" s="5268"/>
      <c r="O103" s="5268"/>
      <c r="P103" s="5268"/>
      <c r="Q103" s="5268"/>
      <c r="R103" s="1944" t="s">
        <v>1769</v>
      </c>
    </row>
    <row r="104" spans="2:18" x14ac:dyDescent="0.2">
      <c r="B104" s="659">
        <f t="shared" si="0"/>
        <v>0</v>
      </c>
      <c r="C104" s="657" t="s">
        <v>3221</v>
      </c>
      <c r="D104" s="657"/>
      <c r="E104" s="657"/>
      <c r="F104" s="658">
        <f>COUNTIF(Sheele!$C$20:$F$29,C104)</f>
        <v>0</v>
      </c>
      <c r="G104" s="1925"/>
      <c r="H104" s="1925">
        <f>IF(OR($F104=0,$G104=0),0,MAX($H$91:H103)+1)</f>
        <v>0</v>
      </c>
      <c r="I104" s="1925" t="s">
        <v>1769</v>
      </c>
      <c r="J104" s="1925" t="s">
        <v>1769</v>
      </c>
      <c r="K104" s="1925" t="s">
        <v>1769</v>
      </c>
      <c r="L104" s="5276" t="s">
        <v>3222</v>
      </c>
      <c r="M104" s="5268"/>
      <c r="N104" s="5268"/>
      <c r="O104" s="5268"/>
      <c r="P104" s="5268"/>
      <c r="Q104" s="5268"/>
      <c r="R104" s="1944" t="s">
        <v>1769</v>
      </c>
    </row>
    <row r="105" spans="2:18" x14ac:dyDescent="0.2">
      <c r="B105" s="659">
        <f t="shared" si="0"/>
        <v>0</v>
      </c>
      <c r="C105" s="657" t="s">
        <v>3223</v>
      </c>
      <c r="D105" s="657"/>
      <c r="E105" s="657"/>
      <c r="F105" s="658">
        <f>COUNTIF(Sheele!$C$20:$F$29,C105)</f>
        <v>0</v>
      </c>
      <c r="G105" s="1925"/>
      <c r="H105" s="1925">
        <f>IF(OR($F105=0,$G105=0),0,MAX($H$91:H104)+1)</f>
        <v>0</v>
      </c>
      <c r="I105" s="1925" t="s">
        <v>1769</v>
      </c>
      <c r="J105" s="1927" t="s">
        <v>1769</v>
      </c>
      <c r="K105" s="1925" t="s">
        <v>1769</v>
      </c>
      <c r="L105" s="5276" t="s">
        <v>3224</v>
      </c>
      <c r="M105" s="5268"/>
      <c r="N105" s="5268"/>
      <c r="O105" s="5268"/>
      <c r="P105" s="5268"/>
      <c r="Q105" s="5268"/>
      <c r="R105" s="1944" t="s">
        <v>1769</v>
      </c>
    </row>
    <row r="106" spans="2:18" x14ac:dyDescent="0.2">
      <c r="B106" s="659">
        <f t="shared" si="0"/>
        <v>0</v>
      </c>
      <c r="C106" s="657" t="s">
        <v>3225</v>
      </c>
      <c r="D106" s="657"/>
      <c r="E106" s="657"/>
      <c r="F106" s="658"/>
      <c r="G106" s="1925"/>
      <c r="H106" s="1925"/>
      <c r="I106" s="1925" t="s">
        <v>1769</v>
      </c>
      <c r="J106" s="1925" t="s">
        <v>1769</v>
      </c>
      <c r="K106" s="1925" t="s">
        <v>1769</v>
      </c>
      <c r="L106" s="5250"/>
      <c r="M106" s="5268"/>
      <c r="N106" s="5268"/>
      <c r="O106" s="5268"/>
      <c r="P106" s="5268"/>
      <c r="Q106" s="5268"/>
      <c r="R106" s="1945"/>
    </row>
    <row r="107" spans="2:18" x14ac:dyDescent="0.2">
      <c r="B107" s="659">
        <f t="shared" si="0"/>
        <v>0</v>
      </c>
      <c r="C107" s="657" t="s">
        <v>3226</v>
      </c>
      <c r="D107" s="657"/>
      <c r="E107" s="657"/>
      <c r="F107" s="658">
        <f>COUNTIF(Sheele!$C$20:$F$29,C107)</f>
        <v>0</v>
      </c>
      <c r="G107" s="1925"/>
      <c r="H107" s="1925">
        <f>IF(OR($F107=0,$G107=0),0,MAX($H$91:H106)+1)</f>
        <v>0</v>
      </c>
      <c r="I107" s="1925" t="s">
        <v>1769</v>
      </c>
      <c r="J107" s="1927" t="s">
        <v>1769</v>
      </c>
      <c r="K107" s="1925" t="s">
        <v>1769</v>
      </c>
      <c r="L107" s="5250" t="s">
        <v>3227</v>
      </c>
      <c r="M107" s="5268"/>
      <c r="N107" s="5268"/>
      <c r="O107" s="5268"/>
      <c r="P107" s="5268"/>
      <c r="Q107" s="5268"/>
      <c r="R107" s="1944" t="s">
        <v>1769</v>
      </c>
    </row>
    <row r="108" spans="2:18" x14ac:dyDescent="0.2">
      <c r="B108" s="659">
        <f t="shared" si="0"/>
        <v>0</v>
      </c>
      <c r="C108" s="657" t="s">
        <v>3228</v>
      </c>
      <c r="D108" s="657"/>
      <c r="E108" s="657"/>
      <c r="F108" s="658">
        <f>COUNTIF(Sheele!$C$20:$F$29,C108)</f>
        <v>0</v>
      </c>
      <c r="G108" s="1925"/>
      <c r="H108" s="1925">
        <f>IF(OR($F108=0,$G108=0),0,MAX($H$91:H107)+1)</f>
        <v>0</v>
      </c>
      <c r="I108" s="1925" t="s">
        <v>1769</v>
      </c>
      <c r="J108" s="1925" t="s">
        <v>1769</v>
      </c>
      <c r="K108" s="1925" t="s">
        <v>1769</v>
      </c>
      <c r="L108" s="5276" t="s">
        <v>3229</v>
      </c>
      <c r="M108" s="5268"/>
      <c r="N108" s="5268"/>
      <c r="O108" s="5268"/>
      <c r="P108" s="5268"/>
      <c r="Q108" s="5268"/>
      <c r="R108" s="1944" t="s">
        <v>1769</v>
      </c>
    </row>
    <row r="109" spans="2:18" ht="13.5" thickBot="1" x14ac:dyDescent="0.25">
      <c r="B109" s="659">
        <f t="shared" si="0"/>
        <v>0</v>
      </c>
      <c r="C109" s="657" t="s">
        <v>3230</v>
      </c>
      <c r="D109" s="657"/>
      <c r="E109" s="657"/>
      <c r="F109" s="658">
        <f>COUNTIF(Sheele!$C$20:$F$29,C109)</f>
        <v>0</v>
      </c>
      <c r="G109" s="1925"/>
      <c r="H109" s="1925">
        <f>IF(OR($F109=0,$G109=0),0,MAX($H$91:H108)+1)</f>
        <v>0</v>
      </c>
      <c r="I109" s="1925" t="s">
        <v>1769</v>
      </c>
      <c r="J109" s="1927" t="s">
        <v>1769</v>
      </c>
      <c r="K109" s="1925" t="s">
        <v>1769</v>
      </c>
      <c r="L109" s="5277" t="s">
        <v>3231</v>
      </c>
      <c r="M109" s="5272"/>
      <c r="N109" s="5272"/>
      <c r="O109" s="5272"/>
      <c r="P109" s="5272"/>
      <c r="Q109" s="5272"/>
      <c r="R109" s="1944" t="s">
        <v>1769</v>
      </c>
    </row>
    <row r="110" spans="2:18" ht="13.5" thickBot="1" x14ac:dyDescent="0.25">
      <c r="B110" s="659">
        <f>G110</f>
        <v>0</v>
      </c>
      <c r="C110" s="5280" t="s">
        <v>3232</v>
      </c>
      <c r="D110" s="5281"/>
      <c r="E110" s="5281"/>
      <c r="F110" s="661" t="s">
        <v>3233</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3139</v>
      </c>
      <c r="D111" s="664"/>
      <c r="E111" s="664"/>
      <c r="F111" s="665"/>
      <c r="G111" s="666"/>
      <c r="H111" s="667"/>
      <c r="I111" s="668" t="s">
        <v>3234</v>
      </c>
      <c r="J111" s="669" t="s">
        <v>3235</v>
      </c>
      <c r="K111" s="670" t="s">
        <v>1891</v>
      </c>
      <c r="L111" s="5273" t="s">
        <v>1866</v>
      </c>
      <c r="M111" s="5273"/>
      <c r="N111" s="5273"/>
      <c r="O111" s="5273"/>
      <c r="P111" s="5273"/>
      <c r="Q111" s="5273"/>
      <c r="R111" s="1948"/>
    </row>
    <row r="112" spans="2:18" x14ac:dyDescent="0.2">
      <c r="B112" s="659">
        <f t="shared" si="0"/>
        <v>0</v>
      </c>
      <c r="C112" s="671" t="s">
        <v>3236</v>
      </c>
      <c r="D112" s="671"/>
      <c r="E112" s="671"/>
      <c r="F112" s="658">
        <f>COUNTIF(Sheele!$G$20:$J$29,C112)</f>
        <v>0</v>
      </c>
      <c r="G112" s="1925">
        <v>1</v>
      </c>
      <c r="H112" s="1925">
        <f>IF(OR($F112=0,$G112=0),0,MAX($H$111:H111)+1)</f>
        <v>0</v>
      </c>
      <c r="I112" s="1924">
        <v>250</v>
      </c>
      <c r="J112" s="1925">
        <f>50+Sheele!N10</f>
        <v>110</v>
      </c>
      <c r="K112" s="1928">
        <f>Sheele!N21*2</f>
        <v>60</v>
      </c>
      <c r="L112" s="5268" t="s">
        <v>3237</v>
      </c>
      <c r="M112" s="5268"/>
      <c r="N112" s="5268"/>
      <c r="O112" s="5268"/>
      <c r="P112" s="5268"/>
      <c r="Q112" s="5268"/>
      <c r="R112" s="1944" t="s">
        <v>1769</v>
      </c>
    </row>
    <row r="113" spans="2:18" x14ac:dyDescent="0.2">
      <c r="B113" s="659">
        <f t="shared" si="0"/>
        <v>0</v>
      </c>
      <c r="C113" s="671" t="s">
        <v>3238</v>
      </c>
      <c r="D113" s="671"/>
      <c r="E113" s="671"/>
      <c r="F113" s="658">
        <f>COUNTIF(Sheele!$G$20:$J$29,C113)</f>
        <v>0</v>
      </c>
      <c r="G113" s="1925">
        <v>1</v>
      </c>
      <c r="H113" s="1925">
        <f>IF(OR($F113=0,$G113=0),0,MAX($H$111:H112)+1)</f>
        <v>0</v>
      </c>
      <c r="I113" s="1924">
        <v>100</v>
      </c>
      <c r="J113" s="1925">
        <f>Sheele!N10</f>
        <v>60</v>
      </c>
      <c r="K113" s="1928">
        <v>60</v>
      </c>
      <c r="L113" s="5268" t="s">
        <v>3239</v>
      </c>
      <c r="M113" s="5268"/>
      <c r="N113" s="5268"/>
      <c r="O113" s="5268"/>
      <c r="P113" s="5268"/>
      <c r="Q113" s="5268"/>
      <c r="R113" s="1944" t="s">
        <v>1769</v>
      </c>
    </row>
    <row r="114" spans="2:18" x14ac:dyDescent="0.2">
      <c r="B114" s="659">
        <f t="shared" si="0"/>
        <v>0</v>
      </c>
      <c r="C114" s="671" t="s">
        <v>3240</v>
      </c>
      <c r="D114" s="671"/>
      <c r="E114" s="671"/>
      <c r="F114" s="658">
        <f>COUNTIF(Sheele!$G$20:$J$29,C114)</f>
        <v>0</v>
      </c>
      <c r="G114" s="1925">
        <v>1</v>
      </c>
      <c r="H114" s="1925">
        <f>IF(OR($F114=0,$G114=0),0,MAX($H$111:H113)+1)</f>
        <v>0</v>
      </c>
      <c r="I114" s="1924">
        <v>100</v>
      </c>
      <c r="J114" s="1925" t="s">
        <v>1769</v>
      </c>
      <c r="K114" s="1928" t="s">
        <v>1769</v>
      </c>
      <c r="L114" s="5268" t="s">
        <v>3241</v>
      </c>
      <c r="M114" s="5268"/>
      <c r="N114" s="5268"/>
      <c r="O114" s="5268"/>
      <c r="P114" s="5268"/>
      <c r="Q114" s="5268"/>
      <c r="R114" s="1944" t="s">
        <v>1769</v>
      </c>
    </row>
    <row r="115" spans="2:18" x14ac:dyDescent="0.2">
      <c r="B115" s="659">
        <f t="shared" si="0"/>
        <v>0</v>
      </c>
      <c r="C115" s="671" t="s">
        <v>3242</v>
      </c>
      <c r="D115" s="671"/>
      <c r="E115" s="671"/>
      <c r="F115" s="658">
        <f>COUNTIF(Sheele!$G$20:$J$29,C115)</f>
        <v>0</v>
      </c>
      <c r="G115" s="1925">
        <v>1</v>
      </c>
      <c r="H115" s="1925">
        <f>IF(OR($F115=0,$G115=0),0,MAX($H$111:H114)+1)</f>
        <v>0</v>
      </c>
      <c r="I115" s="1924">
        <v>20</v>
      </c>
      <c r="J115" s="1925">
        <f>Sheele!N10</f>
        <v>60</v>
      </c>
      <c r="K115" s="1928" t="str">
        <f>"+"&amp;Sheele!H15</f>
        <v>+10</v>
      </c>
      <c r="L115" s="5268" t="s">
        <v>3243</v>
      </c>
      <c r="M115" s="5268"/>
      <c r="N115" s="5268"/>
      <c r="O115" s="5268"/>
      <c r="P115" s="5268"/>
      <c r="Q115" s="5268"/>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68" t="s">
        <v>3244</v>
      </c>
      <c r="M116" s="5268"/>
      <c r="N116" s="5268"/>
      <c r="O116" s="5268"/>
      <c r="P116" s="5268"/>
      <c r="Q116" s="5268"/>
      <c r="R116" s="1944" t="s">
        <v>1769</v>
      </c>
    </row>
    <row r="117" spans="2:18" x14ac:dyDescent="0.2">
      <c r="B117" s="659">
        <f t="shared" si="0"/>
        <v>0</v>
      </c>
      <c r="C117" s="671" t="s">
        <v>3245</v>
      </c>
      <c r="D117" s="671"/>
      <c r="E117" s="671"/>
      <c r="F117" s="658">
        <f>COUNTIF(Sheele!$G$20:$J$29,C117)</f>
        <v>0</v>
      </c>
      <c r="G117" s="1925"/>
      <c r="H117" s="1925">
        <f>IF(OR($F117=0,$G117=0),0,MAX($H$111:H116)+1)</f>
        <v>0</v>
      </c>
      <c r="I117" s="1924" t="s">
        <v>1769</v>
      </c>
      <c r="J117" s="1925" t="s">
        <v>1769</v>
      </c>
      <c r="K117" s="1928" t="s">
        <v>1769</v>
      </c>
      <c r="L117" s="5268" t="s">
        <v>3246</v>
      </c>
      <c r="M117" s="5268"/>
      <c r="N117" s="5268"/>
      <c r="O117" s="5268"/>
      <c r="P117" s="5268"/>
      <c r="Q117" s="5268"/>
      <c r="R117" s="1944" t="s">
        <v>1769</v>
      </c>
    </row>
    <row r="118" spans="2:18" x14ac:dyDescent="0.2">
      <c r="B118" s="659">
        <f t="shared" si="0"/>
        <v>0</v>
      </c>
      <c r="C118" s="671" t="s">
        <v>3247</v>
      </c>
      <c r="D118" s="671"/>
      <c r="E118" s="671"/>
      <c r="F118" s="658">
        <f>COUNTIF(Sheele!$G$20:$J$29,C118)</f>
        <v>0</v>
      </c>
      <c r="G118" s="1925">
        <v>1</v>
      </c>
      <c r="H118" s="1925">
        <f>IF(OR($F118=0,$G118=0),0,MAX($H$111:H117)+1)</f>
        <v>0</v>
      </c>
      <c r="I118" s="1924" t="s">
        <v>1769</v>
      </c>
      <c r="J118" s="1925" t="s">
        <v>1769</v>
      </c>
      <c r="K118" s="1928" t="str">
        <f>"+"&amp;Sheele!H15</f>
        <v>+10</v>
      </c>
      <c r="L118" s="5269" t="str">
        <f>"+2 FUE al alcance y +"&amp;Sheele!H15&amp;" al daño de proyectiles de quien esté en contacto con ella."</f>
        <v>+2 FUE al alcance y +10 al daño de proyectiles de quien esté en contacto con ella.</v>
      </c>
      <c r="M118" s="5268"/>
      <c r="N118" s="5268"/>
      <c r="O118" s="5268"/>
      <c r="P118" s="5268"/>
      <c r="Q118" s="5268"/>
      <c r="R118" s="1944" t="s">
        <v>1693</v>
      </c>
    </row>
    <row r="119" spans="2:18" x14ac:dyDescent="0.2">
      <c r="B119" s="659">
        <f t="shared" si="0"/>
        <v>0</v>
      </c>
      <c r="C119" s="671" t="s">
        <v>3248</v>
      </c>
      <c r="D119" s="671"/>
      <c r="E119" s="671"/>
      <c r="F119" s="658">
        <f>COUNTIF(Sheele!$G$20:$J$29,C119)</f>
        <v>0</v>
      </c>
      <c r="G119" s="1925"/>
      <c r="H119" s="1925">
        <f>IF(OR($F119=0,$G119=0),0,MAX($H$111:H118)+1)</f>
        <v>0</v>
      </c>
      <c r="I119" s="1924" t="s">
        <v>1769</v>
      </c>
      <c r="J119" s="1925" t="s">
        <v>1769</v>
      </c>
      <c r="K119" s="1928" t="s">
        <v>1769</v>
      </c>
      <c r="L119" s="5269" t="s">
        <v>3249</v>
      </c>
      <c r="M119" s="5268"/>
      <c r="N119" s="5268"/>
      <c r="O119" s="5268"/>
      <c r="P119" s="5268"/>
      <c r="Q119" s="5268"/>
      <c r="R119" s="1944" t="s">
        <v>1769</v>
      </c>
    </row>
    <row r="120" spans="2:18" x14ac:dyDescent="0.2">
      <c r="B120" s="659">
        <f t="shared" si="0"/>
        <v>0</v>
      </c>
      <c r="C120" s="671" t="s">
        <v>3250</v>
      </c>
      <c r="D120" s="671"/>
      <c r="E120" s="671"/>
      <c r="F120" s="658">
        <f>COUNTIF(Sheele!$G$20:$J$29,C120)</f>
        <v>0</v>
      </c>
      <c r="G120" s="1925">
        <v>1</v>
      </c>
      <c r="H120" s="1925">
        <f>IF(OR($F120=0,$G120=0),0,MAX($H$111:H119)+1)</f>
        <v>0</v>
      </c>
      <c r="I120" s="672" t="s">
        <v>3251</v>
      </c>
      <c r="J120" s="1925" t="s">
        <v>1769</v>
      </c>
      <c r="K120" s="1928" t="s">
        <v>1769</v>
      </c>
      <c r="L120" s="5268" t="str">
        <f>"Aquel en contacto RF "&amp;Sheele!N21*2+Sheele!H15&amp;" o daño igual al nivel de fracaso. Inmune a ataques físicos"</f>
        <v>Aquel en contacto RF 70 o daño igual al nivel de fracaso. Inmune a ataques físicos</v>
      </c>
      <c r="M120" s="5268"/>
      <c r="N120" s="5268"/>
      <c r="O120" s="5268"/>
      <c r="P120" s="5268"/>
      <c r="Q120" s="5268"/>
      <c r="R120" s="1944" t="s">
        <v>1769</v>
      </c>
    </row>
    <row r="121" spans="2:18" x14ac:dyDescent="0.2">
      <c r="B121" s="659">
        <f t="shared" si="0"/>
        <v>0</v>
      </c>
      <c r="C121" s="671" t="s">
        <v>3252</v>
      </c>
      <c r="D121" s="671"/>
      <c r="E121" s="671"/>
      <c r="F121" s="658">
        <f>COUNTIF(Sheele!$G$20:$J$29,C121)</f>
        <v>0</v>
      </c>
      <c r="G121" s="1925"/>
      <c r="H121" s="1925">
        <f>IF(OR($F121=0,$G121=0),0,MAX($H$111:H120)+1)</f>
        <v>0</v>
      </c>
      <c r="I121" s="1924" t="s">
        <v>1769</v>
      </c>
      <c r="J121" s="1925" t="s">
        <v>1769</v>
      </c>
      <c r="K121" s="1928" t="s">
        <v>1769</v>
      </c>
      <c r="L121" s="5271" t="s">
        <v>3253</v>
      </c>
      <c r="M121" s="5272"/>
      <c r="N121" s="5272"/>
      <c r="O121" s="5272"/>
      <c r="P121" s="5272"/>
      <c r="Q121" s="5272"/>
      <c r="R121" s="1944" t="s">
        <v>1769</v>
      </c>
    </row>
    <row r="122" spans="2:18" x14ac:dyDescent="0.2">
      <c r="B122" s="659">
        <f t="shared" si="0"/>
        <v>0</v>
      </c>
      <c r="C122" s="1936" t="s">
        <v>3144</v>
      </c>
      <c r="D122" s="673"/>
      <c r="E122" s="673"/>
      <c r="F122" s="665"/>
      <c r="G122" s="670"/>
      <c r="H122" s="669"/>
      <c r="I122" s="674" t="s">
        <v>3234</v>
      </c>
      <c r="J122" s="667" t="s">
        <v>3235</v>
      </c>
      <c r="K122" s="666" t="s">
        <v>1891</v>
      </c>
      <c r="L122" s="5273" t="s">
        <v>1866</v>
      </c>
      <c r="M122" s="5273"/>
      <c r="N122" s="5273"/>
      <c r="O122" s="5273"/>
      <c r="P122" s="5273"/>
      <c r="Q122" s="5273"/>
      <c r="R122" s="1947"/>
    </row>
    <row r="123" spans="2:18" x14ac:dyDescent="0.2">
      <c r="B123" s="659">
        <f t="shared" si="0"/>
        <v>0</v>
      </c>
      <c r="C123" s="671" t="s">
        <v>3254</v>
      </c>
      <c r="D123" s="671"/>
      <c r="E123" s="671"/>
      <c r="F123" s="658">
        <f>COUNTIF(Sheele!$G$20:$J$29,C123)</f>
        <v>0</v>
      </c>
      <c r="G123" s="1925">
        <v>1</v>
      </c>
      <c r="H123" s="1925">
        <f>IF(OR($F123=0,$G123=0),0,MAX($H$111:H122)+1)</f>
        <v>0</v>
      </c>
      <c r="I123" s="1924" t="s">
        <v>3255</v>
      </c>
      <c r="J123" s="1925">
        <f>Sheele!N10</f>
        <v>60</v>
      </c>
      <c r="K123" s="1928">
        <v>50</v>
      </c>
      <c r="L123" s="5268" t="s">
        <v>3256</v>
      </c>
      <c r="M123" s="5268"/>
      <c r="N123" s="5268"/>
      <c r="O123" s="5268"/>
      <c r="P123" s="5268"/>
      <c r="Q123" s="5268"/>
      <c r="R123" s="1944" t="s">
        <v>1769</v>
      </c>
    </row>
    <row r="124" spans="2:18" x14ac:dyDescent="0.2">
      <c r="B124" s="659">
        <f t="shared" si="0"/>
        <v>0</v>
      </c>
      <c r="C124" s="671" t="s">
        <v>3257</v>
      </c>
      <c r="D124" s="671"/>
      <c r="E124" s="671"/>
      <c r="F124" s="658">
        <f>COUNTIF(Sheele!$G$20:$J$29,C124)</f>
        <v>0</v>
      </c>
      <c r="G124" s="1925">
        <v>1</v>
      </c>
      <c r="H124" s="1925">
        <f>IF(OR($F124=0,$G124=0),0,MAX($H$111:H123)+1)</f>
        <v>0</v>
      </c>
      <c r="I124" s="1924" t="s">
        <v>3255</v>
      </c>
      <c r="J124" s="1925">
        <f>Sheele!N10</f>
        <v>60</v>
      </c>
      <c r="K124" s="1928">
        <f>Sheele!N21</f>
        <v>30</v>
      </c>
      <c r="L124" s="5268" t="str">
        <f>"Ataque CON, Área "&amp;Sheele!N21&amp;"m. Aquellos en contacto son inmunes. Impacto FUE "&amp;Sheele!G15</f>
        <v>Ataque CON, Área 30m. Aquellos en contacto son inmunes. Impacto FUE 8</v>
      </c>
      <c r="M124" s="5268"/>
      <c r="N124" s="5268"/>
      <c r="O124" s="5268"/>
      <c r="P124" s="5268"/>
      <c r="Q124" s="5268"/>
      <c r="R124" s="1944" t="s">
        <v>1769</v>
      </c>
    </row>
    <row r="125" spans="2:18" x14ac:dyDescent="0.2">
      <c r="B125" s="659">
        <f t="shared" si="0"/>
        <v>0</v>
      </c>
      <c r="C125" s="671" t="s">
        <v>3258</v>
      </c>
      <c r="D125" s="671"/>
      <c r="E125" s="671"/>
      <c r="F125" s="658">
        <f>COUNTIF(Sheele!$G$20:$J$29,C125)</f>
        <v>0</v>
      </c>
      <c r="G125" s="1925">
        <v>1</v>
      </c>
      <c r="H125" s="1925">
        <f>IF(OR($F125=0,$G125=0),0,MAX($H$111:H124)+1)</f>
        <v>0</v>
      </c>
      <c r="I125" s="1924">
        <v>30</v>
      </c>
      <c r="J125" s="1925" t="s">
        <v>1769</v>
      </c>
      <c r="K125" s="1928" t="s">
        <v>1769</v>
      </c>
      <c r="L125" s="5268" t="s">
        <v>3259</v>
      </c>
      <c r="M125" s="5268"/>
      <c r="N125" s="5268"/>
      <c r="O125" s="5268"/>
      <c r="P125" s="5268"/>
      <c r="Q125" s="5268"/>
      <c r="R125" s="1944" t="s">
        <v>1769</v>
      </c>
    </row>
    <row r="126" spans="2:18" x14ac:dyDescent="0.2">
      <c r="B126" s="659">
        <f t="shared" si="0"/>
        <v>0</v>
      </c>
      <c r="C126" s="671" t="s">
        <v>3260</v>
      </c>
      <c r="D126" s="671"/>
      <c r="E126" s="671"/>
      <c r="F126" s="658">
        <f>COUNTIF(Sheele!$G$20:$J$29,C126)</f>
        <v>0</v>
      </c>
      <c r="G126" s="1925">
        <v>1</v>
      </c>
      <c r="H126" s="1925">
        <f>IF(OR($F126=0,$G126=0),0,MAX($H$111:H125)+1)</f>
        <v>0</v>
      </c>
      <c r="I126" s="1924">
        <v>100</v>
      </c>
      <c r="J126" s="1925" t="s">
        <v>1769</v>
      </c>
      <c r="K126" s="1928" t="s">
        <v>1769</v>
      </c>
      <c r="L126" s="5268" t="str">
        <f>"Ataque automático 50m. RM o RF "&amp;Sheele!N21*2+Sheele!H15&amp;", -5 por cada TA en FRI. Parálisis total si &gt; 40"</f>
        <v>Ataque automático 50m. RM o RF 70, -5 por cada TA en FRI. Parálisis total si &gt; 40</v>
      </c>
      <c r="M126" s="5268"/>
      <c r="N126" s="5268"/>
      <c r="O126" s="5268"/>
      <c r="P126" s="5268"/>
      <c r="Q126" s="5268"/>
      <c r="R126" s="1944" t="s">
        <v>1769</v>
      </c>
    </row>
    <row r="127" spans="2:18" x14ac:dyDescent="0.2">
      <c r="B127" s="659">
        <f t="shared" si="0"/>
        <v>0</v>
      </c>
      <c r="C127" s="671" t="s">
        <v>3261</v>
      </c>
      <c r="D127" s="671"/>
      <c r="E127" s="671"/>
      <c r="F127" s="658">
        <f>COUNTIF(Sheele!$G$20:$J$29,C127)</f>
        <v>0</v>
      </c>
      <c r="G127" s="1925">
        <v>1</v>
      </c>
      <c r="H127" s="1925">
        <f>IF(OR($F127=0,$G127=0),0,MAX($H$111:H126)+1)</f>
        <v>0</v>
      </c>
      <c r="I127" s="1924">
        <v>150</v>
      </c>
      <c r="J127" s="1925">
        <f>Sheele!N10+50</f>
        <v>110</v>
      </c>
      <c r="K127" s="1928" t="s">
        <v>1769</v>
      </c>
      <c r="L127" s="5268" t="s">
        <v>3262</v>
      </c>
      <c r="M127" s="5268"/>
      <c r="N127" s="5268"/>
      <c r="O127" s="5268"/>
      <c r="P127" s="5268"/>
      <c r="Q127" s="5268"/>
      <c r="R127" s="1944" t="s">
        <v>1769</v>
      </c>
    </row>
    <row r="128" spans="2:18" x14ac:dyDescent="0.2">
      <c r="B128" s="659">
        <f t="shared" si="0"/>
        <v>0</v>
      </c>
      <c r="C128" s="671" t="s">
        <v>3263</v>
      </c>
      <c r="D128" s="671"/>
      <c r="E128" s="671"/>
      <c r="F128" s="658">
        <f>COUNTIF(Sheele!$G$20:$J$29,C128)</f>
        <v>0</v>
      </c>
      <c r="G128" s="1925">
        <v>1</v>
      </c>
      <c r="H128" s="1925">
        <f>IF(OR($F128=0,$G128=0),0,MAX($H$111:H127)+1)</f>
        <v>0</v>
      </c>
      <c r="I128" s="1924" t="s">
        <v>1769</v>
      </c>
      <c r="J128" s="1925" t="s">
        <v>1769</v>
      </c>
      <c r="K128" s="1928" t="s">
        <v>1769</v>
      </c>
      <c r="L128" s="5268" t="s">
        <v>3264</v>
      </c>
      <c r="M128" s="5268"/>
      <c r="N128" s="5268"/>
      <c r="O128" s="5268"/>
      <c r="P128" s="5268"/>
      <c r="Q128" s="5268"/>
      <c r="R128" s="1944" t="s">
        <v>1769</v>
      </c>
    </row>
    <row r="129" spans="2:19" x14ac:dyDescent="0.2">
      <c r="B129" s="659">
        <f t="shared" si="0"/>
        <v>0</v>
      </c>
      <c r="C129" s="671" t="s">
        <v>3265</v>
      </c>
      <c r="D129" s="671"/>
      <c r="E129" s="671"/>
      <c r="F129" s="658">
        <f>COUNTIF(Sheele!$G$20:$J$29,C129)</f>
        <v>0</v>
      </c>
      <c r="G129" s="1925">
        <v>1</v>
      </c>
      <c r="H129" s="1925">
        <f>IF(OR($F129=0,$G129=0),0,MAX($H$111:H128)+1)</f>
        <v>0</v>
      </c>
      <c r="I129" s="1924"/>
      <c r="J129" s="1925" t="s">
        <v>1769</v>
      </c>
      <c r="K129" s="1928" t="s">
        <v>1769</v>
      </c>
      <c r="L129" s="5268" t="s">
        <v>3266</v>
      </c>
      <c r="M129" s="5268"/>
      <c r="N129" s="5268"/>
      <c r="O129" s="5268"/>
      <c r="P129" s="5268"/>
      <c r="Q129" s="5268"/>
      <c r="R129" s="1944" t="s">
        <v>1693</v>
      </c>
    </row>
    <row r="130" spans="2:19" x14ac:dyDescent="0.2">
      <c r="B130" s="659">
        <f t="shared" si="0"/>
        <v>0</v>
      </c>
      <c r="C130" s="671" t="s">
        <v>3248</v>
      </c>
      <c r="D130" s="671"/>
      <c r="E130" s="671"/>
      <c r="F130" s="658">
        <f>COUNTIF(Sheele!$G$20:$J$29,C130)</f>
        <v>0</v>
      </c>
      <c r="G130" s="1925"/>
      <c r="H130" s="1925">
        <f>IF(OR($F130=0,$G130=0),0,MAX($H$111:H129)+1)</f>
        <v>0</v>
      </c>
      <c r="I130" s="1924" t="s">
        <v>1769</v>
      </c>
      <c r="J130" s="1925" t="s">
        <v>1769</v>
      </c>
      <c r="K130" s="1928" t="s">
        <v>1769</v>
      </c>
      <c r="L130" s="5269" t="s">
        <v>3249</v>
      </c>
      <c r="M130" s="5268"/>
      <c r="N130" s="5268"/>
      <c r="O130" s="5268"/>
      <c r="P130" s="5268"/>
      <c r="Q130" s="5268"/>
      <c r="R130" s="1944" t="s">
        <v>1769</v>
      </c>
    </row>
    <row r="131" spans="2:19" x14ac:dyDescent="0.2">
      <c r="B131" s="659">
        <f t="shared" si="0"/>
        <v>0</v>
      </c>
      <c r="C131" s="671" t="s">
        <v>3267</v>
      </c>
      <c r="D131" s="671"/>
      <c r="E131" s="671"/>
      <c r="F131" s="658">
        <f>COUNTIF(Sheele!$G$20:$J$29,C131)</f>
        <v>0</v>
      </c>
      <c r="G131" s="1925">
        <v>1</v>
      </c>
      <c r="H131" s="1925">
        <f>IF(OR($F131=0,$G131=0),0,MAX($H$111:H130)+1)</f>
        <v>0</v>
      </c>
      <c r="I131" s="1924">
        <v>10</v>
      </c>
      <c r="J131" s="1925" t="s">
        <v>1769</v>
      </c>
      <c r="K131" s="1928" t="s">
        <v>1769</v>
      </c>
      <c r="L131" s="5268" t="s">
        <v>3268</v>
      </c>
      <c r="M131" s="5268"/>
      <c r="N131" s="5268"/>
      <c r="O131" s="5268"/>
      <c r="P131" s="5268"/>
      <c r="Q131" s="5268"/>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72" t="s">
        <v>3269</v>
      </c>
      <c r="M132" s="5272"/>
      <c r="N132" s="5272"/>
      <c r="O132" s="5272"/>
      <c r="P132" s="5272"/>
      <c r="Q132" s="5272"/>
      <c r="R132" s="1944" t="s">
        <v>1769</v>
      </c>
      <c r="S132" s="677"/>
    </row>
    <row r="133" spans="2:19" x14ac:dyDescent="0.2">
      <c r="B133" s="659">
        <f t="shared" si="0"/>
        <v>0</v>
      </c>
      <c r="C133" s="1936" t="s">
        <v>3149</v>
      </c>
      <c r="D133" s="673"/>
      <c r="E133" s="673"/>
      <c r="F133" s="665"/>
      <c r="G133" s="670"/>
      <c r="H133" s="669"/>
      <c r="I133" s="674" t="s">
        <v>3234</v>
      </c>
      <c r="J133" s="667" t="s">
        <v>3235</v>
      </c>
      <c r="K133" s="666" t="s">
        <v>1891</v>
      </c>
      <c r="L133" s="5273" t="s">
        <v>1866</v>
      </c>
      <c r="M133" s="5273"/>
      <c r="N133" s="5273"/>
      <c r="O133" s="5273"/>
      <c r="P133" s="5273"/>
      <c r="Q133" s="5273"/>
      <c r="R133" s="1947"/>
      <c r="S133" s="677"/>
    </row>
    <row r="134" spans="2:19" x14ac:dyDescent="0.2">
      <c r="B134" s="659">
        <f t="shared" si="0"/>
        <v>0</v>
      </c>
      <c r="C134" s="671" t="s">
        <v>3270</v>
      </c>
      <c r="D134" s="671"/>
      <c r="E134" s="671"/>
      <c r="F134" s="658">
        <f>COUNTIF(Sheele!$G$20:$J$29,C134)</f>
        <v>0</v>
      </c>
      <c r="G134" s="1925">
        <v>1</v>
      </c>
      <c r="H134" s="1925">
        <f>IF(OR($F134=0,$G134=0),0,MAX($H$111:H133)+1)</f>
        <v>0</v>
      </c>
      <c r="I134" s="1924">
        <v>100</v>
      </c>
      <c r="J134" s="1925">
        <f>Sheele!N10+50</f>
        <v>110</v>
      </c>
      <c r="K134" s="1928">
        <f>Sheele!N21*2</f>
        <v>60</v>
      </c>
      <c r="L134" s="5268" t="s">
        <v>3271</v>
      </c>
      <c r="M134" s="5268"/>
      <c r="N134" s="5268"/>
      <c r="O134" s="5268"/>
      <c r="P134" s="5268"/>
      <c r="Q134" s="5268"/>
      <c r="R134" s="1944" t="s">
        <v>1769</v>
      </c>
      <c r="S134" s="677"/>
    </row>
    <row r="135" spans="2:19" x14ac:dyDescent="0.2">
      <c r="B135" s="659">
        <f t="shared" si="0"/>
        <v>0</v>
      </c>
      <c r="C135" s="671" t="s">
        <v>3272</v>
      </c>
      <c r="D135" s="671"/>
      <c r="E135" s="671"/>
      <c r="F135" s="658">
        <f>COUNTIF(Sheele!$G$20:$J$29,C135)</f>
        <v>0</v>
      </c>
      <c r="G135" s="1925">
        <v>1</v>
      </c>
      <c r="H135" s="1925">
        <f>IF(OR($F135=0,$G135=0),0,MAX($H$111:H134)+1)</f>
        <v>0</v>
      </c>
      <c r="I135" s="1924">
        <v>100</v>
      </c>
      <c r="J135" s="1925" t="s">
        <v>1769</v>
      </c>
      <c r="K135" s="1928" t="s">
        <v>1769</v>
      </c>
      <c r="L135" s="5268" t="s">
        <v>3273</v>
      </c>
      <c r="M135" s="5268"/>
      <c r="N135" s="5268"/>
      <c r="O135" s="5268"/>
      <c r="P135" s="5268"/>
      <c r="Q135" s="5268"/>
      <c r="R135" s="1944" t="s">
        <v>1769</v>
      </c>
      <c r="S135" s="677"/>
    </row>
    <row r="136" spans="2:19" x14ac:dyDescent="0.2">
      <c r="B136" s="659">
        <f t="shared" si="0"/>
        <v>0</v>
      </c>
      <c r="C136" s="671" t="s">
        <v>3274</v>
      </c>
      <c r="D136" s="671"/>
      <c r="E136" s="671"/>
      <c r="F136" s="658">
        <f>COUNTIF(Sheele!$G$20:$J$29,C136)</f>
        <v>0</v>
      </c>
      <c r="G136" s="1925">
        <v>1</v>
      </c>
      <c r="H136" s="1925">
        <f>IF(OR($F136=0,$G136=0),0,MAX($H$111:H135)+1)</f>
        <v>0</v>
      </c>
      <c r="I136" s="1924">
        <v>50</v>
      </c>
      <c r="J136" s="1925" t="s">
        <v>1769</v>
      </c>
      <c r="K136" s="1928" t="s">
        <v>1769</v>
      </c>
      <c r="L136" s="5268" t="s">
        <v>3275</v>
      </c>
      <c r="M136" s="5268"/>
      <c r="N136" s="5268"/>
      <c r="O136" s="5268"/>
      <c r="P136" s="5268"/>
      <c r="Q136" s="5268"/>
      <c r="R136" s="1944" t="s">
        <v>1769</v>
      </c>
      <c r="S136" s="677"/>
    </row>
    <row r="137" spans="2:19" x14ac:dyDescent="0.2">
      <c r="B137" s="659">
        <f t="shared" si="0"/>
        <v>0</v>
      </c>
      <c r="C137" s="671" t="s">
        <v>3276</v>
      </c>
      <c r="D137" s="671"/>
      <c r="E137" s="671"/>
      <c r="F137" s="658">
        <f>COUNTIF(Sheele!$G$20:$J$29,C137)</f>
        <v>0</v>
      </c>
      <c r="G137" s="1925">
        <v>1</v>
      </c>
      <c r="H137" s="1925">
        <f>IF(OR($F137=0,$G137=0),0,MAX($H$111:H136)+1)</f>
        <v>0</v>
      </c>
      <c r="I137" s="1924">
        <v>50</v>
      </c>
      <c r="J137" s="1925">
        <f>Sheele!N10</f>
        <v>60</v>
      </c>
      <c r="K137" s="1928">
        <f>Sheele!N21</f>
        <v>30</v>
      </c>
      <c r="L137" s="5268" t="str">
        <f>"Area CAL "&amp;Sheele!G16&amp;"m. Cada aatque sucesivo dobla el área y +10 daño"</f>
        <v>Area CAL 6m. Cada aatque sucesivo dobla el área y +10 daño</v>
      </c>
      <c r="M137" s="5268"/>
      <c r="N137" s="5268"/>
      <c r="O137" s="5268"/>
      <c r="P137" s="5268"/>
      <c r="Q137" s="5268"/>
      <c r="R137" s="1944" t="s">
        <v>1769</v>
      </c>
      <c r="S137" s="677"/>
    </row>
    <row r="138" spans="2:19" x14ac:dyDescent="0.2">
      <c r="B138" s="659">
        <f t="shared" si="0"/>
        <v>0</v>
      </c>
      <c r="C138" s="671" t="s">
        <v>3277</v>
      </c>
      <c r="D138" s="671"/>
      <c r="E138" s="671"/>
      <c r="F138" s="658">
        <f>COUNTIF(Sheele!$G$20:$J$29,C138)</f>
        <v>0</v>
      </c>
      <c r="G138" s="1925">
        <v>1</v>
      </c>
      <c r="H138" s="1925">
        <f>IF(OR($F138=0,$G138=0),0,MAX($H$111:H137)+1)</f>
        <v>0</v>
      </c>
      <c r="I138" s="1924" t="s">
        <v>1769</v>
      </c>
      <c r="J138" s="1925">
        <f>Sheele!N10</f>
        <v>60</v>
      </c>
      <c r="K138" s="1928" t="s">
        <v>1769</v>
      </c>
      <c r="L138" s="5268" t="str">
        <f>"La Sheele controla el fuego de hasta "&amp;Sheele!G15&amp;" intensidades. Puede atacar con él."</f>
        <v>La Sheele controla el fuego de hasta 8 intensidades. Puede atacar con él.</v>
      </c>
      <c r="M138" s="5268"/>
      <c r="N138" s="5268"/>
      <c r="O138" s="5268"/>
      <c r="P138" s="5268"/>
      <c r="Q138" s="5268"/>
      <c r="R138" s="1944" t="s">
        <v>1769</v>
      </c>
      <c r="S138" s="677"/>
    </row>
    <row r="139" spans="2:19" x14ac:dyDescent="0.2">
      <c r="B139" s="659">
        <f t="shared" si="0"/>
        <v>0</v>
      </c>
      <c r="C139" s="671" t="s">
        <v>3248</v>
      </c>
      <c r="D139" s="671"/>
      <c r="E139" s="671"/>
      <c r="F139" s="658">
        <f>COUNTIF(Sheele!$G$20:$J$29,C139)</f>
        <v>0</v>
      </c>
      <c r="G139" s="1925"/>
      <c r="H139" s="1925">
        <f>IF(OR($F139=0,$G139=0),0,MAX($H$111:H138)+1)</f>
        <v>0</v>
      </c>
      <c r="I139" s="1924" t="s">
        <v>1769</v>
      </c>
      <c r="J139" s="1925" t="s">
        <v>1769</v>
      </c>
      <c r="K139" s="1928" t="s">
        <v>1769</v>
      </c>
      <c r="L139" s="5269" t="s">
        <v>3249</v>
      </c>
      <c r="M139" s="5268"/>
      <c r="N139" s="5268"/>
      <c r="O139" s="5268"/>
      <c r="P139" s="5268"/>
      <c r="Q139" s="5268"/>
      <c r="R139" s="1944" t="s">
        <v>1769</v>
      </c>
      <c r="S139" s="677"/>
    </row>
    <row r="140" spans="2:19" x14ac:dyDescent="0.2">
      <c r="B140" s="659">
        <f t="shared" si="0"/>
        <v>0</v>
      </c>
      <c r="C140" s="671" t="s">
        <v>3278</v>
      </c>
      <c r="D140" s="671"/>
      <c r="E140" s="671"/>
      <c r="F140" s="658">
        <f>COUNTIF(Sheele!$G$20:$J$29,C140)</f>
        <v>0</v>
      </c>
      <c r="G140" s="1925">
        <v>1</v>
      </c>
      <c r="H140" s="1925">
        <f>IF(OR($F140=0,$G140=0),0,MAX($H$111:H139)+1)</f>
        <v>0</v>
      </c>
      <c r="I140" s="1924" t="s">
        <v>1769</v>
      </c>
      <c r="J140" s="1927" t="s">
        <v>1769</v>
      </c>
      <c r="K140" s="1928" t="s">
        <v>1769</v>
      </c>
      <c r="L140" s="5268" t="str">
        <f>"Aquel en contacto puede usar CAL como crítico secundario en sus armas, y éstas tienen +"&amp;Sheele!H15&amp;" daño."</f>
        <v>Aquel en contacto puede usar CAL como crítico secundario en sus armas, y éstas tienen +10 daño.</v>
      </c>
      <c r="M140" s="5268"/>
      <c r="N140" s="5268"/>
      <c r="O140" s="5268"/>
      <c r="P140" s="5268"/>
      <c r="Q140" s="5268"/>
      <c r="R140" s="1944" t="s">
        <v>1693</v>
      </c>
      <c r="S140" s="677"/>
    </row>
    <row r="141" spans="2:19" x14ac:dyDescent="0.2">
      <c r="B141" s="659">
        <f t="shared" si="0"/>
        <v>0</v>
      </c>
      <c r="C141" s="671" t="s">
        <v>3279</v>
      </c>
      <c r="D141" s="671"/>
      <c r="E141" s="671"/>
      <c r="F141" s="658">
        <f>COUNTIF(Sheele!$G$20:$J$29,C141)</f>
        <v>0</v>
      </c>
      <c r="G141" s="1925">
        <v>1</v>
      </c>
      <c r="H141" s="1925">
        <f>IF(OR($F141=0,$G141=0),0,MAX($H$111:H140)+1)</f>
        <v>0</v>
      </c>
      <c r="I141" s="672" t="s">
        <v>3251</v>
      </c>
      <c r="J141" s="1927" t="s">
        <v>1769</v>
      </c>
      <c r="K141" s="1928" t="s">
        <v>1769</v>
      </c>
      <c r="L141" s="5268" t="str">
        <f>"A voluntad, solo vulnerable a energía o frío. En contacto RF "&amp;Sheele!N21*2+Sheele!H15&amp;" o daño = nivel fracaso."</f>
        <v>A voluntad, solo vulnerable a energía o frío. En contacto RF 70 o daño = nivel fracaso.</v>
      </c>
      <c r="M141" s="5268"/>
      <c r="N141" s="5268"/>
      <c r="O141" s="5268"/>
      <c r="P141" s="5268"/>
      <c r="Q141" s="5268"/>
      <c r="R141" s="1944" t="s">
        <v>1769</v>
      </c>
      <c r="S141" s="677"/>
    </row>
    <row r="142" spans="2:19" x14ac:dyDescent="0.2">
      <c r="B142" s="659">
        <f t="shared" si="0"/>
        <v>0</v>
      </c>
      <c r="C142" s="671" t="s">
        <v>3280</v>
      </c>
      <c r="D142" s="671"/>
      <c r="E142" s="671"/>
      <c r="F142" s="658">
        <f>COUNTIF(Sheele!$G$20:$J$29,C142)</f>
        <v>0</v>
      </c>
      <c r="G142" s="1925">
        <v>1</v>
      </c>
      <c r="H142" s="1925">
        <f>IF(OR($F142=0,$G142=0),0,MAX($H$111:H141)+1)</f>
        <v>0</v>
      </c>
      <c r="I142" s="1924" t="s">
        <v>1769</v>
      </c>
      <c r="J142" s="1925" t="s">
        <v>1769</v>
      </c>
      <c r="K142" s="676" t="s">
        <v>3281</v>
      </c>
      <c r="L142" s="5269" t="s">
        <v>3282</v>
      </c>
      <c r="M142" s="5268"/>
      <c r="N142" s="5268"/>
      <c r="O142" s="5268"/>
      <c r="P142" s="5268"/>
      <c r="Q142" s="5268"/>
      <c r="R142" s="1944" t="s">
        <v>1693</v>
      </c>
      <c r="S142" s="677"/>
    </row>
    <row r="143" spans="2:19" x14ac:dyDescent="0.2">
      <c r="B143" s="659">
        <f t="shared" si="0"/>
        <v>0</v>
      </c>
      <c r="C143" s="671" t="s">
        <v>3283</v>
      </c>
      <c r="D143" s="671"/>
      <c r="E143" s="671"/>
      <c r="F143" s="658">
        <f>COUNTIF(Sheele!$G$20:$J$29,C143)</f>
        <v>0</v>
      </c>
      <c r="G143" s="1925"/>
      <c r="H143" s="1925">
        <f>IF(OR($F143=0,$G143=0),0,MAX($H$111:H142)+1)</f>
        <v>0</v>
      </c>
      <c r="I143" s="1924" t="s">
        <v>1769</v>
      </c>
      <c r="J143" s="1927" t="s">
        <v>1769</v>
      </c>
      <c r="K143" s="1928" t="s">
        <v>1769</v>
      </c>
      <c r="L143" s="5271" t="s">
        <v>3284</v>
      </c>
      <c r="M143" s="5272"/>
      <c r="N143" s="5272"/>
      <c r="O143" s="5272"/>
      <c r="P143" s="5272"/>
      <c r="Q143" s="5272"/>
      <c r="R143" s="1944" t="s">
        <v>1769</v>
      </c>
      <c r="S143" s="677"/>
    </row>
    <row r="144" spans="2:19" x14ac:dyDescent="0.2">
      <c r="B144" s="659">
        <f t="shared" si="0"/>
        <v>0</v>
      </c>
      <c r="C144" s="1936" t="s">
        <v>3153</v>
      </c>
      <c r="D144" s="673"/>
      <c r="E144" s="673"/>
      <c r="F144" s="665"/>
      <c r="G144" s="670"/>
      <c r="H144" s="669"/>
      <c r="I144" s="674" t="s">
        <v>3234</v>
      </c>
      <c r="J144" s="667" t="s">
        <v>3235</v>
      </c>
      <c r="K144" s="666" t="s">
        <v>1891</v>
      </c>
      <c r="L144" s="5273" t="s">
        <v>1866</v>
      </c>
      <c r="M144" s="5273"/>
      <c r="N144" s="5273"/>
      <c r="O144" s="5273"/>
      <c r="P144" s="5273"/>
      <c r="Q144" s="5273"/>
      <c r="R144" s="1947"/>
      <c r="S144" s="677"/>
    </row>
    <row r="145" spans="2:19" x14ac:dyDescent="0.2">
      <c r="B145" s="659">
        <f t="shared" si="0"/>
        <v>0</v>
      </c>
      <c r="C145" s="671" t="s">
        <v>3285</v>
      </c>
      <c r="D145" s="671"/>
      <c r="E145" s="671"/>
      <c r="F145" s="658">
        <f>COUNTIF(Sheele!$G$20:$J$29,C145)</f>
        <v>0</v>
      </c>
      <c r="G145" s="1925">
        <v>1</v>
      </c>
      <c r="H145" s="1925">
        <f>IF(OR($F145=0,$G145=0),0,MAX($H$111:H144)+1)</f>
        <v>0</v>
      </c>
      <c r="I145" s="1924">
        <v>150</v>
      </c>
      <c r="J145" s="1925" t="s">
        <v>1769</v>
      </c>
      <c r="K145" s="1928">
        <f>ROUNDUP(Sheele!N21*3/10,1)*10</f>
        <v>90</v>
      </c>
      <c r="L145" s="5268" t="s">
        <v>3286</v>
      </c>
      <c r="M145" s="5268"/>
      <c r="N145" s="5268"/>
      <c r="O145" s="5268"/>
      <c r="P145" s="5268"/>
      <c r="Q145" s="5268"/>
      <c r="R145" s="1944" t="s">
        <v>1769</v>
      </c>
      <c r="S145" s="677"/>
    </row>
    <row r="146" spans="2:19" x14ac:dyDescent="0.2">
      <c r="B146" s="659">
        <f t="shared" si="0"/>
        <v>0</v>
      </c>
      <c r="C146" s="671" t="s">
        <v>3287</v>
      </c>
      <c r="D146" s="671"/>
      <c r="E146" s="671"/>
      <c r="F146" s="658">
        <f>COUNTIF(Sheele!$G$20:$J$29,C146)</f>
        <v>0</v>
      </c>
      <c r="G146" s="1925">
        <v>1</v>
      </c>
      <c r="H146" s="1925">
        <f>IF(OR($F146=0,$G146=0),0,MAX($H$111:H145)+1)</f>
        <v>0</v>
      </c>
      <c r="I146" s="1924">
        <v>150</v>
      </c>
      <c r="J146" s="1925" t="s">
        <v>1769</v>
      </c>
      <c r="K146" s="1928" t="s">
        <v>1769</v>
      </c>
      <c r="L146" s="5268" t="str">
        <f>"Ataque automático  25m. RM "&amp;Sheele!N21*2+Sheele!H15&amp;" o -50 turno y x0.5 movimiento"</f>
        <v>Ataque automático  25m. RM 70 o -50 turno y x0.5 movimiento</v>
      </c>
      <c r="M146" s="5268"/>
      <c r="N146" s="5268"/>
      <c r="O146" s="5268"/>
      <c r="P146" s="5268"/>
      <c r="Q146" s="5268"/>
      <c r="R146" s="1944" t="s">
        <v>1769</v>
      </c>
      <c r="S146" s="677"/>
    </row>
    <row r="147" spans="2:19" x14ac:dyDescent="0.2">
      <c r="B147" s="659">
        <f t="shared" si="0"/>
        <v>0</v>
      </c>
      <c r="C147" s="671" t="s">
        <v>3288</v>
      </c>
      <c r="D147" s="671"/>
      <c r="E147" s="671"/>
      <c r="F147" s="658">
        <f>COUNTIF(Sheele!$G$20:$J$29,C147)</f>
        <v>0</v>
      </c>
      <c r="G147" s="1925">
        <v>1</v>
      </c>
      <c r="H147" s="1925">
        <f>IF(OR($F147=0,$G147=0),0,MAX($H$111:H146)+1)</f>
        <v>0</v>
      </c>
      <c r="I147" s="1924">
        <v>150</v>
      </c>
      <c r="J147" s="1925" t="s">
        <v>1769</v>
      </c>
      <c r="K147" s="676" t="s">
        <v>1769</v>
      </c>
      <c r="L147" s="5268" t="s">
        <v>3289</v>
      </c>
      <c r="M147" s="5268"/>
      <c r="N147" s="5268"/>
      <c r="O147" s="5268"/>
      <c r="P147" s="5268"/>
      <c r="Q147" s="5268"/>
      <c r="R147" s="1944" t="s">
        <v>1769</v>
      </c>
      <c r="S147" s="677"/>
    </row>
    <row r="148" spans="2:19" x14ac:dyDescent="0.2">
      <c r="B148" s="659">
        <f t="shared" si="0"/>
        <v>0</v>
      </c>
      <c r="C148" s="671" t="s">
        <v>3290</v>
      </c>
      <c r="D148" s="671"/>
      <c r="E148" s="671"/>
      <c r="F148" s="658">
        <f>COUNTIF(Sheele!$G$20:$J$29,C148)</f>
        <v>0</v>
      </c>
      <c r="G148" s="1925">
        <v>1</v>
      </c>
      <c r="H148" s="1925">
        <f>IF(OR($F148=0,$G148=0),0,MAX($H$111:H147)+1)</f>
        <v>0</v>
      </c>
      <c r="I148" s="1924">
        <v>80</v>
      </c>
      <c r="J148" s="1925" t="s">
        <v>1769</v>
      </c>
      <c r="K148" s="1928" t="s">
        <v>1769</v>
      </c>
      <c r="L148" s="5268" t="str">
        <f>"Area "&amp;Sheele!N21*2&amp;"m. Construcciones e individuos sobre el suelo control de AGI "&amp;Sheele!E12*2&amp;" o derribados"</f>
        <v>Area 60m. Construcciones e individuos sobre el suelo control de AGI 4 o derribados</v>
      </c>
      <c r="M148" s="5268"/>
      <c r="N148" s="5268"/>
      <c r="O148" s="5268"/>
      <c r="P148" s="5268"/>
      <c r="Q148" s="5268"/>
      <c r="R148" s="1944" t="s">
        <v>1769</v>
      </c>
      <c r="S148" s="677"/>
    </row>
    <row r="149" spans="2:19" x14ac:dyDescent="0.2">
      <c r="B149" s="659">
        <f t="shared" si="0"/>
        <v>0</v>
      </c>
      <c r="C149" s="671" t="s">
        <v>3291</v>
      </c>
      <c r="D149" s="671"/>
      <c r="E149" s="671"/>
      <c r="F149" s="658">
        <f>COUNTIF(Sheele!$G$20:$J$29,C149)</f>
        <v>0</v>
      </c>
      <c r="G149" s="1925"/>
      <c r="H149" s="1925">
        <f>IF(OR($F149=0,$G149=0),0,MAX($H$111:H148)+1)</f>
        <v>0</v>
      </c>
      <c r="I149" s="1924" t="s">
        <v>1769</v>
      </c>
      <c r="J149" s="1925" t="s">
        <v>1769</v>
      </c>
      <c r="K149" s="676" t="s">
        <v>1769</v>
      </c>
      <c r="L149" s="5269" t="s">
        <v>3292</v>
      </c>
      <c r="M149" s="5268"/>
      <c r="N149" s="5268"/>
      <c r="O149" s="5268"/>
      <c r="P149" s="5268"/>
      <c r="Q149" s="5268"/>
      <c r="R149" s="1944" t="s">
        <v>1769</v>
      </c>
      <c r="S149" s="677"/>
    </row>
    <row r="150" spans="2:19" x14ac:dyDescent="0.2">
      <c r="B150" s="659">
        <f t="shared" si="0"/>
        <v>0</v>
      </c>
      <c r="C150" s="671" t="s">
        <v>3293</v>
      </c>
      <c r="D150" s="671"/>
      <c r="E150" s="671"/>
      <c r="F150" s="658">
        <f>COUNTIF(Sheele!$G$20:$J$29,C150)</f>
        <v>0</v>
      </c>
      <c r="G150" s="1925">
        <v>1</v>
      </c>
      <c r="H150" s="1925">
        <f>IF(OR($F150=0,$G150=0),0,MAX($H$111:H149)+1)</f>
        <v>0</v>
      </c>
      <c r="I150" s="1924" t="s">
        <v>1769</v>
      </c>
      <c r="J150" s="1925" t="s">
        <v>1769</v>
      </c>
      <c r="K150" s="1928" t="s">
        <v>1769</v>
      </c>
      <c r="L150" s="5268" t="s">
        <v>3294</v>
      </c>
      <c r="M150" s="5268"/>
      <c r="N150" s="5268"/>
      <c r="O150" s="5268"/>
      <c r="P150" s="5268"/>
      <c r="Q150" s="5268"/>
      <c r="R150" s="1944" t="s">
        <v>1693</v>
      </c>
      <c r="S150" s="677"/>
    </row>
    <row r="151" spans="2:19" x14ac:dyDescent="0.2">
      <c r="B151" s="659">
        <f t="shared" si="0"/>
        <v>0</v>
      </c>
      <c r="C151" s="671" t="s">
        <v>3295</v>
      </c>
      <c r="D151" s="671"/>
      <c r="E151" s="671"/>
      <c r="F151" s="658">
        <f>COUNTIF(Sheele!$G$20:$J$29,C151)</f>
        <v>0</v>
      </c>
      <c r="G151" s="1925">
        <v>1</v>
      </c>
      <c r="H151" s="1925">
        <f>IF(OR($F151=0,$G151=0),0,MAX($H$111:H150)+1)</f>
        <v>0</v>
      </c>
      <c r="I151" s="1924">
        <v>150</v>
      </c>
      <c r="J151" s="1927">
        <f>Sheele!N10+50</f>
        <v>110</v>
      </c>
      <c r="K151" s="1928"/>
      <c r="L151" s="5268" t="str">
        <f>"Ataque 100m. De lograr daño, Control FUE "&amp;Sheele!E12+Sheele!E15+Sheele!E16&amp;" -1 por TA CON. 10 daño/fallo (50 a acumulación)"</f>
        <v>Ataque 100m. De lograr daño, Control FUE 16 -1 por TA CON. 10 daño/fallo (50 a acumulación)</v>
      </c>
      <c r="M151" s="5268"/>
      <c r="N151" s="5268"/>
      <c r="O151" s="5268"/>
      <c r="P151" s="5268"/>
      <c r="Q151" s="5268"/>
      <c r="R151" s="1944" t="s">
        <v>1769</v>
      </c>
      <c r="S151" s="677"/>
    </row>
    <row r="152" spans="2:19" x14ac:dyDescent="0.2">
      <c r="B152" s="659">
        <f t="shared" si="0"/>
        <v>0</v>
      </c>
      <c r="C152" s="671" t="s">
        <v>3248</v>
      </c>
      <c r="D152" s="671"/>
      <c r="E152" s="671"/>
      <c r="F152" s="658">
        <f>COUNTIF(Sheele!$G$20:$J$29,C152)</f>
        <v>0</v>
      </c>
      <c r="G152" s="1925"/>
      <c r="H152" s="1925">
        <f>IF(OR($F152=0,$G152=0),0,MAX($H$111:H151)+1)</f>
        <v>0</v>
      </c>
      <c r="I152" s="1924" t="s">
        <v>1769</v>
      </c>
      <c r="J152" s="1927" t="s">
        <v>1769</v>
      </c>
      <c r="K152" s="1928" t="s">
        <v>1769</v>
      </c>
      <c r="L152" s="5269" t="s">
        <v>3249</v>
      </c>
      <c r="M152" s="5268"/>
      <c r="N152" s="5268"/>
      <c r="O152" s="5268"/>
      <c r="P152" s="5268"/>
      <c r="Q152" s="5268"/>
      <c r="R152" s="1944" t="s">
        <v>1769</v>
      </c>
      <c r="S152" s="677"/>
    </row>
    <row r="153" spans="2:19" x14ac:dyDescent="0.2">
      <c r="B153" s="659">
        <f t="shared" si="0"/>
        <v>0</v>
      </c>
      <c r="C153" s="671" t="s">
        <v>3296</v>
      </c>
      <c r="D153" s="671"/>
      <c r="E153" s="671"/>
      <c r="F153" s="658">
        <f>COUNTIF(Sheele!$G$20:$J$29,C153)</f>
        <v>0</v>
      </c>
      <c r="G153" s="1925">
        <v>1</v>
      </c>
      <c r="H153" s="1925">
        <f>IF(OR($F153=0,$G153=0),0,MAX($H$111:H152)+1)</f>
        <v>0</v>
      </c>
      <c r="I153" s="1924" t="s">
        <v>1769</v>
      </c>
      <c r="J153" s="1925" t="s">
        <v>1769</v>
      </c>
      <c r="K153" s="1928" t="s">
        <v>1769</v>
      </c>
      <c r="L153" s="5268" t="str">
        <f>"Movimiento subterráneo de Tipo "&amp;Sheele!L31</f>
        <v>Movimiento subterráneo de Tipo 8</v>
      </c>
      <c r="M153" s="5268"/>
      <c r="N153" s="5268"/>
      <c r="O153" s="5268"/>
      <c r="P153" s="5268"/>
      <c r="Q153" s="5268"/>
      <c r="R153" s="1944" t="s">
        <v>1769</v>
      </c>
      <c r="S153" s="677"/>
    </row>
    <row r="154" spans="2:19" x14ac:dyDescent="0.2">
      <c r="B154" s="659">
        <f t="shared" si="0"/>
        <v>0</v>
      </c>
      <c r="C154" s="671" t="s">
        <v>3297</v>
      </c>
      <c r="D154" s="671"/>
      <c r="E154" s="671"/>
      <c r="F154" s="658">
        <f>COUNTIF(Sheele!$G$20:$J$29,C154)</f>
        <v>0</v>
      </c>
      <c r="G154" s="1925">
        <v>1</v>
      </c>
      <c r="H154" s="1925">
        <f>IF(OR($F154=0,$G154=0),0,MAX($H$111:H153)+1)</f>
        <v>0</v>
      </c>
      <c r="I154" s="1924" t="s">
        <v>1769</v>
      </c>
      <c r="J154" s="1925" t="s">
        <v>1769</v>
      </c>
      <c r="K154" s="1928" t="s">
        <v>1769</v>
      </c>
      <c r="L154" s="5272" t="s">
        <v>3298</v>
      </c>
      <c r="M154" s="5272"/>
      <c r="N154" s="5272"/>
      <c r="O154" s="5272"/>
      <c r="P154" s="5272"/>
      <c r="Q154" s="5272"/>
      <c r="R154" s="1944" t="s">
        <v>1693</v>
      </c>
      <c r="S154" s="677"/>
    </row>
    <row r="155" spans="2:19" x14ac:dyDescent="0.2">
      <c r="B155" s="659">
        <f t="shared" si="0"/>
        <v>0</v>
      </c>
      <c r="C155" s="1936" t="s">
        <v>3157</v>
      </c>
      <c r="D155" s="673"/>
      <c r="E155" s="673"/>
      <c r="F155" s="665"/>
      <c r="G155" s="670"/>
      <c r="H155" s="669"/>
      <c r="I155" s="674" t="s">
        <v>3234</v>
      </c>
      <c r="J155" s="667" t="s">
        <v>3235</v>
      </c>
      <c r="K155" s="666" t="s">
        <v>1891</v>
      </c>
      <c r="L155" s="5273" t="s">
        <v>1866</v>
      </c>
      <c r="M155" s="5273"/>
      <c r="N155" s="5273"/>
      <c r="O155" s="5273"/>
      <c r="P155" s="5273"/>
      <c r="Q155" s="5273"/>
      <c r="R155" s="1947"/>
    </row>
    <row r="156" spans="2:19" ht="15.75" customHeight="1" x14ac:dyDescent="0.2">
      <c r="B156" s="659">
        <f t="shared" ref="B156:B199" si="1">H156</f>
        <v>0</v>
      </c>
      <c r="C156" s="671" t="s">
        <v>3299</v>
      </c>
      <c r="D156" s="671"/>
      <c r="E156" s="671"/>
      <c r="F156" s="658">
        <f>COUNTIF(Sheele!$G$20:$J$29,C156)</f>
        <v>0</v>
      </c>
      <c r="G156" s="1925">
        <v>1</v>
      </c>
      <c r="H156" s="1925">
        <f>IF(OR($F156=0,$G156=0),0,MAX($H$111:H155)+1)</f>
        <v>0</v>
      </c>
      <c r="I156" s="1924">
        <v>250</v>
      </c>
      <c r="J156" s="1925">
        <f>Sheele!N10</f>
        <v>60</v>
      </c>
      <c r="K156" s="1928">
        <v>40</v>
      </c>
      <c r="L156" s="5268" t="str">
        <f>"Crea "&amp;Sheele!G15&amp;" proyectiles durante máximo "&amp;Sheele!G16&amp;" asaltos. Máximo "&amp;ROUNDDOWN(Sheele!G11/2,0)&amp;" ataques/ turno. Ataca en ENE."</f>
        <v>Crea 8 proyectiles durante máximo 6 asaltos. Máximo 4 ataques/ turno. Ataca en ENE.</v>
      </c>
      <c r="M156" s="5268"/>
      <c r="N156" s="5268"/>
      <c r="O156" s="5268"/>
      <c r="P156" s="5268"/>
      <c r="Q156" s="5268"/>
      <c r="R156" s="1944" t="s">
        <v>1769</v>
      </c>
    </row>
    <row r="157" spans="2:19" ht="12.75" customHeight="1" x14ac:dyDescent="0.2">
      <c r="B157" s="659">
        <f t="shared" si="1"/>
        <v>0</v>
      </c>
      <c r="C157" s="671" t="s">
        <v>3300</v>
      </c>
      <c r="D157" s="671"/>
      <c r="E157" s="671"/>
      <c r="F157" s="658">
        <f>COUNTIF(Sheele!$G$20:$J$29,C157)</f>
        <v>0</v>
      </c>
      <c r="G157" s="1925">
        <v>1</v>
      </c>
      <c r="H157" s="1925">
        <f>IF(OR($F157=0,$G157=0),0,MAX($H$111:H156)+1)</f>
        <v>0</v>
      </c>
      <c r="I157" s="1924">
        <v>250</v>
      </c>
      <c r="J157" s="1925" t="str">
        <f>Sheele!N10&amp;"+"</f>
        <v>60+</v>
      </c>
      <c r="K157" s="1928">
        <f>Sheele!N21</f>
        <v>30</v>
      </c>
      <c r="L157" s="5268" t="str">
        <f>"Ataque ENE. +15 Proy cada asalto que lo prepare, máximo "&amp;Sheele!G15&amp;" asaltos."</f>
        <v>Ataque ENE. +15 Proy cada asalto que lo prepare, máximo 8 asaltos.</v>
      </c>
      <c r="M157" s="5268"/>
      <c r="N157" s="5268"/>
      <c r="O157" s="5268"/>
      <c r="P157" s="5268"/>
      <c r="Q157" s="5268"/>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68" t="str">
        <f>"5 asaltos. +"&amp;Sheele!H15*2&amp;" a toda acción y al ACT transferible. Después, -50 ata (10/ asalto)"</f>
        <v>5 asaltos. +20 a toda acción y al ACT transferible. Después, -50 ata (10/ asalto)</v>
      </c>
      <c r="M158" s="5268"/>
      <c r="N158" s="5268"/>
      <c r="O158" s="5268"/>
      <c r="P158" s="5268"/>
      <c r="Q158" s="5268"/>
      <c r="R158" s="1944" t="s">
        <v>1769</v>
      </c>
    </row>
    <row r="159" spans="2:19" x14ac:dyDescent="0.2">
      <c r="B159" s="659">
        <f t="shared" si="1"/>
        <v>0</v>
      </c>
      <c r="C159" s="671" t="s">
        <v>3301</v>
      </c>
      <c r="D159" s="671"/>
      <c r="E159" s="671"/>
      <c r="F159" s="658">
        <f>COUNTIF(Sheele!$G$20:$J$29,C159)</f>
        <v>0</v>
      </c>
      <c r="G159" s="1925">
        <v>1</v>
      </c>
      <c r="H159" s="1925">
        <f>IF(OR($F159=0,$G159=0),0,MAX($H$111:H158)+1)</f>
        <v>0</v>
      </c>
      <c r="I159" s="1924">
        <v>10</v>
      </c>
      <c r="J159" s="1925" t="s">
        <v>1769</v>
      </c>
      <c r="K159" s="1928" t="s">
        <v>1769</v>
      </c>
      <c r="L159" s="5268" t="str">
        <f>"Cura "&amp;Sheele!N21&amp;" PV o elimina penalizadores por el mismo valor. 1 uso/ persona/ día."</f>
        <v>Cura 30 PV o elimina penalizadores por el mismo valor. 1 uso/ persona/ día.</v>
      </c>
      <c r="M159" s="5268"/>
      <c r="N159" s="5268"/>
      <c r="O159" s="5268"/>
      <c r="P159" s="5268"/>
      <c r="Q159" s="5268"/>
      <c r="R159" s="1944" t="s">
        <v>1769</v>
      </c>
    </row>
    <row r="160" spans="2:19" x14ac:dyDescent="0.2">
      <c r="B160" s="659">
        <f t="shared" si="1"/>
        <v>0</v>
      </c>
      <c r="C160" s="671" t="s">
        <v>3302</v>
      </c>
      <c r="D160" s="671"/>
      <c r="E160" s="671"/>
      <c r="F160" s="658">
        <f>COUNTIF(Sheele!$G$20:$J$29,C160)</f>
        <v>0</v>
      </c>
      <c r="G160" s="1925">
        <v>1</v>
      </c>
      <c r="H160" s="1925">
        <f>IF(OR($F160=0,$G160=0),0,MAX($H$111:H159)+1)</f>
        <v>0</v>
      </c>
      <c r="I160" s="1924" t="s">
        <v>1769</v>
      </c>
      <c r="J160" s="1927" t="s">
        <v>1769</v>
      </c>
      <c r="K160" s="1928" t="s">
        <v>1769</v>
      </c>
      <c r="L160" s="5268" t="s">
        <v>3303</v>
      </c>
      <c r="M160" s="5268"/>
      <c r="N160" s="5268"/>
      <c r="O160" s="5268"/>
      <c r="P160" s="5268"/>
      <c r="Q160" s="5268"/>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69" t="s">
        <v>3304</v>
      </c>
      <c r="M161" s="5268"/>
      <c r="N161" s="5268"/>
      <c r="O161" s="5268"/>
      <c r="P161" s="5268"/>
      <c r="Q161" s="5268"/>
      <c r="R161" s="1944" t="s">
        <v>1769</v>
      </c>
    </row>
    <row r="162" spans="2:18" x14ac:dyDescent="0.2">
      <c r="B162" s="659">
        <f t="shared" si="1"/>
        <v>0</v>
      </c>
      <c r="C162" s="671" t="s">
        <v>3305</v>
      </c>
      <c r="D162" s="671"/>
      <c r="E162" s="671"/>
      <c r="F162" s="658">
        <f>COUNTIF(Sheele!$G$20:$J$29,C162)</f>
        <v>0</v>
      </c>
      <c r="G162" s="1925">
        <v>1</v>
      </c>
      <c r="H162" s="1925">
        <f>IF(OR($F162=0,$G162=0),0,MAX($H$111:H161)+1)</f>
        <v>0</v>
      </c>
      <c r="I162" s="1924" t="s">
        <v>1769</v>
      </c>
      <c r="J162" s="1927" t="s">
        <v>1769</v>
      </c>
      <c r="K162" s="1928" t="s">
        <v>1769</v>
      </c>
      <c r="L162" s="5269" t="s">
        <v>3306</v>
      </c>
      <c r="M162" s="5268"/>
      <c r="N162" s="5268"/>
      <c r="O162" s="5268"/>
      <c r="P162" s="5268"/>
      <c r="Q162" s="5268"/>
      <c r="R162" s="1944" t="s">
        <v>1693</v>
      </c>
    </row>
    <row r="163" spans="2:18" x14ac:dyDescent="0.2">
      <c r="B163" s="659">
        <f t="shared" si="1"/>
        <v>0</v>
      </c>
      <c r="C163" s="671" t="s">
        <v>3248</v>
      </c>
      <c r="D163" s="671"/>
      <c r="E163" s="671"/>
      <c r="F163" s="658">
        <f>COUNTIF(Sheele!$G$20:$J$29,C163)</f>
        <v>0</v>
      </c>
      <c r="G163" s="1925"/>
      <c r="H163" s="1925">
        <f>IF(OR($F163=0,$G163=0),0,MAX($H$111:H162)+1)</f>
        <v>0</v>
      </c>
      <c r="I163" s="1924" t="s">
        <v>1769</v>
      </c>
      <c r="J163" s="1925" t="s">
        <v>1769</v>
      </c>
      <c r="K163" s="1928" t="s">
        <v>1769</v>
      </c>
      <c r="L163" s="5269" t="s">
        <v>3249</v>
      </c>
      <c r="M163" s="5268"/>
      <c r="N163" s="5268"/>
      <c r="O163" s="5268"/>
      <c r="P163" s="5268"/>
      <c r="Q163" s="5268"/>
      <c r="R163" s="1944" t="s">
        <v>1769</v>
      </c>
    </row>
    <row r="164" spans="2:18" x14ac:dyDescent="0.2">
      <c r="B164" s="659">
        <f t="shared" si="1"/>
        <v>0</v>
      </c>
      <c r="C164" s="671" t="s">
        <v>3307</v>
      </c>
      <c r="D164" s="671"/>
      <c r="E164" s="671"/>
      <c r="F164" s="658">
        <f>COUNTIF(Sheele!$G$20:$J$29,C164)</f>
        <v>0</v>
      </c>
      <c r="G164" s="1925">
        <v>1</v>
      </c>
      <c r="H164" s="1925">
        <f>IF(OR($F164=0,$G164=0),0,MAX($H$111:H163)+1)</f>
        <v>0</v>
      </c>
      <c r="I164" s="1924" t="s">
        <v>1769</v>
      </c>
      <c r="J164" s="1927" t="s">
        <v>1769</v>
      </c>
      <c r="K164" s="1928" t="s">
        <v>1769</v>
      </c>
      <c r="L164" s="5268" t="str">
        <f>"A voluntad. inmune a los ataques físicos. Puede cegar 1 turno por cada 10 de fallo en RM "&amp;Sheele!N21*2+Sheele!H15</f>
        <v>A voluntad. inmune a los ataques físicos. Puede cegar 1 turno por cada 10 de fallo en RM 70</v>
      </c>
      <c r="M164" s="5268"/>
      <c r="N164" s="5268"/>
      <c r="O164" s="5268"/>
      <c r="P164" s="5268"/>
      <c r="Q164" s="5268"/>
      <c r="R164" s="1944" t="s">
        <v>1769</v>
      </c>
    </row>
    <row r="165" spans="2:18" x14ac:dyDescent="0.2">
      <c r="B165" s="659">
        <f t="shared" si="1"/>
        <v>0</v>
      </c>
      <c r="C165" s="671" t="s">
        <v>3308</v>
      </c>
      <c r="D165" s="671"/>
      <c r="E165" s="671"/>
      <c r="F165" s="658">
        <f>COUNTIF(Sheele!$G$20:$J$29,C165)</f>
        <v>0</v>
      </c>
      <c r="G165" s="1925"/>
      <c r="H165" s="1925">
        <f>IF(OR($F165=0,$G165=0),0,MAX($H$111:H164)+1)</f>
        <v>0</v>
      </c>
      <c r="I165" s="1924" t="s">
        <v>1769</v>
      </c>
      <c r="J165" s="1925" t="s">
        <v>1769</v>
      </c>
      <c r="K165" s="1928" t="s">
        <v>1769</v>
      </c>
      <c r="L165" s="5271" t="s">
        <v>3309</v>
      </c>
      <c r="M165" s="5272"/>
      <c r="N165" s="5272"/>
      <c r="O165" s="5272"/>
      <c r="P165" s="5272"/>
      <c r="Q165" s="5272"/>
      <c r="R165" s="1944" t="s">
        <v>1769</v>
      </c>
    </row>
    <row r="166" spans="2:18" x14ac:dyDescent="0.2">
      <c r="B166" s="1935">
        <f t="shared" si="1"/>
        <v>0</v>
      </c>
      <c r="C166" s="1936" t="s">
        <v>3161</v>
      </c>
      <c r="D166" s="673"/>
      <c r="E166" s="673"/>
      <c r="F166" s="665"/>
      <c r="G166" s="670"/>
      <c r="H166" s="669"/>
      <c r="I166" s="674" t="s">
        <v>3234</v>
      </c>
      <c r="J166" s="667" t="s">
        <v>3235</v>
      </c>
      <c r="K166" s="666" t="s">
        <v>1891</v>
      </c>
      <c r="L166" s="5273" t="s">
        <v>1866</v>
      </c>
      <c r="M166" s="5273"/>
      <c r="N166" s="5273"/>
      <c r="O166" s="5273"/>
      <c r="P166" s="5273"/>
      <c r="Q166" s="5273"/>
      <c r="R166" s="1947"/>
    </row>
    <row r="167" spans="2:18" x14ac:dyDescent="0.2">
      <c r="B167" s="1935">
        <f t="shared" si="1"/>
        <v>0</v>
      </c>
      <c r="C167" s="671" t="s">
        <v>3310</v>
      </c>
      <c r="D167" s="671"/>
      <c r="E167" s="671"/>
      <c r="F167" s="658">
        <f>COUNTIF(Sheele!$G$20:$J$29,C167)</f>
        <v>0</v>
      </c>
      <c r="G167" s="1925"/>
      <c r="H167" s="1925">
        <f>IF(OR($F167=0,$G167=0),0,MAX($H$111:H166)+1)</f>
        <v>0</v>
      </c>
      <c r="I167" s="1924"/>
      <c r="J167" s="1925"/>
      <c r="K167" s="1928"/>
      <c r="L167" s="5274" t="s">
        <v>3311</v>
      </c>
      <c r="M167" s="5275"/>
      <c r="N167" s="5275"/>
      <c r="O167" s="5275"/>
      <c r="P167" s="5275"/>
      <c r="Q167" s="5275"/>
      <c r="R167" s="1944" t="s">
        <v>1769</v>
      </c>
    </row>
    <row r="168" spans="2:18" x14ac:dyDescent="0.2">
      <c r="B168" s="1935">
        <f t="shared" si="1"/>
        <v>0</v>
      </c>
      <c r="C168" s="671" t="s">
        <v>3312</v>
      </c>
      <c r="D168" s="671"/>
      <c r="E168" s="671"/>
      <c r="F168" s="658">
        <f>COUNTIF(Sheele!$G$20:$J$29,C168)</f>
        <v>0</v>
      </c>
      <c r="G168" s="1925">
        <v>1</v>
      </c>
      <c r="H168" s="1925">
        <f>IF(OR($F168=0,$G168=0),0,MAX($H$111:H167)+1)</f>
        <v>0</v>
      </c>
      <c r="I168" s="1924">
        <v>300</v>
      </c>
      <c r="J168" s="1925">
        <f>Sheele!$N$10</f>
        <v>60</v>
      </c>
      <c r="K168" s="1928">
        <f>Sheele!N21*2</f>
        <v>60</v>
      </c>
      <c r="L168" s="5268" t="s">
        <v>3313</v>
      </c>
      <c r="M168" s="5268"/>
      <c r="N168" s="5268"/>
      <c r="O168" s="5268"/>
      <c r="P168" s="5268"/>
      <c r="Q168" s="5268"/>
      <c r="R168" s="1944" t="s">
        <v>1769</v>
      </c>
    </row>
    <row r="169" spans="2:18" x14ac:dyDescent="0.2">
      <c r="B169" s="1935">
        <f t="shared" si="1"/>
        <v>0</v>
      </c>
      <c r="C169" s="671" t="s">
        <v>3314</v>
      </c>
      <c r="D169" s="671"/>
      <c r="E169" s="671"/>
      <c r="F169" s="658">
        <f>COUNTIF(Sheele!$G$20:$J$29,C169)</f>
        <v>0</v>
      </c>
      <c r="G169" s="1925">
        <v>1</v>
      </c>
      <c r="H169" s="1925">
        <f>IF(OR($F169=0,$G169=0),0,MAX($H$111:H168)+1)</f>
        <v>0</v>
      </c>
      <c r="I169" s="1924">
        <v>250</v>
      </c>
      <c r="J169" s="1925">
        <f>Sheele!$N$12+100</f>
        <v>160</v>
      </c>
      <c r="K169" s="1928" t="s">
        <v>1769</v>
      </c>
      <c r="L169" s="5268" t="str">
        <f>"Defensa. RM "&amp;Sheele!N21*2+Sheele!H15&amp;" (Pres·2+ POD) o -50 a toda acción que se recupera a 10/asalto"</f>
        <v>Defensa. RM 70 (Pres·2+ POD) o -50 a toda acción que se recupera a 10/asalto</v>
      </c>
      <c r="M169" s="5268"/>
      <c r="N169" s="5268"/>
      <c r="O169" s="5268"/>
      <c r="P169" s="5268"/>
      <c r="Q169" s="5268"/>
      <c r="R169" s="1944" t="s">
        <v>1769</v>
      </c>
    </row>
    <row r="170" spans="2:18" x14ac:dyDescent="0.2">
      <c r="B170" s="1935">
        <f t="shared" si="1"/>
        <v>0</v>
      </c>
      <c r="C170" s="671" t="s">
        <v>3315</v>
      </c>
      <c r="D170" s="671"/>
      <c r="E170" s="671"/>
      <c r="F170" s="658">
        <f>COUNTIF(Sheele!$G$20:$J$29,C170)</f>
        <v>0</v>
      </c>
      <c r="G170" s="1925">
        <v>1</v>
      </c>
      <c r="H170" s="1925">
        <f>IF(OR($F170=0,$G170=0),0,MAX($H$111:H169)+1)</f>
        <v>0</v>
      </c>
      <c r="I170" s="1924">
        <v>20</v>
      </c>
      <c r="J170" s="1925" t="s">
        <v>1769</v>
      </c>
      <c r="K170" s="1928" t="s">
        <v>1769</v>
      </c>
      <c r="L170" s="5268" t="s">
        <v>3316</v>
      </c>
      <c r="M170" s="5268"/>
      <c r="N170" s="5268"/>
      <c r="O170" s="5268"/>
      <c r="P170" s="5268"/>
      <c r="Q170" s="5268"/>
      <c r="R170" s="1944" t="s">
        <v>1769</v>
      </c>
    </row>
    <row r="171" spans="2:18" x14ac:dyDescent="0.2">
      <c r="B171" s="1935">
        <f t="shared" si="1"/>
        <v>0</v>
      </c>
      <c r="C171" s="671" t="s">
        <v>3317</v>
      </c>
      <c r="D171" s="671"/>
      <c r="E171" s="671"/>
      <c r="F171" s="658">
        <f>COUNTIF(Sheele!$G$20:$J$29,C171)</f>
        <v>0</v>
      </c>
      <c r="G171" s="1925">
        <v>1</v>
      </c>
      <c r="H171" s="1925">
        <f>IF(OR($F171=0,$G171=0),0,MAX($H$111:H170)+1)</f>
        <v>0</v>
      </c>
      <c r="I171" s="1924">
        <v>200</v>
      </c>
      <c r="J171" s="1925" t="s">
        <v>1769</v>
      </c>
      <c r="K171" s="1928" t="s">
        <v>1769</v>
      </c>
      <c r="L171" s="5268" t="str">
        <f>"Un blanco a 50m. RM "&amp;Sheele!N21*2&amp;" (Pres·2) o sufre -"&amp;Sheele!H15*2&amp;" (POD·2) a toda acción."</f>
        <v>Un blanco a 50m. RM 60 (Pres·2) o sufre -20 (POD·2) a toda acción.</v>
      </c>
      <c r="M171" s="5268"/>
      <c r="N171" s="5268"/>
      <c r="O171" s="5268"/>
      <c r="P171" s="5268"/>
      <c r="Q171" s="5268"/>
      <c r="R171" s="1944" t="s">
        <v>1769</v>
      </c>
    </row>
    <row r="172" spans="2:18" x14ac:dyDescent="0.2">
      <c r="B172" s="1935">
        <f t="shared" si="1"/>
        <v>0</v>
      </c>
      <c r="C172" s="671" t="s">
        <v>3318</v>
      </c>
      <c r="D172" s="671"/>
      <c r="E172" s="671"/>
      <c r="F172" s="658">
        <f>COUNTIF(Sheele!$G$20:$J$29,C172)</f>
        <v>0</v>
      </c>
      <c r="G172" s="1925">
        <v>1</v>
      </c>
      <c r="H172" s="1925">
        <f>IF(OR($F172=0,$G172=0),0,MAX($H$111:H171)+1)</f>
        <v>0</v>
      </c>
      <c r="I172" s="1924">
        <v>250</v>
      </c>
      <c r="J172" s="1925" t="s">
        <v>1769</v>
      </c>
      <c r="K172" s="1928" t="s">
        <v>1769</v>
      </c>
      <c r="L172" s="5268" t="str">
        <f>"5 asaltos. +"&amp;Sheele!H15*2&amp;" (POD·2) ATA y al ACT trasferible. Al finalizar, -50 ATA (-10/asalto)"</f>
        <v>5 asaltos. +20 (POD·2) ATA y al ACT trasferible. Al finalizar, -50 ATA (-10/asalto)</v>
      </c>
      <c r="M172" s="5268"/>
      <c r="N172" s="5268"/>
      <c r="O172" s="5268"/>
      <c r="P172" s="5268"/>
      <c r="Q172" s="5268"/>
      <c r="R172" s="1944" t="s">
        <v>1769</v>
      </c>
    </row>
    <row r="173" spans="2:18" x14ac:dyDescent="0.2">
      <c r="B173" s="1935">
        <f t="shared" si="1"/>
        <v>0</v>
      </c>
      <c r="C173" s="671" t="s">
        <v>3319</v>
      </c>
      <c r="D173" s="671"/>
      <c r="E173" s="671"/>
      <c r="F173" s="658">
        <f>COUNTIF(Sheele!$G$20:$J$29,C173)</f>
        <v>0</v>
      </c>
      <c r="G173" s="1925">
        <v>1</v>
      </c>
      <c r="H173" s="1925">
        <f>IF(OR($F173=0,$G173=0),0,MAX($H$111:H172)+1)</f>
        <v>0</v>
      </c>
      <c r="I173" s="1924" t="s">
        <v>1769</v>
      </c>
      <c r="J173" s="1927" t="s">
        <v>1769</v>
      </c>
      <c r="K173" s="1928" t="s">
        <v>1769</v>
      </c>
      <c r="L173" s="5268" t="str">
        <f>"Objetivo durmiendo. RM "&amp;Sheele!N21*2+Sheele!H15&amp;" (Pres·2+ POD) o malos sueños. En la Vigilia es más potente"</f>
        <v>Objetivo durmiendo. RM 70 (Pres·2+ POD) o malos sueños. En la Vigilia es más potente</v>
      </c>
      <c r="M173" s="5268"/>
      <c r="N173" s="5268"/>
      <c r="O173" s="5268"/>
      <c r="P173" s="5268"/>
      <c r="Q173" s="5268"/>
      <c r="R173" s="1944" t="s">
        <v>1769</v>
      </c>
    </row>
    <row r="174" spans="2:18" x14ac:dyDescent="0.2">
      <c r="B174" s="1935">
        <f t="shared" si="1"/>
        <v>0</v>
      </c>
      <c r="C174" s="671" t="s">
        <v>3320</v>
      </c>
      <c r="D174" s="671"/>
      <c r="E174" s="671"/>
      <c r="F174" s="658">
        <f>COUNTIF(Sheele!$G$20:$J$29,C174)</f>
        <v>0</v>
      </c>
      <c r="G174" s="1925">
        <v>1</v>
      </c>
      <c r="H174" s="1925">
        <f>IF(OR($F174=0,$G174=0),0,MAX($H$111:H173)+1)</f>
        <v>0</v>
      </c>
      <c r="I174" s="1924" t="s">
        <v>1769</v>
      </c>
      <c r="J174" s="1925" t="s">
        <v>1769</v>
      </c>
      <c r="K174" s="1928" t="s">
        <v>1769</v>
      </c>
      <c r="L174" s="5268" t="s">
        <v>3321</v>
      </c>
      <c r="M174" s="5268"/>
      <c r="N174" s="5268"/>
      <c r="O174" s="5268"/>
      <c r="P174" s="5268"/>
      <c r="Q174" s="5268"/>
      <c r="R174" s="1944" t="s">
        <v>1693</v>
      </c>
    </row>
    <row r="175" spans="2:18" x14ac:dyDescent="0.2">
      <c r="B175" s="1935">
        <f t="shared" si="1"/>
        <v>0</v>
      </c>
      <c r="C175" s="671" t="s">
        <v>3248</v>
      </c>
      <c r="D175" s="671"/>
      <c r="E175" s="671"/>
      <c r="F175" s="658">
        <f>COUNTIF(Sheele!$G$20:$J$29,C175)</f>
        <v>0</v>
      </c>
      <c r="G175" s="1925"/>
      <c r="H175" s="1925">
        <f>IF(OR($F175=0,$G175=0),0,MAX($H$111:H174)+1)</f>
        <v>0</v>
      </c>
      <c r="I175" s="1924" t="s">
        <v>1769</v>
      </c>
      <c r="J175" s="1927" t="s">
        <v>1769</v>
      </c>
      <c r="K175" s="1928" t="s">
        <v>1769</v>
      </c>
      <c r="L175" s="5269" t="s">
        <v>3249</v>
      </c>
      <c r="M175" s="5268"/>
      <c r="N175" s="5268"/>
      <c r="O175" s="5268"/>
      <c r="P175" s="5268"/>
      <c r="Q175" s="5268"/>
      <c r="R175" s="1944" t="s">
        <v>1769</v>
      </c>
    </row>
    <row r="176" spans="2:18" x14ac:dyDescent="0.2">
      <c r="B176" s="1935">
        <f t="shared" si="1"/>
        <v>0</v>
      </c>
      <c r="C176" s="671" t="s">
        <v>3322</v>
      </c>
      <c r="D176" s="671"/>
      <c r="E176" s="671"/>
      <c r="F176" s="658">
        <f>COUNTIF(Sheele!$G$20:$J$29,C176)</f>
        <v>0</v>
      </c>
      <c r="G176" s="1925">
        <v>1</v>
      </c>
      <c r="H176" s="1925">
        <f>IF(OR($F176=0,$G176=0),0,MAX($H$111:H175)+1)</f>
        <v>0</v>
      </c>
      <c r="I176" s="1924" t="s">
        <v>1769</v>
      </c>
      <c r="J176" s="1925" t="s">
        <v>1769</v>
      </c>
      <c r="K176" s="1928">
        <f>Sheele!N21+Sheele!H12</f>
        <v>10</v>
      </c>
      <c r="L176" s="5272" t="str">
        <f>"Puede atacar y defender usando su proyección. Daño base "&amp;Sheele!N21+Sheele!H12</f>
        <v>Puede atacar y defender usando su proyección. Daño base 10</v>
      </c>
      <c r="M176" s="5272"/>
      <c r="N176" s="5272"/>
      <c r="O176" s="5272"/>
      <c r="P176" s="5272"/>
      <c r="Q176" s="5272"/>
      <c r="R176" s="1944"/>
    </row>
    <row r="177" spans="2:18" x14ac:dyDescent="0.2">
      <c r="B177" s="659">
        <f t="shared" si="1"/>
        <v>0</v>
      </c>
      <c r="C177" s="1936" t="s">
        <v>3166</v>
      </c>
      <c r="D177" s="673"/>
      <c r="E177" s="673"/>
      <c r="F177" s="665"/>
      <c r="G177" s="670"/>
      <c r="H177" s="669"/>
      <c r="I177" s="674" t="s">
        <v>3234</v>
      </c>
      <c r="J177" s="667" t="s">
        <v>3235</v>
      </c>
      <c r="K177" s="666" t="s">
        <v>1891</v>
      </c>
      <c r="L177" s="5273" t="s">
        <v>1866</v>
      </c>
      <c r="M177" s="5273"/>
      <c r="N177" s="5273"/>
      <c r="O177" s="5273"/>
      <c r="P177" s="5273"/>
      <c r="Q177" s="5273"/>
      <c r="R177" s="1947"/>
    </row>
    <row r="178" spans="2:18" x14ac:dyDescent="0.2">
      <c r="B178" s="659">
        <f t="shared" si="1"/>
        <v>0</v>
      </c>
      <c r="C178" s="671" t="s">
        <v>3323</v>
      </c>
      <c r="D178" s="671"/>
      <c r="E178" s="671"/>
      <c r="F178" s="658">
        <f>COUNTIF(Sheele!$G$20:$J$29,C178)</f>
        <v>0</v>
      </c>
      <c r="G178" s="1925">
        <v>1</v>
      </c>
      <c r="H178" s="1925">
        <f>IF(OR($F178=0,$G178=0),0,MAX($H$111:H177)+1)</f>
        <v>0</v>
      </c>
      <c r="I178" s="1924" t="s">
        <v>3324</v>
      </c>
      <c r="J178" s="1925">
        <f>50+Sheele!N10</f>
        <v>110</v>
      </c>
      <c r="K178" s="676" t="s">
        <v>1769</v>
      </c>
      <c r="L178" s="5268" t="str">
        <f>"Ataque de presa de FUE "&amp;Sheele!G15&amp;". Se puede mantener pagando el coste de zeon."</f>
        <v>Ataque de presa de FUE 8. Se puede mantener pagando el coste de zeon.</v>
      </c>
      <c r="M178" s="5268"/>
      <c r="N178" s="5268"/>
      <c r="O178" s="5268"/>
      <c r="P178" s="5268"/>
      <c r="Q178" s="5268"/>
      <c r="R178" s="1944" t="s">
        <v>1769</v>
      </c>
    </row>
    <row r="179" spans="2:18" x14ac:dyDescent="0.2">
      <c r="B179" s="659">
        <f t="shared" si="1"/>
        <v>0</v>
      </c>
      <c r="C179" s="671" t="s">
        <v>3325</v>
      </c>
      <c r="D179" s="671"/>
      <c r="E179" s="671"/>
      <c r="F179" s="658">
        <f>COUNTIF(Sheele!$G$20:$J$29,C179)</f>
        <v>0</v>
      </c>
      <c r="G179" s="1925">
        <v>1</v>
      </c>
      <c r="H179" s="1925">
        <f>IF(OR($F179=0,$G179=0),0,MAX($H$111:H178)+1)</f>
        <v>0</v>
      </c>
      <c r="I179" s="1924">
        <v>50</v>
      </c>
      <c r="J179" s="1927">
        <f>Sheele!$N$12</f>
        <v>60</v>
      </c>
      <c r="K179" s="1928" t="s">
        <v>1769</v>
      </c>
      <c r="L179" s="5268" t="str">
        <f>"Escudo de aguante "&amp;10*Sheele!N21&amp;", que dura máximo "&amp;Sheele!G16&amp;" asaltos."</f>
        <v>Escudo de aguante 300, que dura máximo 6 asaltos.</v>
      </c>
      <c r="M179" s="5268"/>
      <c r="N179" s="5268"/>
      <c r="O179" s="5268"/>
      <c r="P179" s="5268"/>
      <c r="Q179" s="5268"/>
      <c r="R179" s="1944" t="s">
        <v>1769</v>
      </c>
    </row>
    <row r="180" spans="2:18" x14ac:dyDescent="0.2">
      <c r="B180" s="659">
        <f t="shared" si="1"/>
        <v>0</v>
      </c>
      <c r="C180" s="671" t="s">
        <v>3326</v>
      </c>
      <c r="D180" s="671"/>
      <c r="E180" s="671"/>
      <c r="F180" s="658">
        <f>COUNTIF(Sheele!$G$20:$J$29,C180)</f>
        <v>0</v>
      </c>
      <c r="G180" s="1925">
        <v>1</v>
      </c>
      <c r="H180" s="1925">
        <f>IF(OR($F180=0,$G180=0),0,MAX($H$111:H179)+1)</f>
        <v>0</v>
      </c>
      <c r="I180" s="1924">
        <v>50</v>
      </c>
      <c r="J180" s="1927" t="s">
        <v>1769</v>
      </c>
      <c r="K180" s="1928" t="s">
        <v>1769</v>
      </c>
      <c r="L180" s="5268" t="s">
        <v>3327</v>
      </c>
      <c r="M180" s="5268"/>
      <c r="N180" s="5268"/>
      <c r="O180" s="5268"/>
      <c r="P180" s="5268"/>
      <c r="Q180" s="5268"/>
      <c r="R180" s="1944" t="s">
        <v>1769</v>
      </c>
    </row>
    <row r="181" spans="2:18" ht="12.75" customHeight="1" x14ac:dyDescent="0.2">
      <c r="B181" s="659">
        <f t="shared" si="1"/>
        <v>0</v>
      </c>
      <c r="C181" s="671" t="s">
        <v>3328</v>
      </c>
      <c r="D181" s="671"/>
      <c r="E181" s="671"/>
      <c r="F181" s="658">
        <f>COUNTIF(Sheele!$G$20:$J$29,C181)</f>
        <v>0</v>
      </c>
      <c r="G181" s="1925">
        <v>1</v>
      </c>
      <c r="H181" s="1925">
        <f>IF(OR($F181=0,$G181=0),0,MAX($H$111:H180)+1)</f>
        <v>0</v>
      </c>
      <c r="I181" s="1924">
        <v>10</v>
      </c>
      <c r="J181" s="1925" t="s">
        <v>1769</v>
      </c>
      <c r="K181" s="1928" t="s">
        <v>1769</v>
      </c>
      <c r="L181" s="5268" t="str">
        <f>"Cura "&amp;Sheele!N21*2&amp;" PV. 1 uso/ persona/ día."</f>
        <v>Cura 60 PV. 1 uso/ persona/ día.</v>
      </c>
      <c r="M181" s="5268"/>
      <c r="N181" s="5268"/>
      <c r="O181" s="5268"/>
      <c r="P181" s="5268"/>
      <c r="Q181" s="5268"/>
      <c r="R181" s="1944" t="s">
        <v>1769</v>
      </c>
    </row>
    <row r="182" spans="2:18" ht="13.5" customHeight="1" x14ac:dyDescent="0.2">
      <c r="B182" s="659">
        <f t="shared" si="1"/>
        <v>0</v>
      </c>
      <c r="C182" s="671" t="s">
        <v>3257</v>
      </c>
      <c r="D182" s="671"/>
      <c r="E182" s="671"/>
      <c r="F182" s="658">
        <f>COUNTIF(Sheele!$G$20:$J$29,C182)</f>
        <v>0</v>
      </c>
      <c r="G182" s="1925">
        <v>1</v>
      </c>
      <c r="H182" s="1925">
        <f>IF(OR($F182=0,$G182=0),0,MAX($H$111:H181)+1)</f>
        <v>0</v>
      </c>
      <c r="I182" s="1924">
        <v>150</v>
      </c>
      <c r="J182" s="1925">
        <f>Sheele!N10</f>
        <v>60</v>
      </c>
      <c r="K182" s="1928">
        <f>Sheele!N21</f>
        <v>30</v>
      </c>
      <c r="L182" s="5268" t="s">
        <v>3329</v>
      </c>
      <c r="M182" s="5268"/>
      <c r="N182" s="5268"/>
      <c r="O182" s="5268"/>
      <c r="P182" s="5268"/>
      <c r="Q182" s="5268"/>
      <c r="R182" s="1944" t="s">
        <v>1769</v>
      </c>
    </row>
    <row r="183" spans="2:18" x14ac:dyDescent="0.2">
      <c r="B183" s="659">
        <f t="shared" si="1"/>
        <v>0</v>
      </c>
      <c r="C183" s="671" t="s">
        <v>3330</v>
      </c>
      <c r="D183" s="671"/>
      <c r="E183" s="671"/>
      <c r="F183" s="658">
        <f>COUNTIF(Sheele!$G$20:$J$29,C183)</f>
        <v>0</v>
      </c>
      <c r="G183" s="1925">
        <v>1</v>
      </c>
      <c r="H183" s="1925">
        <f>IF(OR($F183=0,$G183=0),0,MAX($H$111:H182)+1)</f>
        <v>0</v>
      </c>
      <c r="I183" s="1926" t="s">
        <v>1769</v>
      </c>
      <c r="J183" s="1925" t="s">
        <v>1769</v>
      </c>
      <c r="K183" s="1928" t="s">
        <v>1769</v>
      </c>
      <c r="L183" s="5269" t="s">
        <v>3331</v>
      </c>
      <c r="M183" s="5268"/>
      <c r="N183" s="5268"/>
      <c r="O183" s="5268"/>
      <c r="P183" s="5268"/>
      <c r="Q183" s="5268"/>
      <c r="R183" s="1944" t="s">
        <v>1693</v>
      </c>
    </row>
    <row r="184" spans="2:18" x14ac:dyDescent="0.2">
      <c r="B184" s="659">
        <f t="shared" si="1"/>
        <v>0</v>
      </c>
      <c r="C184" s="671" t="s">
        <v>3332</v>
      </c>
      <c r="D184" s="671"/>
      <c r="E184" s="671"/>
      <c r="F184" s="658">
        <f>COUNTIF(Sheele!$G$20:$J$29,C184)</f>
        <v>0</v>
      </c>
      <c r="G184" s="1925">
        <v>1</v>
      </c>
      <c r="H184" s="1925">
        <f>IF(OR($F184=0,$G184=0),0,MAX($H$111:H183)+1)</f>
        <v>0</v>
      </c>
      <c r="I184" s="1926" t="s">
        <v>1769</v>
      </c>
      <c r="J184" s="1927" t="s">
        <v>1769</v>
      </c>
      <c r="K184" s="1928" t="s">
        <v>1769</v>
      </c>
      <c r="L184" s="5268" t="s">
        <v>3333</v>
      </c>
      <c r="M184" s="5268"/>
      <c r="N184" s="5268"/>
      <c r="O184" s="5268"/>
      <c r="P184" s="5268"/>
      <c r="Q184" s="5268"/>
      <c r="R184" s="1944" t="s">
        <v>1693</v>
      </c>
    </row>
    <row r="185" spans="2:18" x14ac:dyDescent="0.2">
      <c r="B185" s="659">
        <f t="shared" si="1"/>
        <v>0</v>
      </c>
      <c r="C185" s="671" t="s">
        <v>3248</v>
      </c>
      <c r="D185" s="671"/>
      <c r="E185" s="671"/>
      <c r="F185" s="658">
        <f>COUNTIF(Sheele!$G$20:$J$29,C185)</f>
        <v>0</v>
      </c>
      <c r="G185" s="1925"/>
      <c r="H185" s="1925">
        <f>IF(OR($F185=0,$G185=0),0,MAX($H$111:H184)+1)</f>
        <v>0</v>
      </c>
      <c r="I185" s="1924" t="s">
        <v>1769</v>
      </c>
      <c r="J185" s="1927" t="s">
        <v>1769</v>
      </c>
      <c r="K185" s="1928" t="s">
        <v>1769</v>
      </c>
      <c r="L185" s="5269" t="s">
        <v>3249</v>
      </c>
      <c r="M185" s="5268"/>
      <c r="N185" s="5268"/>
      <c r="O185" s="5268"/>
      <c r="P185" s="5268"/>
      <c r="Q185" s="5268"/>
      <c r="R185" s="1944" t="s">
        <v>1769</v>
      </c>
    </row>
    <row r="186" spans="2:18" x14ac:dyDescent="0.2">
      <c r="B186" s="659">
        <f t="shared" si="1"/>
        <v>0</v>
      </c>
      <c r="C186" s="671" t="s">
        <v>3334</v>
      </c>
      <c r="D186" s="671"/>
      <c r="E186" s="671"/>
      <c r="F186" s="658">
        <f>COUNTIF(Sheele!$G$20:$J$29,C186)</f>
        <v>0</v>
      </c>
      <c r="G186" s="1925">
        <v>1</v>
      </c>
      <c r="H186" s="1925">
        <f>IF(OR($F186=0,$G186=0),0,MAX($H$111:H185)+1)</f>
        <v>0</v>
      </c>
      <c r="I186" s="1924">
        <v>20</v>
      </c>
      <c r="J186" s="1927" t="s">
        <v>1769</v>
      </c>
      <c r="K186" s="1928" t="s">
        <v>1769</v>
      </c>
      <c r="L186" s="5268" t="s">
        <v>3335</v>
      </c>
      <c r="M186" s="5268"/>
      <c r="N186" s="5268"/>
      <c r="O186" s="5268"/>
      <c r="P186" s="5268"/>
      <c r="Q186" s="5268"/>
      <c r="R186" s="1944" t="s">
        <v>1769</v>
      </c>
    </row>
    <row r="187" spans="2:18" x14ac:dyDescent="0.2">
      <c r="B187" s="659">
        <f t="shared" si="1"/>
        <v>0</v>
      </c>
      <c r="C187" s="671" t="s">
        <v>3336</v>
      </c>
      <c r="D187" s="671"/>
      <c r="E187" s="671"/>
      <c r="F187" s="658">
        <f>COUNTIF(Sheele!$G$20:$J$29,C187)</f>
        <v>0</v>
      </c>
      <c r="G187" s="1925"/>
      <c r="H187" s="1925">
        <f>IF(OR($F187=0,$G187=0),0,MAX($H$111:H186)+1)</f>
        <v>0</v>
      </c>
      <c r="I187" s="1924" t="s">
        <v>1769</v>
      </c>
      <c r="J187" s="1927" t="s">
        <v>1769</v>
      </c>
      <c r="K187" s="1928" t="s">
        <v>1769</v>
      </c>
      <c r="L187" s="5271" t="s">
        <v>3337</v>
      </c>
      <c r="M187" s="5272"/>
      <c r="N187" s="5272"/>
      <c r="O187" s="5272"/>
      <c r="P187" s="5272"/>
      <c r="Q187" s="5272"/>
      <c r="R187" s="1944" t="s">
        <v>1769</v>
      </c>
    </row>
    <row r="188" spans="2:18" x14ac:dyDescent="0.2">
      <c r="B188" s="659">
        <f t="shared" si="1"/>
        <v>0</v>
      </c>
      <c r="C188" s="1936" t="s">
        <v>3170</v>
      </c>
      <c r="D188" s="673"/>
      <c r="E188" s="673"/>
      <c r="F188" s="665"/>
      <c r="G188" s="670"/>
      <c r="H188" s="669"/>
      <c r="I188" s="674" t="s">
        <v>3234</v>
      </c>
      <c r="J188" s="667" t="s">
        <v>3235</v>
      </c>
      <c r="K188" s="666" t="s">
        <v>1891</v>
      </c>
      <c r="L188" s="5273" t="s">
        <v>1866</v>
      </c>
      <c r="M188" s="5273"/>
      <c r="N188" s="5273"/>
      <c r="O188" s="5273"/>
      <c r="P188" s="5273"/>
      <c r="Q188" s="5273"/>
      <c r="R188" s="1947"/>
    </row>
    <row r="189" spans="2:18" x14ac:dyDescent="0.2">
      <c r="B189" s="659">
        <f t="shared" si="1"/>
        <v>0</v>
      </c>
      <c r="C189" s="671" t="s">
        <v>3338</v>
      </c>
      <c r="D189" s="671"/>
      <c r="E189" s="671"/>
      <c r="F189" s="658">
        <f>COUNTIF(Sheele!$G$20:$J$29,C189)</f>
        <v>0</v>
      </c>
      <c r="G189" s="1925">
        <v>1</v>
      </c>
      <c r="H189" s="1925">
        <f>IF(OR($F189=0,$G189=0),0,MAX($H$111:H188)+1)</f>
        <v>0</v>
      </c>
      <c r="I189" s="1924">
        <v>100</v>
      </c>
      <c r="J189" s="1925">
        <f>Sheele!N10+50</f>
        <v>110</v>
      </c>
      <c r="K189" s="1928">
        <f>Sheele!N21*2</f>
        <v>60</v>
      </c>
      <c r="L189" s="5268" t="s">
        <v>3339</v>
      </c>
      <c r="M189" s="5268"/>
      <c r="N189" s="5268"/>
      <c r="O189" s="5268"/>
      <c r="P189" s="5268"/>
      <c r="Q189" s="5268"/>
      <c r="R189" s="1944" t="s">
        <v>1769</v>
      </c>
    </row>
    <row r="190" spans="2:18" x14ac:dyDescent="0.2">
      <c r="B190" s="659">
        <f t="shared" si="1"/>
        <v>0</v>
      </c>
      <c r="C190" s="671" t="s">
        <v>3340</v>
      </c>
      <c r="D190" s="671"/>
      <c r="E190" s="671"/>
      <c r="F190" s="658">
        <f>COUNTIF(Sheele!$G$20:$J$29,C190)</f>
        <v>0</v>
      </c>
      <c r="G190" s="1925">
        <v>1</v>
      </c>
      <c r="H190" s="1925">
        <f>IF(OR($F190=0,$G190=0),0,MAX($H$111:H189)+1)</f>
        <v>0</v>
      </c>
      <c r="I190" s="1924">
        <v>200</v>
      </c>
      <c r="J190" s="1927" t="s">
        <v>1769</v>
      </c>
      <c r="K190" s="1928" t="s">
        <v>1769</v>
      </c>
      <c r="L190" s="5268" t="s">
        <v>3341</v>
      </c>
      <c r="M190" s="5268"/>
      <c r="N190" s="5268"/>
      <c r="O190" s="5268"/>
      <c r="P190" s="5268"/>
      <c r="Q190" s="5268"/>
      <c r="R190" s="1944" t="s">
        <v>1769</v>
      </c>
    </row>
    <row r="191" spans="2:18" x14ac:dyDescent="0.2">
      <c r="B191" s="659">
        <f t="shared" si="1"/>
        <v>0</v>
      </c>
      <c r="C191" s="671" t="s">
        <v>3342</v>
      </c>
      <c r="D191" s="671"/>
      <c r="E191" s="671"/>
      <c r="F191" s="658">
        <f>COUNTIF(Sheele!$G$20:$J$29,C191)</f>
        <v>0</v>
      </c>
      <c r="G191" s="1925">
        <v>1</v>
      </c>
      <c r="H191" s="1925">
        <f>IF(OR($F191=0,$G191=0),0,MAX($H$111:H190)+1)</f>
        <v>0</v>
      </c>
      <c r="I191" s="1924" t="s">
        <v>1769</v>
      </c>
      <c r="J191" s="1927" t="s">
        <v>1769</v>
      </c>
      <c r="K191" s="1928" t="s">
        <v>1769</v>
      </c>
      <c r="L191" s="5268" t="s">
        <v>3343</v>
      </c>
      <c r="M191" s="5268"/>
      <c r="N191" s="5268"/>
      <c r="O191" s="5268"/>
      <c r="P191" s="5268"/>
      <c r="Q191" s="5268"/>
      <c r="R191" s="1944" t="s">
        <v>1769</v>
      </c>
    </row>
    <row r="192" spans="2:18" x14ac:dyDescent="0.2">
      <c r="B192" s="659">
        <f t="shared" si="1"/>
        <v>0</v>
      </c>
      <c r="C192" s="671" t="s">
        <v>3344</v>
      </c>
      <c r="D192" s="671"/>
      <c r="E192" s="671"/>
      <c r="F192" s="658">
        <f>COUNTIF(Sheele!$G$20:$J$29,C192)</f>
        <v>0</v>
      </c>
      <c r="G192" s="1925">
        <v>1</v>
      </c>
      <c r="H192" s="1925">
        <f>IF(OR($F192=0,$G192=0),0,MAX($H$111:H191)+1)</f>
        <v>0</v>
      </c>
      <c r="I192" s="1924">
        <v>100</v>
      </c>
      <c r="J192" s="1927" t="s">
        <v>1769</v>
      </c>
      <c r="K192" s="1928" t="s">
        <v>1769</v>
      </c>
      <c r="L192" s="5268" t="str">
        <f>"Area automática 25m. RM "&amp;Sheele!N21*2+Sheele!H15&amp;" o -[fracaso] a hab. perceptivas y -0.5*[fracaso] ata."</f>
        <v>Area automática 25m. RM 70 o -[fracaso] a hab. perceptivas y -0.5*[fracaso] ata.</v>
      </c>
      <c r="M192" s="5268"/>
      <c r="N192" s="5268"/>
      <c r="O192" s="5268"/>
      <c r="P192" s="5268"/>
      <c r="Q192" s="5268"/>
      <c r="R192" s="1944" t="s">
        <v>1769</v>
      </c>
    </row>
    <row r="193" spans="2:18" x14ac:dyDescent="0.2">
      <c r="B193" s="659">
        <f t="shared" si="1"/>
        <v>0</v>
      </c>
      <c r="C193" s="671" t="s">
        <v>3345</v>
      </c>
      <c r="D193" s="671"/>
      <c r="E193" s="671"/>
      <c r="F193" s="658">
        <f>COUNTIF(Sheele!$G$20:$J$29,C193)</f>
        <v>0</v>
      </c>
      <c r="G193" s="1925">
        <v>1</v>
      </c>
      <c r="H193" s="1925">
        <f>IF(OR($F193=0,$G193=0),0,MAX($H$111:H192)+1)</f>
        <v>0</v>
      </c>
      <c r="I193" s="1924" t="s">
        <v>1769</v>
      </c>
      <c r="J193" s="1927" t="s">
        <v>1769</v>
      </c>
      <c r="K193" s="1928" t="s">
        <v>1769</v>
      </c>
      <c r="L193" s="5268" t="s">
        <v>3346</v>
      </c>
      <c r="M193" s="5268"/>
      <c r="N193" s="5268"/>
      <c r="O193" s="5268"/>
      <c r="P193" s="5268"/>
      <c r="Q193" s="5268"/>
      <c r="R193" s="1944" t="s">
        <v>1769</v>
      </c>
    </row>
    <row r="194" spans="2:18" x14ac:dyDescent="0.2">
      <c r="B194" s="659">
        <f t="shared" si="1"/>
        <v>0</v>
      </c>
      <c r="C194" s="671" t="s">
        <v>3347</v>
      </c>
      <c r="D194" s="671"/>
      <c r="E194" s="671"/>
      <c r="F194" s="658">
        <f>COUNTIF(Sheele!$G$20:$J$29,C194)</f>
        <v>0</v>
      </c>
      <c r="G194" s="1925">
        <v>1</v>
      </c>
      <c r="H194" s="1925">
        <f>IF(OR($F194=0,$G194=0),0,MAX($H$111:H193)+1)</f>
        <v>0</v>
      </c>
      <c r="I194" s="1924" t="s">
        <v>1769</v>
      </c>
      <c r="J194" s="1927" t="s">
        <v>1769</v>
      </c>
      <c r="K194" s="1928" t="s">
        <v>1769</v>
      </c>
      <c r="L194" s="5269" t="s">
        <v>3348</v>
      </c>
      <c r="M194" s="5268"/>
      <c r="N194" s="5268"/>
      <c r="O194" s="5268"/>
      <c r="P194" s="5268"/>
      <c r="Q194" s="5268"/>
      <c r="R194" s="1944" t="s">
        <v>1693</v>
      </c>
    </row>
    <row r="195" spans="2:18" x14ac:dyDescent="0.2">
      <c r="B195" s="659">
        <f t="shared" si="1"/>
        <v>0</v>
      </c>
      <c r="C195" s="671" t="s">
        <v>3349</v>
      </c>
      <c r="D195" s="671"/>
      <c r="E195" s="671"/>
      <c r="F195" s="658">
        <f>COUNTIF(Sheele!$G$20:$J$29,C195)</f>
        <v>0</v>
      </c>
      <c r="G195" s="1925">
        <v>1</v>
      </c>
      <c r="H195" s="1925">
        <f>IF(OR($F195=0,$G195=0),0,MAX($H$111:H194)+1)</f>
        <v>0</v>
      </c>
      <c r="I195" s="1924">
        <v>200</v>
      </c>
      <c r="J195" s="1927" t="str">
        <f>"+10/c"</f>
        <v>+10/c</v>
      </c>
      <c r="K195" s="1928" t="s">
        <v>1769</v>
      </c>
      <c r="L195" s="5268" t="str">
        <f>"Defensa. Crea "&amp;Sheele!G15&amp;" copias. Se desvanece 1/ turno y 1/ defensa. Area las destruye todas."</f>
        <v>Defensa. Crea 8 copias. Se desvanece 1/ turno y 1/ defensa. Area las destruye todas.</v>
      </c>
      <c r="M195" s="5268"/>
      <c r="N195" s="5268"/>
      <c r="O195" s="5268"/>
      <c r="P195" s="5268"/>
      <c r="Q195" s="5268"/>
      <c r="R195" s="1944" t="s">
        <v>1769</v>
      </c>
    </row>
    <row r="196" spans="2:18" x14ac:dyDescent="0.2">
      <c r="B196" s="659">
        <f t="shared" si="1"/>
        <v>0</v>
      </c>
      <c r="C196" s="671" t="s">
        <v>3350</v>
      </c>
      <c r="D196" s="671"/>
      <c r="E196" s="671"/>
      <c r="F196" s="658">
        <f>COUNTIF(Sheele!$G$20:$J$29,C196)</f>
        <v>0</v>
      </c>
      <c r="G196" s="1925">
        <v>1</v>
      </c>
      <c r="H196" s="1925">
        <f>IF(OR($F196=0,$G196=0),0,MAX($H$111:H195)+1)</f>
        <v>0</v>
      </c>
      <c r="I196" s="1924" t="s">
        <v>1769</v>
      </c>
      <c r="J196" s="1927" t="s">
        <v>1769</v>
      </c>
      <c r="K196" s="1928" t="s">
        <v>1769</v>
      </c>
      <c r="L196" s="5268" t="s">
        <v>3351</v>
      </c>
      <c r="M196" s="5268"/>
      <c r="N196" s="5268"/>
      <c r="O196" s="5268"/>
      <c r="P196" s="5268"/>
      <c r="Q196" s="5268"/>
      <c r="R196" s="1944"/>
    </row>
    <row r="197" spans="2:18" x14ac:dyDescent="0.2">
      <c r="B197" s="659">
        <f t="shared" si="1"/>
        <v>0</v>
      </c>
      <c r="C197" s="671" t="s">
        <v>3248</v>
      </c>
      <c r="D197" s="671"/>
      <c r="E197" s="671"/>
      <c r="F197" s="658">
        <f>COUNTIF(Sheele!$G$20:$J$29,C197)</f>
        <v>0</v>
      </c>
      <c r="G197" s="1925"/>
      <c r="H197" s="1925">
        <f>IF(OR($F197=0,$G197=0),0,MAX($H$111:H196)+1)</f>
        <v>0</v>
      </c>
      <c r="I197" s="1924" t="s">
        <v>1769</v>
      </c>
      <c r="J197" s="1927" t="s">
        <v>1769</v>
      </c>
      <c r="K197" s="1928" t="s">
        <v>1769</v>
      </c>
      <c r="L197" s="5269" t="s">
        <v>3249</v>
      </c>
      <c r="M197" s="5268"/>
      <c r="N197" s="5268"/>
      <c r="O197" s="5268"/>
      <c r="P197" s="5268"/>
      <c r="Q197" s="5268"/>
      <c r="R197" s="1944" t="s">
        <v>1769</v>
      </c>
    </row>
    <row r="198" spans="2:18" ht="13.5" thickBot="1" x14ac:dyDescent="0.25">
      <c r="B198" s="678">
        <f t="shared" si="1"/>
        <v>0</v>
      </c>
      <c r="C198" s="679" t="s">
        <v>3352</v>
      </c>
      <c r="D198" s="679"/>
      <c r="E198" s="679"/>
      <c r="F198" s="1445">
        <f>COUNTIF(Sheele!$G$20:$J$29,C198)</f>
        <v>0</v>
      </c>
      <c r="G198" s="646">
        <v>1</v>
      </c>
      <c r="H198" s="646">
        <f>IF(OR($F198=0,$G198=0),0,MAX($H$111:H197)+1)</f>
        <v>0</v>
      </c>
      <c r="I198" s="1929" t="s">
        <v>3353</v>
      </c>
      <c r="J198" s="1949" t="s">
        <v>1769</v>
      </c>
      <c r="K198" s="1930" t="s">
        <v>1769</v>
      </c>
      <c r="L198" s="5270" t="str">
        <f>"Solo vulnerable a destrucción de sortilegios. Grado Base, valor zeonico "&amp;Sheele!P29</f>
        <v>Solo vulnerable a destrucción de sortilegios. Grado Base, valor zeonico 60</v>
      </c>
      <c r="M198" s="5270"/>
      <c r="N198" s="5270"/>
      <c r="O198" s="5270"/>
      <c r="P198" s="5270"/>
      <c r="Q198" s="5270"/>
      <c r="R198" s="1950"/>
    </row>
    <row r="199" spans="2:18" ht="13.5" thickBot="1" x14ac:dyDescent="0.25">
      <c r="B199" s="680">
        <f t="shared" si="1"/>
        <v>0</v>
      </c>
      <c r="F199" s="1937" t="s">
        <v>3354</v>
      </c>
      <c r="G199" s="1938"/>
      <c r="H199" s="644">
        <f>COUNTIF(H112:H198,"&gt;0")</f>
        <v>0</v>
      </c>
    </row>
    <row r="200" spans="2:18" ht="13.5" thickBot="1" x14ac:dyDescent="0.25"/>
    <row r="201" spans="2:18" x14ac:dyDescent="0.2">
      <c r="B201" s="5244" t="s">
        <v>3355</v>
      </c>
      <c r="C201" s="5245"/>
      <c r="D201" s="5245"/>
      <c r="E201" s="5245"/>
      <c r="F201" s="5245"/>
      <c r="G201" s="5245"/>
      <c r="H201" s="5245"/>
      <c r="I201" s="5245"/>
      <c r="J201" s="5245"/>
      <c r="K201" s="5245"/>
      <c r="L201" s="5245"/>
      <c r="M201" s="5246"/>
    </row>
    <row r="202" spans="2:18" x14ac:dyDescent="0.2">
      <c r="B202" s="5247"/>
      <c r="C202" s="5248"/>
      <c r="D202" s="5248"/>
      <c r="E202" s="5248"/>
      <c r="F202" s="5248"/>
      <c r="G202" s="5248"/>
      <c r="H202" s="5248"/>
      <c r="I202" s="5248"/>
      <c r="J202" s="5248"/>
      <c r="K202" s="5248"/>
      <c r="L202" s="5248"/>
      <c r="M202" s="5249"/>
    </row>
    <row r="203" spans="2:18" x14ac:dyDescent="0.2">
      <c r="B203" s="1453"/>
      <c r="C203" s="1360">
        <v>1</v>
      </c>
      <c r="D203" s="1360">
        <v>2</v>
      </c>
      <c r="E203" s="1360">
        <v>3</v>
      </c>
      <c r="F203" s="1360">
        <v>4</v>
      </c>
      <c r="G203" s="1360">
        <v>5</v>
      </c>
      <c r="H203" s="1360">
        <v>6</v>
      </c>
      <c r="I203" s="1360">
        <v>7</v>
      </c>
      <c r="J203" s="1360">
        <v>8</v>
      </c>
      <c r="K203" s="1450" t="s">
        <v>8174</v>
      </c>
      <c r="L203" s="5264" t="s">
        <v>3356</v>
      </c>
      <c r="M203" s="5265"/>
    </row>
    <row r="204" spans="2:18" x14ac:dyDescent="0.2">
      <c r="B204" s="1449"/>
      <c r="C204" s="5257" t="s">
        <v>1931</v>
      </c>
      <c r="D204" s="5258"/>
      <c r="E204" s="1452" t="str">
        <f t="array" ref="E204:H204">TRANSPOSE(C205:D208)</f>
        <v>Vuelo Místico 10</v>
      </c>
      <c r="F204" s="1452" t="str">
        <v>Movimiento Defensivo</v>
      </c>
      <c r="G204" s="1452" t="str">
        <v xml:space="preserve"> </v>
      </c>
      <c r="H204" s="1452" t="str">
        <v xml:space="preserve"> </v>
      </c>
      <c r="I204" s="1451"/>
      <c r="J204" s="1448"/>
      <c r="K204" s="1443"/>
      <c r="L204" s="5266"/>
      <c r="M204" s="5267"/>
    </row>
    <row r="205" spans="2:18" x14ac:dyDescent="0.2">
      <c r="B205" s="675"/>
      <c r="C205" s="5254" t="s">
        <v>3357</v>
      </c>
      <c r="D205" s="5255"/>
      <c r="E205" s="5259" t="s">
        <v>3358</v>
      </c>
      <c r="F205" s="5259"/>
      <c r="G205" s="5259"/>
      <c r="H205" s="5259"/>
      <c r="I205" s="5259"/>
      <c r="J205" s="5259"/>
      <c r="K205" s="658" t="s">
        <v>1769</v>
      </c>
      <c r="L205" s="5240">
        <v>10</v>
      </c>
      <c r="M205" s="5241"/>
    </row>
    <row r="206" spans="2:18" x14ac:dyDescent="0.2">
      <c r="B206" s="675"/>
      <c r="C206" s="5254" t="s">
        <v>3359</v>
      </c>
      <c r="D206" s="5255"/>
      <c r="E206" s="5259" t="s">
        <v>3360</v>
      </c>
      <c r="F206" s="5260"/>
      <c r="G206" s="5260"/>
      <c r="H206" s="5260"/>
      <c r="I206" s="5260"/>
      <c r="J206" s="5260"/>
      <c r="K206" s="658" t="s">
        <v>1769</v>
      </c>
      <c r="L206" s="5240"/>
      <c r="M206" s="5241"/>
    </row>
    <row r="207" spans="2:18" x14ac:dyDescent="0.2">
      <c r="B207" s="623"/>
      <c r="C207" s="5250" t="s">
        <v>3361</v>
      </c>
      <c r="D207" s="5256"/>
      <c r="E207" s="5259"/>
      <c r="F207" s="5260"/>
      <c r="G207" s="5260"/>
      <c r="H207" s="5260"/>
      <c r="I207" s="5260"/>
      <c r="J207" s="5260"/>
      <c r="K207" s="658"/>
      <c r="L207" s="5250"/>
      <c r="M207" s="5251"/>
    </row>
    <row r="208" spans="2:18" x14ac:dyDescent="0.2">
      <c r="B208" s="623"/>
      <c r="C208" s="5250" t="s">
        <v>3361</v>
      </c>
      <c r="D208" s="5256"/>
      <c r="E208" s="5259"/>
      <c r="F208" s="5260"/>
      <c r="G208" s="5260"/>
      <c r="H208" s="5260"/>
      <c r="I208" s="5260"/>
      <c r="J208" s="5260"/>
      <c r="K208" s="658"/>
      <c r="L208" s="5250"/>
      <c r="M208" s="5251"/>
    </row>
    <row r="209" spans="2:13" x14ac:dyDescent="0.2">
      <c r="B209" s="1449"/>
      <c r="C209" s="5257" t="s">
        <v>1934</v>
      </c>
      <c r="D209" s="5258"/>
      <c r="E209" s="1452" t="str">
        <f t="array" ref="E209:H209">TRANSPOSE(C210:D213)</f>
        <v>Vuelo Místico 4</v>
      </c>
      <c r="F209" s="1452" t="str">
        <v>Movimiento Acuático</v>
      </c>
      <c r="G209" s="1452" t="str">
        <v>Respiración Acuática</v>
      </c>
      <c r="H209" s="1452" t="str">
        <v>Resistencia Física</v>
      </c>
      <c r="I209" s="1447"/>
      <c r="J209" s="1448"/>
      <c r="K209" s="1446"/>
      <c r="L209" s="5252"/>
      <c r="M209" s="5253"/>
    </row>
    <row r="210" spans="2:13" x14ac:dyDescent="0.2">
      <c r="B210" s="675"/>
      <c r="C210" s="5254" t="s">
        <v>3362</v>
      </c>
      <c r="D210" s="5255"/>
      <c r="E210" s="5259" t="s">
        <v>3363</v>
      </c>
      <c r="F210" s="5259"/>
      <c r="G210" s="5259"/>
      <c r="H210" s="5259"/>
      <c r="I210" s="5259"/>
      <c r="J210" s="5259"/>
      <c r="K210" s="658" t="s">
        <v>1769</v>
      </c>
      <c r="L210" s="5240">
        <v>4</v>
      </c>
      <c r="M210" s="5241"/>
    </row>
    <row r="211" spans="2:13" x14ac:dyDescent="0.2">
      <c r="B211" s="675"/>
      <c r="C211" s="5254" t="s">
        <v>3364</v>
      </c>
      <c r="D211" s="5255"/>
      <c r="E211" s="5259" t="s">
        <v>3365</v>
      </c>
      <c r="F211" s="5260"/>
      <c r="G211" s="5260"/>
      <c r="H211" s="5260"/>
      <c r="I211" s="5260"/>
      <c r="J211" s="5260"/>
      <c r="K211" s="658" t="s">
        <v>1769</v>
      </c>
      <c r="L211" s="5240"/>
      <c r="M211" s="5241"/>
    </row>
    <row r="212" spans="2:13" x14ac:dyDescent="0.2">
      <c r="B212" s="623"/>
      <c r="C212" s="5250" t="s">
        <v>3366</v>
      </c>
      <c r="D212" s="5256"/>
      <c r="E212" s="5259" t="s">
        <v>3367</v>
      </c>
      <c r="F212" s="5260"/>
      <c r="G212" s="5260"/>
      <c r="H212" s="5260"/>
      <c r="I212" s="5260"/>
      <c r="J212" s="5260"/>
      <c r="K212" s="658" t="s">
        <v>1769</v>
      </c>
      <c r="L212" s="5240"/>
      <c r="M212" s="5241"/>
    </row>
    <row r="213" spans="2:13" x14ac:dyDescent="0.2">
      <c r="B213" s="623"/>
      <c r="C213" s="5250" t="s">
        <v>3368</v>
      </c>
      <c r="D213" s="5256"/>
      <c r="E213" s="5259" t="s">
        <v>3369</v>
      </c>
      <c r="F213" s="5260"/>
      <c r="G213" s="5260"/>
      <c r="H213" s="5260"/>
      <c r="I213" s="5260"/>
      <c r="J213" s="5260"/>
      <c r="K213" s="658" t="s">
        <v>1769</v>
      </c>
      <c r="L213" s="5240"/>
      <c r="M213" s="5241"/>
    </row>
    <row r="214" spans="2:13" x14ac:dyDescent="0.2">
      <c r="B214" s="1449"/>
      <c r="C214" s="5257" t="s">
        <v>1938</v>
      </c>
      <c r="D214" s="5258"/>
      <c r="E214" s="1452" t="str">
        <f t="array" ref="E214:H214">TRANSPOSE(C215:D218)</f>
        <v>Vuelo Místico 6</v>
      </c>
      <c r="F214" s="1452" t="str">
        <v>Control de Llamas</v>
      </c>
      <c r="G214" s="1452" t="str">
        <v xml:space="preserve"> </v>
      </c>
      <c r="H214" s="1452" t="str">
        <v xml:space="preserve"> </v>
      </c>
      <c r="I214" s="1447"/>
      <c r="J214" s="1448"/>
      <c r="K214" s="1446"/>
      <c r="L214" s="5252"/>
      <c r="M214" s="5253"/>
    </row>
    <row r="215" spans="2:13" x14ac:dyDescent="0.2">
      <c r="B215" s="675"/>
      <c r="C215" s="5254" t="s">
        <v>3370</v>
      </c>
      <c r="D215" s="5255"/>
      <c r="E215" s="5259" t="s">
        <v>3371</v>
      </c>
      <c r="F215" s="5259"/>
      <c r="G215" s="5259"/>
      <c r="H215" s="5259"/>
      <c r="I215" s="5259"/>
      <c r="J215" s="5259"/>
      <c r="K215" s="658" t="s">
        <v>1769</v>
      </c>
      <c r="L215" s="5240">
        <v>6</v>
      </c>
      <c r="M215" s="5241"/>
    </row>
    <row r="216" spans="2:13" x14ac:dyDescent="0.2">
      <c r="B216" s="675"/>
      <c r="C216" s="5254" t="s">
        <v>3372</v>
      </c>
      <c r="D216" s="5255"/>
      <c r="E216" s="5259" t="str">
        <f>"Controlar llamas de intensidades no superiores a "&amp;Sheele!G15/2&amp;". Puede atacar con ellas."</f>
        <v>Controlar llamas de intensidades no superiores a 4. Puede atacar con ellas.</v>
      </c>
      <c r="F216" s="5260"/>
      <c r="G216" s="5260"/>
      <c r="H216" s="5260"/>
      <c r="I216" s="5260"/>
      <c r="J216" s="5260"/>
      <c r="K216" s="658" t="s">
        <v>1769</v>
      </c>
      <c r="L216" s="5240"/>
      <c r="M216" s="5241"/>
    </row>
    <row r="217" spans="2:13" x14ac:dyDescent="0.2">
      <c r="B217" s="623"/>
      <c r="C217" s="5250" t="s">
        <v>3361</v>
      </c>
      <c r="D217" s="5256"/>
      <c r="E217" s="5259"/>
      <c r="F217" s="5260"/>
      <c r="G217" s="5260"/>
      <c r="H217" s="5260"/>
      <c r="I217" s="5260"/>
      <c r="J217" s="5260"/>
      <c r="K217" s="658"/>
      <c r="L217" s="5250"/>
      <c r="M217" s="5251"/>
    </row>
    <row r="218" spans="2:13" x14ac:dyDescent="0.2">
      <c r="B218" s="623"/>
      <c r="C218" s="5250" t="s">
        <v>3361</v>
      </c>
      <c r="D218" s="5256"/>
      <c r="E218" s="5259"/>
      <c r="F218" s="5260"/>
      <c r="G218" s="5260"/>
      <c r="H218" s="5260"/>
      <c r="I218" s="5260"/>
      <c r="J218" s="5260"/>
      <c r="K218" s="658"/>
      <c r="L218" s="5250"/>
      <c r="M218" s="5251"/>
    </row>
    <row r="219" spans="2:13" x14ac:dyDescent="0.2">
      <c r="B219" s="1449"/>
      <c r="C219" s="5257" t="s">
        <v>2034</v>
      </c>
      <c r="D219" s="5258"/>
      <c r="E219" s="1452" t="str">
        <f t="array" ref="E219:H219">TRANSPOSE(C220:D223)</f>
        <v>Vuelo Místico 4</v>
      </c>
      <c r="F219" s="1452" t="str">
        <v>Resistencia</v>
      </c>
      <c r="G219" s="1452" t="str">
        <v xml:space="preserve"> </v>
      </c>
      <c r="H219" s="1452" t="str">
        <v xml:space="preserve"> </v>
      </c>
      <c r="I219" s="1447"/>
      <c r="J219" s="1448"/>
      <c r="K219" s="1446"/>
      <c r="L219" s="5252"/>
      <c r="M219" s="5253"/>
    </row>
    <row r="220" spans="2:13" x14ac:dyDescent="0.2">
      <c r="B220" s="675"/>
      <c r="C220" s="5254" t="s">
        <v>3362</v>
      </c>
      <c r="D220" s="5255"/>
      <c r="E220" s="5259" t="s">
        <v>3363</v>
      </c>
      <c r="F220" s="5259"/>
      <c r="G220" s="5259"/>
      <c r="H220" s="5259"/>
      <c r="I220" s="5259"/>
      <c r="J220" s="5259"/>
      <c r="K220" s="658" t="s">
        <v>1769</v>
      </c>
      <c r="L220" s="5240">
        <v>4</v>
      </c>
      <c r="M220" s="5241"/>
    </row>
    <row r="221" spans="2:13" x14ac:dyDescent="0.2">
      <c r="B221" s="675"/>
      <c r="C221" s="5254" t="s">
        <v>3308</v>
      </c>
      <c r="D221" s="5255"/>
      <c r="E221" s="5259" t="s">
        <v>3373</v>
      </c>
      <c r="F221" s="5260"/>
      <c r="G221" s="5260"/>
      <c r="H221" s="5260"/>
      <c r="I221" s="5260"/>
      <c r="J221" s="5260"/>
      <c r="K221" s="658" t="s">
        <v>1769</v>
      </c>
      <c r="L221" s="5240"/>
      <c r="M221" s="5241"/>
    </row>
    <row r="222" spans="2:13" x14ac:dyDescent="0.2">
      <c r="B222" s="623"/>
      <c r="C222" s="5250" t="s">
        <v>3361</v>
      </c>
      <c r="D222" s="5256"/>
      <c r="E222" s="5259"/>
      <c r="F222" s="5260"/>
      <c r="G222" s="5260"/>
      <c r="H222" s="5260"/>
      <c r="I222" s="5260"/>
      <c r="J222" s="5260"/>
      <c r="K222" s="658"/>
      <c r="L222" s="5250"/>
      <c r="M222" s="5251"/>
    </row>
    <row r="223" spans="2:13" x14ac:dyDescent="0.2">
      <c r="B223" s="623"/>
      <c r="C223" s="5250" t="s">
        <v>3361</v>
      </c>
      <c r="D223" s="5256"/>
      <c r="E223" s="5259"/>
      <c r="F223" s="5260"/>
      <c r="G223" s="5260"/>
      <c r="H223" s="5260"/>
      <c r="I223" s="5260"/>
      <c r="J223" s="5260"/>
      <c r="K223" s="658"/>
      <c r="L223" s="5250"/>
      <c r="M223" s="5251"/>
    </row>
    <row r="224" spans="2:13" x14ac:dyDescent="0.2">
      <c r="B224" s="1449"/>
      <c r="C224" s="5257" t="s">
        <v>2029</v>
      </c>
      <c r="D224" s="5258"/>
      <c r="E224" s="1452" t="str">
        <f t="array" ref="E224:H224">TRANSPOSE(C225:D228)</f>
        <v>Vuelo  Místico 6</v>
      </c>
      <c r="F224" s="1452" t="str">
        <v>Visión de Luz</v>
      </c>
      <c r="G224" s="1452" t="str">
        <v>Luminosa</v>
      </c>
      <c r="H224" s="1452" t="str">
        <v xml:space="preserve"> </v>
      </c>
      <c r="I224" s="1447"/>
      <c r="J224" s="1448"/>
      <c r="K224" s="1446"/>
      <c r="L224" s="5252"/>
      <c r="M224" s="5253"/>
    </row>
    <row r="225" spans="2:13" x14ac:dyDescent="0.2">
      <c r="B225" s="675"/>
      <c r="C225" s="5254" t="s">
        <v>3374</v>
      </c>
      <c r="D225" s="5255"/>
      <c r="E225" s="5259" t="s">
        <v>3371</v>
      </c>
      <c r="F225" s="5259"/>
      <c r="G225" s="5259"/>
      <c r="H225" s="5259"/>
      <c r="I225" s="5259"/>
      <c r="J225" s="5259"/>
      <c r="K225" s="658" t="s">
        <v>1769</v>
      </c>
      <c r="L225" s="5240">
        <v>6</v>
      </c>
      <c r="M225" s="5241"/>
    </row>
    <row r="226" spans="2:13" x14ac:dyDescent="0.2">
      <c r="B226" s="675"/>
      <c r="C226" s="5254" t="s">
        <v>3375</v>
      </c>
      <c r="D226" s="5255"/>
      <c r="E226" s="5259" t="s">
        <v>3376</v>
      </c>
      <c r="F226" s="5260"/>
      <c r="G226" s="5260"/>
      <c r="H226" s="5260"/>
      <c r="I226" s="5260"/>
      <c r="J226" s="5260"/>
      <c r="K226" s="658" t="s">
        <v>1769</v>
      </c>
      <c r="L226" s="5240"/>
      <c r="M226" s="5241"/>
    </row>
    <row r="227" spans="2:13" x14ac:dyDescent="0.2">
      <c r="B227" s="623"/>
      <c r="C227" s="5250" t="s">
        <v>3377</v>
      </c>
      <c r="D227" s="5256"/>
      <c r="E227" s="5259" t="s">
        <v>3378</v>
      </c>
      <c r="F227" s="5260"/>
      <c r="G227" s="5260"/>
      <c r="H227" s="5260"/>
      <c r="I227" s="5260"/>
      <c r="J227" s="5260"/>
      <c r="K227" s="658" t="s">
        <v>1769</v>
      </c>
      <c r="L227" s="5240"/>
      <c r="M227" s="5241"/>
    </row>
    <row r="228" spans="2:13" x14ac:dyDescent="0.2">
      <c r="B228" s="623"/>
      <c r="C228" s="5250" t="s">
        <v>3361</v>
      </c>
      <c r="D228" s="5256"/>
      <c r="E228" s="5259"/>
      <c r="F228" s="5260"/>
      <c r="G228" s="5260"/>
      <c r="H228" s="5260"/>
      <c r="I228" s="5260"/>
      <c r="J228" s="5260"/>
      <c r="K228" s="658"/>
      <c r="L228" s="5250"/>
      <c r="M228" s="5251"/>
    </row>
    <row r="229" spans="2:13" x14ac:dyDescent="0.2">
      <c r="B229" s="1449"/>
      <c r="C229" s="5257" t="s">
        <v>2030</v>
      </c>
      <c r="D229" s="5258"/>
      <c r="E229" s="1452" t="str">
        <f t="array" ref="E229:H229">TRANSPOSE(C230:D233)</f>
        <v>Vuelo Místico 8</v>
      </c>
      <c r="F229" s="1452" t="str">
        <v>Visión oscura</v>
      </c>
      <c r="G229" s="1452" t="str">
        <v>Invisible en la Sombra</v>
      </c>
      <c r="H229" s="1452" t="str">
        <v xml:space="preserve"> </v>
      </c>
      <c r="I229" s="1447"/>
      <c r="J229" s="1448"/>
      <c r="K229" s="1446"/>
      <c r="L229" s="5252"/>
      <c r="M229" s="5253"/>
    </row>
    <row r="230" spans="2:13" x14ac:dyDescent="0.2">
      <c r="B230" s="675"/>
      <c r="C230" s="5254" t="s">
        <v>3379</v>
      </c>
      <c r="D230" s="5255"/>
      <c r="E230" s="5259" t="s">
        <v>3380</v>
      </c>
      <c r="F230" s="5259"/>
      <c r="G230" s="5259"/>
      <c r="H230" s="5259"/>
      <c r="I230" s="5259"/>
      <c r="J230" s="5259"/>
      <c r="K230" s="658" t="s">
        <v>1769</v>
      </c>
      <c r="L230" s="5240">
        <v>8</v>
      </c>
      <c r="M230" s="5241"/>
    </row>
    <row r="231" spans="2:13" x14ac:dyDescent="0.2">
      <c r="B231" s="675"/>
      <c r="C231" s="5254" t="s">
        <v>3381</v>
      </c>
      <c r="D231" s="5255"/>
      <c r="E231" s="5259" t="s">
        <v>3382</v>
      </c>
      <c r="F231" s="5260"/>
      <c r="G231" s="5260"/>
      <c r="H231" s="5260"/>
      <c r="I231" s="5260"/>
      <c r="J231" s="5260"/>
      <c r="K231" s="658" t="s">
        <v>1769</v>
      </c>
      <c r="L231" s="5240"/>
      <c r="M231" s="5241"/>
    </row>
    <row r="232" spans="2:13" x14ac:dyDescent="0.2">
      <c r="B232" s="623"/>
      <c r="C232" s="5250" t="s">
        <v>3383</v>
      </c>
      <c r="D232" s="5256"/>
      <c r="E232" s="5259" t="s">
        <v>3384</v>
      </c>
      <c r="F232" s="5260"/>
      <c r="G232" s="5260"/>
      <c r="H232" s="5260"/>
      <c r="I232" s="5260"/>
      <c r="J232" s="5260"/>
      <c r="K232" s="658" t="s">
        <v>1769</v>
      </c>
      <c r="L232" s="5240"/>
      <c r="M232" s="5241"/>
    </row>
    <row r="233" spans="2:13" x14ac:dyDescent="0.2">
      <c r="B233" s="623"/>
      <c r="C233" s="5250" t="s">
        <v>3361</v>
      </c>
      <c r="D233" s="5256"/>
      <c r="E233" s="5259"/>
      <c r="F233" s="5260"/>
      <c r="G233" s="5260"/>
      <c r="H233" s="5260"/>
      <c r="I233" s="5260"/>
      <c r="J233" s="5260"/>
      <c r="K233" s="658"/>
      <c r="L233" s="5250"/>
      <c r="M233" s="5251"/>
    </row>
    <row r="234" spans="2:13" x14ac:dyDescent="0.2">
      <c r="B234" s="1449"/>
      <c r="C234" s="5257" t="s">
        <v>3165</v>
      </c>
      <c r="D234" s="5258"/>
      <c r="E234" s="1452" t="str">
        <f t="array" ref="E234:H234">TRANSPOSE(C235:D238)</f>
        <v>Vuelo Místico 6</v>
      </c>
      <c r="F234" s="1452" t="str">
        <v>Naturaleza Sanadora</v>
      </c>
      <c r="G234" s="1452" t="str">
        <v xml:space="preserve"> </v>
      </c>
      <c r="H234" s="1452" t="str">
        <v xml:space="preserve"> </v>
      </c>
      <c r="I234" s="1447"/>
      <c r="J234" s="1448"/>
      <c r="K234" s="1446"/>
      <c r="L234" s="5252"/>
      <c r="M234" s="5253"/>
    </row>
    <row r="235" spans="2:13" x14ac:dyDescent="0.2">
      <c r="B235" s="675"/>
      <c r="C235" s="5254" t="s">
        <v>3370</v>
      </c>
      <c r="D235" s="5255"/>
      <c r="E235" s="5259" t="s">
        <v>3371</v>
      </c>
      <c r="F235" s="5259"/>
      <c r="G235" s="5259"/>
      <c r="H235" s="5259"/>
      <c r="I235" s="5259"/>
      <c r="J235" s="5259"/>
      <c r="K235" s="658" t="s">
        <v>1769</v>
      </c>
      <c r="L235" s="5240">
        <v>6</v>
      </c>
      <c r="M235" s="5241"/>
    </row>
    <row r="236" spans="2:13" x14ac:dyDescent="0.2">
      <c r="B236" s="675"/>
      <c r="C236" s="5254" t="s">
        <v>3385</v>
      </c>
      <c r="D236" s="5255"/>
      <c r="E236" s="5259" t="s">
        <v>3386</v>
      </c>
      <c r="F236" s="5260"/>
      <c r="G236" s="5260"/>
      <c r="H236" s="5260"/>
      <c r="I236" s="5260"/>
      <c r="J236" s="5260"/>
      <c r="K236" s="658" t="s">
        <v>1769</v>
      </c>
      <c r="L236" s="5240"/>
      <c r="M236" s="5241"/>
    </row>
    <row r="237" spans="2:13" x14ac:dyDescent="0.2">
      <c r="B237" s="623"/>
      <c r="C237" s="5250" t="s">
        <v>3361</v>
      </c>
      <c r="D237" s="5256"/>
      <c r="E237" s="5259"/>
      <c r="F237" s="5260"/>
      <c r="G237" s="5260"/>
      <c r="H237" s="5260"/>
      <c r="I237" s="5260"/>
      <c r="J237" s="5260"/>
      <c r="K237" s="658"/>
      <c r="L237" s="5250"/>
      <c r="M237" s="5251"/>
    </row>
    <row r="238" spans="2:13" x14ac:dyDescent="0.2">
      <c r="B238" s="623"/>
      <c r="C238" s="5250" t="s">
        <v>3361</v>
      </c>
      <c r="D238" s="5256"/>
      <c r="E238" s="5259"/>
      <c r="F238" s="5260"/>
      <c r="G238" s="5260"/>
      <c r="H238" s="5260"/>
      <c r="I238" s="5260"/>
      <c r="J238" s="5260"/>
      <c r="K238" s="658"/>
      <c r="L238" s="5250"/>
      <c r="M238" s="5251"/>
    </row>
    <row r="239" spans="2:13" x14ac:dyDescent="0.2">
      <c r="B239" s="1449"/>
      <c r="C239" s="5257" t="s">
        <v>2041</v>
      </c>
      <c r="D239" s="5258"/>
      <c r="E239" s="1452" t="str">
        <f t="array" ref="E239:H239">TRANSPOSE(C240:D243)</f>
        <v>Vuelo Místico 6</v>
      </c>
      <c r="F239" s="1452" t="str">
        <v>La que Todo lo Ve</v>
      </c>
      <c r="G239" s="1452" t="str">
        <v>Destellos de Ilusión</v>
      </c>
      <c r="H239" s="1452" t="str">
        <v xml:space="preserve"> </v>
      </c>
      <c r="I239" s="1447"/>
      <c r="J239" s="1448"/>
      <c r="K239" s="1446"/>
      <c r="L239" s="5252"/>
      <c r="M239" s="5253"/>
    </row>
    <row r="240" spans="2:13" x14ac:dyDescent="0.2">
      <c r="B240" s="675"/>
      <c r="C240" s="5254" t="s">
        <v>3370</v>
      </c>
      <c r="D240" s="5255"/>
      <c r="E240" s="5259" t="s">
        <v>3371</v>
      </c>
      <c r="F240" s="5259"/>
      <c r="G240" s="5259"/>
      <c r="H240" s="5259"/>
      <c r="I240" s="5259"/>
      <c r="J240" s="5259"/>
      <c r="K240" s="658" t="s">
        <v>1769</v>
      </c>
      <c r="L240" s="5240">
        <v>6</v>
      </c>
      <c r="M240" s="5241"/>
    </row>
    <row r="241" spans="2:13" x14ac:dyDescent="0.2">
      <c r="B241" s="675"/>
      <c r="C241" s="5254" t="s">
        <v>3387</v>
      </c>
      <c r="D241" s="5255"/>
      <c r="E241" s="5259" t="s">
        <v>3388</v>
      </c>
      <c r="F241" s="5260"/>
      <c r="G241" s="5260"/>
      <c r="H241" s="5260"/>
      <c r="I241" s="5260"/>
      <c r="J241" s="5260"/>
      <c r="K241" s="658" t="s">
        <v>1769</v>
      </c>
      <c r="L241" s="5240"/>
      <c r="M241" s="5241"/>
    </row>
    <row r="242" spans="2:13" x14ac:dyDescent="0.2">
      <c r="B242" s="623"/>
      <c r="C242" s="5250" t="s">
        <v>3389</v>
      </c>
      <c r="D242" s="5256"/>
      <c r="E242" s="5259" t="s">
        <v>3390</v>
      </c>
      <c r="F242" s="5260"/>
      <c r="G242" s="5260"/>
      <c r="H242" s="5260"/>
      <c r="I242" s="5260"/>
      <c r="J242" s="5260"/>
      <c r="K242" s="658" t="s">
        <v>1769</v>
      </c>
      <c r="L242" s="5240"/>
      <c r="M242" s="5241"/>
    </row>
    <row r="243" spans="2:13" ht="13.5" thickBot="1" x14ac:dyDescent="0.25">
      <c r="B243" s="1444"/>
      <c r="C243" s="5242" t="s">
        <v>3361</v>
      </c>
      <c r="D243" s="5261"/>
      <c r="E243" s="5262"/>
      <c r="F243" s="5263"/>
      <c r="G243" s="5263"/>
      <c r="H243" s="5263"/>
      <c r="I243" s="5263"/>
      <c r="J243" s="5263"/>
      <c r="K243" s="1445"/>
      <c r="L243" s="5242"/>
      <c r="M243" s="5243"/>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5" t="s">
        <v>7613</v>
      </c>
      <c r="D3" s="2486"/>
      <c r="E3" s="2486"/>
      <c r="F3" s="2486"/>
      <c r="G3" s="2486"/>
      <c r="H3" s="2486"/>
      <c r="I3" s="2486"/>
      <c r="J3" s="2486"/>
      <c r="K3" s="2486"/>
      <c r="L3" s="2486"/>
      <c r="M3" s="2486"/>
      <c r="N3" s="2486"/>
      <c r="O3" s="2486"/>
      <c r="P3" s="2486"/>
      <c r="Q3" s="2486"/>
      <c r="R3" s="2487"/>
      <c r="S3" s="1160"/>
      <c r="T3" s="1160"/>
      <c r="U3" s="5291" t="s">
        <v>9302</v>
      </c>
      <c r="V3" s="5291"/>
      <c r="W3" s="5291"/>
      <c r="X3" s="5291"/>
      <c r="Y3" s="5291"/>
      <c r="Z3" s="5291"/>
      <c r="AA3" s="5291"/>
      <c r="AB3" s="5291"/>
      <c r="AC3" s="5291"/>
      <c r="AD3" s="5291"/>
      <c r="AE3" s="5291"/>
      <c r="AF3" s="5291"/>
      <c r="AG3" s="5291"/>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8"/>
      <c r="D4" s="2489"/>
      <c r="E4" s="2489"/>
      <c r="F4" s="2489"/>
      <c r="G4" s="2489"/>
      <c r="H4" s="2489"/>
      <c r="I4" s="2489"/>
      <c r="J4" s="2489"/>
      <c r="K4" s="2489"/>
      <c r="L4" s="2489"/>
      <c r="M4" s="2489"/>
      <c r="N4" s="2489"/>
      <c r="O4" s="2489"/>
      <c r="P4" s="2489"/>
      <c r="Q4" s="2489"/>
      <c r="R4" s="2490"/>
      <c r="S4" s="1165"/>
      <c r="T4" s="1165"/>
      <c r="U4" s="5291"/>
      <c r="V4" s="5291"/>
      <c r="W4" s="5291"/>
      <c r="X4" s="5291"/>
      <c r="Y4" s="5291"/>
      <c r="Z4" s="5291"/>
      <c r="AA4" s="5291"/>
      <c r="AB4" s="5291"/>
      <c r="AC4" s="5291"/>
      <c r="AD4" s="5291"/>
      <c r="AE4" s="5291"/>
      <c r="AF4" s="5291"/>
      <c r="AG4" s="5291"/>
      <c r="AO4" s="5233"/>
      <c r="AP4" s="5233"/>
      <c r="AQ4" s="1165"/>
      <c r="AR4" s="5233"/>
      <c r="AS4" s="5233"/>
      <c r="AT4" s="1165"/>
      <c r="AU4" s="5233"/>
      <c r="AV4" s="5233"/>
      <c r="AW4" s="1165"/>
      <c r="AX4" s="5233"/>
      <c r="AY4" s="5233"/>
      <c r="AZ4" s="1165"/>
      <c r="BA4" s="5233"/>
      <c r="BB4" s="5233"/>
      <c r="BC4" s="1165"/>
      <c r="BD4" s="5233"/>
      <c r="BE4" s="5233"/>
      <c r="BF4" s="1165"/>
      <c r="BG4" s="1155"/>
      <c r="BH4" s="1155"/>
      <c r="BI4" s="1155"/>
      <c r="BJ4" s="1155"/>
    </row>
    <row r="5" spans="1:62" ht="12.75" customHeight="1" x14ac:dyDescent="0.2">
      <c r="A5" s="2143">
        <v>5</v>
      </c>
      <c r="B5" s="5293" t="s">
        <v>9032</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3" t="s">
        <v>9031</v>
      </c>
      <c r="T5" s="1170"/>
      <c r="U5" s="784"/>
      <c r="V5" s="784">
        <v>1</v>
      </c>
      <c r="W5" s="784">
        <v>2</v>
      </c>
      <c r="X5" s="784">
        <v>3</v>
      </c>
      <c r="Y5" s="784">
        <v>4</v>
      </c>
      <c r="Z5" s="784">
        <v>5</v>
      </c>
      <c r="AA5" s="784">
        <v>6</v>
      </c>
      <c r="AB5" s="784">
        <v>7</v>
      </c>
      <c r="AC5" s="784">
        <v>8</v>
      </c>
      <c r="AD5" s="1163">
        <v>9</v>
      </c>
      <c r="AE5" s="1163">
        <v>10</v>
      </c>
      <c r="AF5" s="1163"/>
      <c r="AG5" s="5292" t="s">
        <v>9304</v>
      </c>
      <c r="AO5" s="5232"/>
      <c r="AP5" s="5232"/>
      <c r="AQ5" s="1170"/>
      <c r="AR5" s="5232"/>
      <c r="AS5" s="5232"/>
      <c r="AT5" s="1170"/>
      <c r="AU5" s="5232"/>
      <c r="AV5" s="5232"/>
      <c r="AW5" s="1170"/>
      <c r="AX5" s="5232"/>
      <c r="AY5" s="5232"/>
      <c r="AZ5" s="1170"/>
      <c r="BA5" s="5232"/>
      <c r="BB5" s="5232"/>
      <c r="BC5" s="1170"/>
      <c r="BD5" s="5232"/>
      <c r="BE5" s="5232"/>
      <c r="BF5" s="1170"/>
      <c r="BG5" s="1155"/>
      <c r="BH5" s="1155"/>
      <c r="BI5" s="1155"/>
      <c r="BJ5" s="1155"/>
    </row>
    <row r="6" spans="1:62" ht="12.75" customHeight="1" thickBot="1" x14ac:dyDescent="0.25">
      <c r="A6" s="2143">
        <v>6</v>
      </c>
      <c r="B6" s="5294"/>
      <c r="C6" s="1168"/>
      <c r="D6" s="1169" t="s">
        <v>1755</v>
      </c>
      <c r="E6" s="1169" t="s">
        <v>119</v>
      </c>
      <c r="F6" s="1169" t="s">
        <v>1715</v>
      </c>
      <c r="G6" s="1169" t="s">
        <v>7614</v>
      </c>
      <c r="H6" s="1169" t="s">
        <v>3436</v>
      </c>
      <c r="I6" s="1169" t="s">
        <v>9289</v>
      </c>
      <c r="J6" s="1169" t="s">
        <v>9290</v>
      </c>
      <c r="K6" s="1169" t="s">
        <v>9291</v>
      </c>
      <c r="L6" s="1169" t="s">
        <v>9300</v>
      </c>
      <c r="M6" s="1169" t="s">
        <v>9292</v>
      </c>
      <c r="N6" s="1169" t="s">
        <v>9293</v>
      </c>
      <c r="O6" s="1169" t="s">
        <v>9294</v>
      </c>
      <c r="P6" s="1169" t="s">
        <v>9295</v>
      </c>
      <c r="Q6" s="1169" t="s">
        <v>9296</v>
      </c>
      <c r="R6" s="1202" t="s">
        <v>9297</v>
      </c>
      <c r="S6" s="5294"/>
      <c r="U6" s="631" t="s">
        <v>9301</v>
      </c>
      <c r="V6" s="631" t="s">
        <v>9289</v>
      </c>
      <c r="W6" s="631" t="s">
        <v>9290</v>
      </c>
      <c r="X6" s="631" t="s">
        <v>9291</v>
      </c>
      <c r="Y6" s="631" t="s">
        <v>9300</v>
      </c>
      <c r="Z6" s="631" t="s">
        <v>9292</v>
      </c>
      <c r="AA6" s="631" t="s">
        <v>9293</v>
      </c>
      <c r="AB6" s="631" t="s">
        <v>9294</v>
      </c>
      <c r="AC6" s="631" t="s">
        <v>9295</v>
      </c>
      <c r="AD6" s="631" t="s">
        <v>9296</v>
      </c>
      <c r="AE6" s="631" t="s">
        <v>9297</v>
      </c>
      <c r="AF6" s="631" t="s">
        <v>9303</v>
      </c>
      <c r="AG6" s="5292"/>
      <c r="AH6" s="2590" t="s">
        <v>8536</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1"/>
      <c r="W7" s="2491"/>
      <c r="X7" s="2491"/>
      <c r="Y7" s="2491"/>
      <c r="Z7" s="2491"/>
      <c r="AA7" s="2491"/>
      <c r="AB7" s="2491"/>
      <c r="AC7" s="2491"/>
      <c r="AD7" s="2491"/>
      <c r="AE7" s="2491"/>
      <c r="AF7" s="2491">
        <f>IF(ISNUMBER(SEARCH("&gt;",D7)),0,COUNTIF(Psíquicos!$AD$16:$AH$61,D7))</f>
        <v>0</v>
      </c>
      <c r="AG7" s="1175" t="str">
        <f>IF(AF7=0,"",VLOOKUP(D7,Psíquicos!$AD$11:$AK$64,8,FALSE))</f>
        <v/>
      </c>
      <c r="AH7" s="2606"/>
      <c r="AI7" s="2591" t="s">
        <v>120</v>
      </c>
    </row>
    <row r="8" spans="1:62" ht="12.75" customHeight="1" x14ac:dyDescent="0.2">
      <c r="A8" s="2143">
        <v>8</v>
      </c>
      <c r="B8" s="2135">
        <f>IF(OR(S8=0),0,SUM($S$6:S8))</f>
        <v>0</v>
      </c>
      <c r="C8" s="1183"/>
      <c r="D8" s="1184" t="s">
        <v>121</v>
      </c>
      <c r="E8" s="1175" t="s">
        <v>99</v>
      </c>
      <c r="F8" s="1176">
        <v>1</v>
      </c>
      <c r="G8" s="1176" t="s">
        <v>3143</v>
      </c>
      <c r="H8" s="1177" t="s">
        <v>1610</v>
      </c>
      <c r="I8" s="1175" t="s">
        <v>7615</v>
      </c>
      <c r="J8" s="1175" t="s">
        <v>7616</v>
      </c>
      <c r="K8" s="1175" t="s">
        <v>7617</v>
      </c>
      <c r="L8" s="1175" t="s">
        <v>7618</v>
      </c>
      <c r="M8" s="1175" t="s">
        <v>7619</v>
      </c>
      <c r="N8" s="1175" t="s">
        <v>7620</v>
      </c>
      <c r="O8" s="1175" t="s">
        <v>7621</v>
      </c>
      <c r="P8" s="1175" t="s">
        <v>7622</v>
      </c>
      <c r="Q8" s="1175" t="s">
        <v>7623</v>
      </c>
      <c r="R8" s="1203" t="s">
        <v>7624</v>
      </c>
      <c r="S8" s="2137">
        <f>IF(COUNTIF(Psíquicos!$C$25:$E$36,E8)=0,0,1)</f>
        <v>0</v>
      </c>
      <c r="U8" s="1175" t="str">
        <f t="shared" si="0"/>
        <v>MED</v>
      </c>
      <c r="V8" s="2491"/>
      <c r="W8" s="2491"/>
      <c r="X8" s="2491" t="str">
        <f t="shared" ref="X8:AE8" si="1">MID(K8,5,LEN(K8))</f>
        <v>10</v>
      </c>
      <c r="Y8" s="2491" t="str">
        <f t="shared" si="1"/>
        <v>30</v>
      </c>
      <c r="Z8" s="2491" t="str">
        <f t="shared" si="1"/>
        <v>50</v>
      </c>
      <c r="AA8" s="2491" t="str">
        <f t="shared" si="1"/>
        <v>80</v>
      </c>
      <c r="AB8" s="2491" t="str">
        <f t="shared" si="1"/>
        <v>120</v>
      </c>
      <c r="AC8" s="2491" t="str">
        <f t="shared" si="1"/>
        <v>160</v>
      </c>
      <c r="AD8" s="2491" t="str">
        <f t="shared" si="1"/>
        <v>200</v>
      </c>
      <c r="AE8" s="2491" t="str">
        <f t="shared" si="1"/>
        <v>240</v>
      </c>
      <c r="AF8" s="2491">
        <f>IF(ISNUMBER(SEARCH("&gt;",D8)),0,COUNTIF(Psíquicos!$AD$16:$AH$61,D8))</f>
        <v>0</v>
      </c>
      <c r="AG8" s="1175" t="str">
        <f>IF(AF8=0,"",VLOOKUP(D8,Psíquicos!$AD$11:$AK$64,8,FALSE))</f>
        <v/>
      </c>
      <c r="AH8" s="2606">
        <f>VALUE(IF('Tablas psiquica'!$AF8&gt;0,INDEX('Tablas psiquica'!$V8:$AE8,MATCH('Tablas psiquica'!$AG8,'Tablas psiquica'!$V$6:$AE$6,0)),0))</f>
        <v>0</v>
      </c>
      <c r="AI8" s="2591" t="s">
        <v>121</v>
      </c>
    </row>
    <row r="9" spans="1:62" ht="12.75" customHeight="1" x14ac:dyDescent="0.2">
      <c r="A9" s="2143">
        <v>9</v>
      </c>
      <c r="B9" s="2135">
        <f>IF(OR(S9=0),0,SUM($S$6:S9))</f>
        <v>0</v>
      </c>
      <c r="C9" s="1183"/>
      <c r="D9" s="1184" t="s">
        <v>122</v>
      </c>
      <c r="E9" s="1175" t="s">
        <v>99</v>
      </c>
      <c r="F9" s="1176">
        <v>1</v>
      </c>
      <c r="G9" s="1176" t="s">
        <v>3143</v>
      </c>
      <c r="H9" s="1177" t="s">
        <v>1609</v>
      </c>
      <c r="I9" s="1175" t="s">
        <v>7615</v>
      </c>
      <c r="J9" s="1175" t="s">
        <v>7616</v>
      </c>
      <c r="K9" s="1175" t="s">
        <v>7625</v>
      </c>
      <c r="L9" s="1175" t="s">
        <v>7626</v>
      </c>
      <c r="M9" s="1175" t="s">
        <v>7627</v>
      </c>
      <c r="N9" s="1175" t="s">
        <v>7628</v>
      </c>
      <c r="O9" s="1175" t="s">
        <v>7629</v>
      </c>
      <c r="P9" s="1175" t="s">
        <v>7630</v>
      </c>
      <c r="Q9" s="1175" t="s">
        <v>7631</v>
      </c>
      <c r="R9" s="1203" t="s">
        <v>7632</v>
      </c>
      <c r="S9" s="2137">
        <f>IF(COUNTIF(Psíquicos!$C$25:$E$36,E9)=0,0,1)</f>
        <v>0</v>
      </c>
      <c r="U9" s="1175" t="str">
        <f t="shared" si="0"/>
        <v>MED</v>
      </c>
      <c r="V9" s="2491"/>
      <c r="W9" s="2491"/>
      <c r="X9" s="2491"/>
      <c r="Y9" s="2491"/>
      <c r="Z9" s="2491"/>
      <c r="AA9" s="2491"/>
      <c r="AB9" s="2491"/>
      <c r="AC9" s="2491"/>
      <c r="AD9" s="2491"/>
      <c r="AE9" s="2491"/>
      <c r="AF9" s="2491">
        <f>IF(ISNUMBER(SEARCH("&gt;",D9)),0,COUNTIF(Psíquicos!$AD$16:$AH$61,D9))</f>
        <v>0</v>
      </c>
      <c r="AG9" s="1175" t="str">
        <f>IF(AF9=0,"",VLOOKUP(D9,Psíquicos!$AD$11:$AK$64,8,FALSE))</f>
        <v/>
      </c>
      <c r="AH9" s="2606"/>
      <c r="AI9" s="2592" t="s">
        <v>122</v>
      </c>
    </row>
    <row r="10" spans="1:62" ht="12.75" customHeight="1" x14ac:dyDescent="0.2">
      <c r="A10" s="2143">
        <v>10</v>
      </c>
      <c r="B10" s="2135">
        <f>IF(OR(S10=0),0,SUM($S$6:S10))</f>
        <v>0</v>
      </c>
      <c r="C10" s="1183"/>
      <c r="D10" s="1184" t="s">
        <v>123</v>
      </c>
      <c r="E10" s="1175" t="s">
        <v>99</v>
      </c>
      <c r="F10" s="1176">
        <v>1</v>
      </c>
      <c r="G10" s="1176" t="s">
        <v>3143</v>
      </c>
      <c r="H10" s="1177" t="s">
        <v>1609</v>
      </c>
      <c r="I10" s="1175" t="s">
        <v>7615</v>
      </c>
      <c r="J10" s="1175" t="s">
        <v>7616</v>
      </c>
      <c r="K10" s="1175" t="s">
        <v>7633</v>
      </c>
      <c r="L10" s="1175" t="s">
        <v>7634</v>
      </c>
      <c r="M10" s="1175" t="s">
        <v>7635</v>
      </c>
      <c r="N10" s="1175" t="s">
        <v>7636</v>
      </c>
      <c r="O10" s="1175" t="s">
        <v>7637</v>
      </c>
      <c r="P10" s="1175" t="s">
        <v>7638</v>
      </c>
      <c r="Q10" s="1175" t="s">
        <v>7639</v>
      </c>
      <c r="R10" s="1203" t="s">
        <v>7640</v>
      </c>
      <c r="S10" s="2137">
        <f>IF(COUNTIF(Psíquicos!$C$25:$E$36,E10)=0,0,1)</f>
        <v>0</v>
      </c>
      <c r="U10" s="1175" t="str">
        <f t="shared" si="0"/>
        <v>MED</v>
      </c>
      <c r="V10" s="2491"/>
      <c r="W10" s="2491"/>
      <c r="X10" s="2491"/>
      <c r="Y10" s="2491"/>
      <c r="Z10" s="2491"/>
      <c r="AA10" s="2491"/>
      <c r="AB10" s="2491"/>
      <c r="AC10" s="2491"/>
      <c r="AD10" s="2491"/>
      <c r="AE10" s="2491"/>
      <c r="AF10" s="2491">
        <f>IF(ISNUMBER(SEARCH("&gt;",D10)),0,COUNTIF(Psíquicos!$AD$16:$AH$61,D10))</f>
        <v>0</v>
      </c>
      <c r="AG10" s="1175" t="str">
        <f>IF(AF10=0,"",VLOOKUP(D10,Psíquicos!$AD$11:$AK$64,8,FALSE))</f>
        <v/>
      </c>
      <c r="AH10" s="2606"/>
      <c r="AI10" s="2592" t="s">
        <v>123</v>
      </c>
    </row>
    <row r="11" spans="1:62" ht="12.75" customHeight="1" x14ac:dyDescent="0.2">
      <c r="A11" s="2143">
        <v>11</v>
      </c>
      <c r="B11" s="2135">
        <f>IF(OR(S11=0),0,SUM($S$6:S11))</f>
        <v>0</v>
      </c>
      <c r="C11" s="1183"/>
      <c r="D11" s="1184" t="s">
        <v>124</v>
      </c>
      <c r="E11" s="1175" t="s">
        <v>99</v>
      </c>
      <c r="F11" s="1176">
        <v>1</v>
      </c>
      <c r="G11" s="1176" t="s">
        <v>3143</v>
      </c>
      <c r="H11" s="1177" t="s">
        <v>1609</v>
      </c>
      <c r="I11" s="1175" t="s">
        <v>7641</v>
      </c>
      <c r="J11" s="1175" t="s">
        <v>7616</v>
      </c>
      <c r="K11" s="1175" t="s">
        <v>7642</v>
      </c>
      <c r="L11" s="1175" t="s">
        <v>7643</v>
      </c>
      <c r="M11" s="1175" t="s">
        <v>7644</v>
      </c>
      <c r="N11" s="1175" t="s">
        <v>7645</v>
      </c>
      <c r="O11" s="1175" t="s">
        <v>7646</v>
      </c>
      <c r="P11" s="1175" t="s">
        <v>7647</v>
      </c>
      <c r="Q11" s="1175" t="s">
        <v>7648</v>
      </c>
      <c r="R11" s="1203" t="s">
        <v>7649</v>
      </c>
      <c r="S11" s="2137">
        <f>IF(COUNTIF(Psíquicos!$C$25:$E$36,E11)=0,0,1)</f>
        <v>0</v>
      </c>
      <c r="U11" s="1175" t="str">
        <f t="shared" si="0"/>
        <v>MED</v>
      </c>
      <c r="V11" s="2491"/>
      <c r="W11" s="2491"/>
      <c r="X11" s="2491"/>
      <c r="Y11" s="2491"/>
      <c r="Z11" s="2491"/>
      <c r="AA11" s="2491"/>
      <c r="AB11" s="2491"/>
      <c r="AC11" s="2491"/>
      <c r="AD11" s="2491"/>
      <c r="AE11" s="2491"/>
      <c r="AF11" s="2491">
        <f>IF(ISNUMBER(SEARCH("&gt;",D11)),0,COUNTIF(Psíquicos!$AD$16:$AH$61,D11))</f>
        <v>0</v>
      </c>
      <c r="AG11" s="1175" t="str">
        <f>IF(AF11=0,"",VLOOKUP(D11,Psíquicos!$AD$11:$AK$64,8,FALSE))</f>
        <v/>
      </c>
      <c r="AH11" s="2606"/>
      <c r="AI11" s="2592" t="s">
        <v>124</v>
      </c>
    </row>
    <row r="12" spans="1:62" ht="12.75" customHeight="1" x14ac:dyDescent="0.2">
      <c r="A12" s="2143">
        <v>12</v>
      </c>
      <c r="B12" s="2135">
        <f>IF(OR(S12=0),0,SUM($S$6:S12))</f>
        <v>0</v>
      </c>
      <c r="C12" s="1183"/>
      <c r="D12" s="1184" t="s">
        <v>125</v>
      </c>
      <c r="E12" s="1175" t="s">
        <v>99</v>
      </c>
      <c r="F12" s="1176">
        <v>1</v>
      </c>
      <c r="G12" s="1176" t="s">
        <v>3143</v>
      </c>
      <c r="H12" s="1177" t="s">
        <v>1609</v>
      </c>
      <c r="I12" s="1175" t="s">
        <v>7615</v>
      </c>
      <c r="J12" s="1175" t="s">
        <v>7616</v>
      </c>
      <c r="K12" s="1175" t="s">
        <v>7650</v>
      </c>
      <c r="L12" s="1175" t="s">
        <v>7633</v>
      </c>
      <c r="M12" s="1175" t="s">
        <v>7634</v>
      </c>
      <c r="N12" s="1175" t="s">
        <v>7635</v>
      </c>
      <c r="O12" s="1175" t="s">
        <v>7636</v>
      </c>
      <c r="P12" s="1175" t="s">
        <v>7637</v>
      </c>
      <c r="Q12" s="1175" t="s">
        <v>7638</v>
      </c>
      <c r="R12" s="1203" t="s">
        <v>7639</v>
      </c>
      <c r="S12" s="2137">
        <f>IF(COUNTIF(Psíquicos!$C$25:$E$36,E12)=0,0,1)</f>
        <v>0</v>
      </c>
      <c r="U12" s="1175" t="str">
        <f t="shared" si="0"/>
        <v>MED</v>
      </c>
      <c r="V12" s="2491"/>
      <c r="W12" s="2491"/>
      <c r="X12" s="2491"/>
      <c r="Y12" s="2491"/>
      <c r="Z12" s="2491"/>
      <c r="AA12" s="2491"/>
      <c r="AB12" s="2491"/>
      <c r="AC12" s="2491"/>
      <c r="AD12" s="2491"/>
      <c r="AE12" s="2491"/>
      <c r="AF12" s="2491">
        <f>IF(ISNUMBER(SEARCH("&gt;",D12)),0,COUNTIF(Psíquicos!$AD$16:$AH$61,D12))</f>
        <v>0</v>
      </c>
      <c r="AG12" s="1175" t="str">
        <f>IF(AF12=0,"",VLOOKUP(D12,Psíquicos!$AD$11:$AK$64,8,FALSE))</f>
        <v/>
      </c>
      <c r="AH12" s="2606"/>
      <c r="AI12" s="2592" t="s">
        <v>125</v>
      </c>
    </row>
    <row r="13" spans="1:62" ht="12.75" customHeight="1" x14ac:dyDescent="0.2">
      <c r="A13" s="2143">
        <v>13</v>
      </c>
      <c r="B13" s="2135">
        <f>IF(OR(S13=0),0,SUM($S$6:S13))</f>
        <v>0</v>
      </c>
      <c r="C13" s="1183"/>
      <c r="D13" s="1184" t="s">
        <v>126</v>
      </c>
      <c r="E13" s="1175" t="s">
        <v>99</v>
      </c>
      <c r="F13" s="1176">
        <v>1</v>
      </c>
      <c r="G13" s="1176" t="s">
        <v>3143</v>
      </c>
      <c r="H13" s="1177" t="s">
        <v>1609</v>
      </c>
      <c r="I13" s="1175" t="s">
        <v>7651</v>
      </c>
      <c r="J13" s="1175" t="s">
        <v>7615</v>
      </c>
      <c r="K13" s="1175" t="s">
        <v>7650</v>
      </c>
      <c r="L13" s="1175" t="s">
        <v>7633</v>
      </c>
      <c r="M13" s="1175" t="s">
        <v>7634</v>
      </c>
      <c r="N13" s="1175" t="s">
        <v>7635</v>
      </c>
      <c r="O13" s="1175" t="s">
        <v>7636</v>
      </c>
      <c r="P13" s="1175" t="s">
        <v>7637</v>
      </c>
      <c r="Q13" s="1175" t="s">
        <v>7638</v>
      </c>
      <c r="R13" s="1203" t="s">
        <v>7639</v>
      </c>
      <c r="S13" s="2137">
        <f>IF(COUNTIF(Psíquicos!$C$25:$E$36,E13)=0,0,1)</f>
        <v>0</v>
      </c>
      <c r="U13" s="1175" t="str">
        <f t="shared" si="0"/>
        <v>MED</v>
      </c>
      <c r="V13" s="2491"/>
      <c r="W13" s="2491"/>
      <c r="X13" s="2491"/>
      <c r="Y13" s="2491"/>
      <c r="Z13" s="2491"/>
      <c r="AA13" s="2491"/>
      <c r="AB13" s="2491"/>
      <c r="AC13" s="2491"/>
      <c r="AD13" s="2491"/>
      <c r="AE13" s="2491"/>
      <c r="AF13" s="2491">
        <f>IF(ISNUMBER(SEARCH("&gt;",D13)),0,COUNTIF(Psíquicos!$AD$16:$AH$61,D13))</f>
        <v>0</v>
      </c>
      <c r="AG13" s="1175" t="str">
        <f>IF(AF13=0,"",VLOOKUP(D13,Psíquicos!$AD$11:$AK$64,8,FALSE))</f>
        <v/>
      </c>
      <c r="AH13" s="2606"/>
      <c r="AI13" s="2592" t="s">
        <v>126</v>
      </c>
    </row>
    <row r="14" spans="1:62" ht="12.75" customHeight="1" x14ac:dyDescent="0.2">
      <c r="A14" s="2143">
        <v>14</v>
      </c>
      <c r="B14" s="2135">
        <f>IF(OR(S14=0),0,SUM($S$6:S14))</f>
        <v>0</v>
      </c>
      <c r="C14" s="1183"/>
      <c r="D14" s="1184" t="s">
        <v>127</v>
      </c>
      <c r="E14" s="1175" t="s">
        <v>99</v>
      </c>
      <c r="F14" s="1176">
        <v>2</v>
      </c>
      <c r="G14" s="1176" t="s">
        <v>3143</v>
      </c>
      <c r="H14" s="1177" t="s">
        <v>1609</v>
      </c>
      <c r="I14" s="1175" t="s">
        <v>7652</v>
      </c>
      <c r="J14" s="1175" t="s">
        <v>7651</v>
      </c>
      <c r="K14" s="1175" t="s">
        <v>7615</v>
      </c>
      <c r="L14" s="1175" t="s">
        <v>7633</v>
      </c>
      <c r="M14" s="1175" t="s">
        <v>7634</v>
      </c>
      <c r="N14" s="1175" t="s">
        <v>7635</v>
      </c>
      <c r="O14" s="1175" t="s">
        <v>7636</v>
      </c>
      <c r="P14" s="1175" t="s">
        <v>7637</v>
      </c>
      <c r="Q14" s="1175" t="s">
        <v>7638</v>
      </c>
      <c r="R14" s="1203" t="s">
        <v>7640</v>
      </c>
      <c r="S14" s="2137">
        <f>IF(COUNTIF(Psíquicos!$C$25:$E$36,E14)=0,0,1)</f>
        <v>0</v>
      </c>
      <c r="U14" s="1175" t="str">
        <f t="shared" si="0"/>
        <v>DIF</v>
      </c>
      <c r="V14" s="2491"/>
      <c r="W14" s="2491"/>
      <c r="X14" s="2491"/>
      <c r="Y14" s="2491"/>
      <c r="Z14" s="2491"/>
      <c r="AA14" s="2491"/>
      <c r="AB14" s="2491"/>
      <c r="AC14" s="2491"/>
      <c r="AD14" s="2491"/>
      <c r="AE14" s="2491"/>
      <c r="AF14" s="2491">
        <f>IF(ISNUMBER(SEARCH("&gt;",D14)),0,COUNTIF(Psíquicos!$AD$16:$AH$61,D14))</f>
        <v>0</v>
      </c>
      <c r="AG14" s="1175" t="str">
        <f>IF(AF14=0,"",VLOOKUP(D14,Psíquicos!$AD$11:$AK$64,8,FALSE))</f>
        <v/>
      </c>
      <c r="AH14" s="2606"/>
      <c r="AI14" s="2592" t="s">
        <v>127</v>
      </c>
    </row>
    <row r="15" spans="1:62" ht="12.75" customHeight="1" x14ac:dyDescent="0.2">
      <c r="A15" s="2143">
        <v>15</v>
      </c>
      <c r="B15" s="2135">
        <f>IF(OR(S15=0),0,SUM($S$6:S15))</f>
        <v>0</v>
      </c>
      <c r="C15" s="1183"/>
      <c r="D15" s="1184" t="s">
        <v>128</v>
      </c>
      <c r="E15" s="1175" t="s">
        <v>99</v>
      </c>
      <c r="F15" s="1176">
        <v>2</v>
      </c>
      <c r="G15" s="1176" t="s">
        <v>1693</v>
      </c>
      <c r="H15" s="1177" t="s">
        <v>1609</v>
      </c>
      <c r="I15" s="1175" t="s">
        <v>7653</v>
      </c>
      <c r="J15" s="1175" t="s">
        <v>7651</v>
      </c>
      <c r="K15" s="1175" t="s">
        <v>7615</v>
      </c>
      <c r="L15" s="1175" t="s">
        <v>7634</v>
      </c>
      <c r="M15" s="1175" t="s">
        <v>7635</v>
      </c>
      <c r="N15" s="1175" t="s">
        <v>7636</v>
      </c>
      <c r="O15" s="1175" t="s">
        <v>7637</v>
      </c>
      <c r="P15" s="1175" t="s">
        <v>7638</v>
      </c>
      <c r="Q15" s="1175" t="s">
        <v>7639</v>
      </c>
      <c r="R15" s="1203" t="s">
        <v>7654</v>
      </c>
      <c r="S15" s="2137">
        <f>IF(COUNTIF(Psíquicos!$C$25:$E$36,E15)=0,0,1)</f>
        <v>0</v>
      </c>
      <c r="U15" s="1175" t="str">
        <f t="shared" si="0"/>
        <v/>
      </c>
      <c r="V15" s="2491"/>
      <c r="W15" s="2491"/>
      <c r="X15" s="2491"/>
      <c r="Y15" s="2491"/>
      <c r="Z15" s="2491"/>
      <c r="AA15" s="2491"/>
      <c r="AB15" s="2491"/>
      <c r="AC15" s="2491"/>
      <c r="AD15" s="2491"/>
      <c r="AE15" s="2491"/>
      <c r="AF15" s="2491">
        <f>IF(ISNUMBER(SEARCH("&gt;",D15)),0,COUNTIF(Psíquicos!$AD$16:$AH$61,D15))</f>
        <v>0</v>
      </c>
      <c r="AG15" s="1175" t="str">
        <f>IF(AF15=0,"",VLOOKUP(D15,Psíquicos!$AD$11:$AK$64,8,FALSE))</f>
        <v/>
      </c>
      <c r="AH15" s="2606"/>
      <c r="AI15" s="2592" t="s">
        <v>128</v>
      </c>
    </row>
    <row r="16" spans="1:62" ht="12.75" customHeight="1" x14ac:dyDescent="0.2">
      <c r="A16" s="2143">
        <v>16</v>
      </c>
      <c r="B16" s="2135">
        <f>IF(OR(S16=0),0,SUM($S$6:S16))</f>
        <v>0</v>
      </c>
      <c r="C16" s="1183"/>
      <c r="D16" s="1184" t="s">
        <v>129</v>
      </c>
      <c r="E16" s="1175" t="s">
        <v>99</v>
      </c>
      <c r="F16" s="1176">
        <v>2</v>
      </c>
      <c r="G16" s="1176" t="s">
        <v>3143</v>
      </c>
      <c r="H16" s="1177" t="s">
        <v>1609</v>
      </c>
      <c r="I16" s="1175" t="s">
        <v>7652</v>
      </c>
      <c r="J16" s="1175" t="s">
        <v>7651</v>
      </c>
      <c r="K16" s="1175" t="s">
        <v>7615</v>
      </c>
      <c r="L16" s="1175" t="s">
        <v>7625</v>
      </c>
      <c r="M16" s="1175" t="s">
        <v>7626</v>
      </c>
      <c r="N16" s="1175" t="s">
        <v>7627</v>
      </c>
      <c r="O16" s="1175" t="s">
        <v>7628</v>
      </c>
      <c r="P16" s="1175" t="s">
        <v>7629</v>
      </c>
      <c r="Q16" s="1175" t="s">
        <v>7630</v>
      </c>
      <c r="R16" s="1203" t="s">
        <v>7632</v>
      </c>
      <c r="S16" s="2137">
        <f>IF(COUNTIF(Psíquicos!$C$25:$E$36,E16)=0,0,1)</f>
        <v>0</v>
      </c>
      <c r="U16" s="1175" t="str">
        <f t="shared" si="0"/>
        <v>DIF</v>
      </c>
      <c r="V16" s="2491"/>
      <c r="W16" s="2491"/>
      <c r="X16" s="2491"/>
      <c r="Y16" s="2491"/>
      <c r="Z16" s="2491"/>
      <c r="AA16" s="2491"/>
      <c r="AB16" s="2491"/>
      <c r="AC16" s="2491"/>
      <c r="AD16" s="2491"/>
      <c r="AE16" s="2491"/>
      <c r="AF16" s="2491">
        <f>IF(ISNUMBER(SEARCH("&gt;",D16)),0,COUNTIF(Psíquicos!$AD$16:$AH$61,D16))</f>
        <v>0</v>
      </c>
      <c r="AG16" s="1175" t="str">
        <f>IF(AF16=0,"",VLOOKUP(D16,Psíquicos!$AD$11:$AK$64,8,FALSE))</f>
        <v/>
      </c>
      <c r="AH16" s="2606"/>
      <c r="AI16" s="2592" t="s">
        <v>129</v>
      </c>
    </row>
    <row r="17" spans="1:35" ht="12.75" customHeight="1" x14ac:dyDescent="0.2">
      <c r="A17" s="2143">
        <v>17</v>
      </c>
      <c r="B17" s="2135">
        <f>IF(OR(S17=0),0,SUM($S$6:S17))</f>
        <v>0</v>
      </c>
      <c r="C17" s="1183"/>
      <c r="D17" s="1184" t="s">
        <v>130</v>
      </c>
      <c r="E17" s="1175" t="s">
        <v>99</v>
      </c>
      <c r="F17" s="1176">
        <v>2</v>
      </c>
      <c r="G17" s="1176" t="s">
        <v>1693</v>
      </c>
      <c r="H17" s="1177" t="s">
        <v>1609</v>
      </c>
      <c r="I17" s="1175" t="s">
        <v>7653</v>
      </c>
      <c r="J17" s="1175" t="s">
        <v>7652</v>
      </c>
      <c r="K17" s="1175" t="s">
        <v>7651</v>
      </c>
      <c r="L17" s="1175" t="s">
        <v>7615</v>
      </c>
      <c r="M17" s="1175" t="s">
        <v>7633</v>
      </c>
      <c r="N17" s="1175" t="s">
        <v>7634</v>
      </c>
      <c r="O17" s="1175" t="s">
        <v>7635</v>
      </c>
      <c r="P17" s="1175" t="s">
        <v>7636</v>
      </c>
      <c r="Q17" s="1175" t="s">
        <v>7637</v>
      </c>
      <c r="R17" s="1203" t="s">
        <v>7638</v>
      </c>
      <c r="S17" s="2137">
        <f>IF(COUNTIF(Psíquicos!$C$25:$E$36,E17)=0,0,1)</f>
        <v>0</v>
      </c>
      <c r="U17" s="1175" t="str">
        <f t="shared" si="0"/>
        <v/>
      </c>
      <c r="V17" s="2491"/>
      <c r="W17" s="2491"/>
      <c r="X17" s="2491"/>
      <c r="Y17" s="2491"/>
      <c r="Z17" s="2491"/>
      <c r="AA17" s="2491"/>
      <c r="AB17" s="2491"/>
      <c r="AC17" s="2491"/>
      <c r="AD17" s="2491"/>
      <c r="AE17" s="2491"/>
      <c r="AF17" s="2491">
        <f>IF(ISNUMBER(SEARCH("&gt;",D17)),0,COUNTIF(Psíquicos!$AD$16:$AH$61,D17))</f>
        <v>0</v>
      </c>
      <c r="AG17" s="1175" t="str">
        <f>IF(AF17=0,"",VLOOKUP(D17,Psíquicos!$AD$11:$AK$64,8,FALSE))</f>
        <v/>
      </c>
      <c r="AH17" s="2606"/>
      <c r="AI17" s="2592" t="s">
        <v>130</v>
      </c>
    </row>
    <row r="18" spans="1:35" ht="12.75" customHeight="1" x14ac:dyDescent="0.2">
      <c r="A18" s="2143">
        <v>18</v>
      </c>
      <c r="B18" s="2135">
        <f>IF(OR(S18=0),0,SUM($S$6:S18))</f>
        <v>0</v>
      </c>
      <c r="C18" s="1183"/>
      <c r="D18" s="1184" t="s">
        <v>131</v>
      </c>
      <c r="E18" s="1175" t="s">
        <v>99</v>
      </c>
      <c r="F18" s="1176">
        <v>2</v>
      </c>
      <c r="G18" s="1176" t="s">
        <v>3143</v>
      </c>
      <c r="H18" s="1177" t="s">
        <v>1609</v>
      </c>
      <c r="I18" s="1175" t="s">
        <v>7653</v>
      </c>
      <c r="J18" s="1175" t="s">
        <v>7652</v>
      </c>
      <c r="K18" s="1175" t="s">
        <v>7651</v>
      </c>
      <c r="L18" s="1175" t="s">
        <v>7615</v>
      </c>
      <c r="M18" s="1175" t="s">
        <v>7655</v>
      </c>
      <c r="N18" s="1175" t="s">
        <v>7656</v>
      </c>
      <c r="O18" s="1175" t="s">
        <v>7657</v>
      </c>
      <c r="P18" s="1175" t="s">
        <v>7658</v>
      </c>
      <c r="Q18" s="1175" t="s">
        <v>7659</v>
      </c>
      <c r="R18" s="1203" t="s">
        <v>7632</v>
      </c>
      <c r="S18" s="2137">
        <f>IF(COUNTIF(Psíquicos!$C$25:$E$36,E18)=0,0,1)</f>
        <v>0</v>
      </c>
      <c r="U18" s="1175" t="str">
        <f t="shared" si="0"/>
        <v>MDF</v>
      </c>
      <c r="V18" s="2491"/>
      <c r="W18" s="2491"/>
      <c r="X18" s="2491"/>
      <c r="Y18" s="2491"/>
      <c r="Z18" s="2491"/>
      <c r="AA18" s="2491"/>
      <c r="AB18" s="2491"/>
      <c r="AC18" s="2491"/>
      <c r="AD18" s="2491"/>
      <c r="AE18" s="2491"/>
      <c r="AF18" s="2491">
        <f>IF(ISNUMBER(SEARCH("&gt;",D18)),0,COUNTIF(Psíquicos!$AD$16:$AH$61,D18))</f>
        <v>0</v>
      </c>
      <c r="AG18" s="1175" t="str">
        <f>IF(AF18=0,"",VLOOKUP(D18,Psíquicos!$AD$11:$AK$64,8,FALSE))</f>
        <v/>
      </c>
      <c r="AH18" s="2606"/>
      <c r="AI18" s="2592" t="s">
        <v>131</v>
      </c>
    </row>
    <row r="19" spans="1:35" ht="12.75" customHeight="1" x14ac:dyDescent="0.2">
      <c r="A19" s="2143">
        <v>19</v>
      </c>
      <c r="B19" s="2135">
        <f>IF(OR(S19=0),0,SUM($S$6:S19))</f>
        <v>0</v>
      </c>
      <c r="C19" s="1183"/>
      <c r="D19" s="1184" t="s">
        <v>132</v>
      </c>
      <c r="E19" s="1175" t="s">
        <v>99</v>
      </c>
      <c r="F19" s="1176">
        <v>2</v>
      </c>
      <c r="G19" s="1176" t="s">
        <v>3143</v>
      </c>
      <c r="H19" s="1177" t="s">
        <v>1609</v>
      </c>
      <c r="I19" s="1175" t="s">
        <v>7653</v>
      </c>
      <c r="J19" s="1175" t="s">
        <v>7652</v>
      </c>
      <c r="K19" s="1175" t="s">
        <v>7651</v>
      </c>
      <c r="L19" s="1175" t="s">
        <v>7615</v>
      </c>
      <c r="M19" s="1175" t="s">
        <v>7660</v>
      </c>
      <c r="N19" s="1175" t="s">
        <v>7661</v>
      </c>
      <c r="O19" s="1175" t="s">
        <v>7662</v>
      </c>
      <c r="P19" s="1175" t="s">
        <v>7663</v>
      </c>
      <c r="Q19" s="1175" t="s">
        <v>7664</v>
      </c>
      <c r="R19" s="1203" t="s">
        <v>7665</v>
      </c>
      <c r="S19" s="2137">
        <f>IF(COUNTIF(Psíquicos!$C$25:$E$36,E19)=0,0,1)</f>
        <v>0</v>
      </c>
      <c r="U19" s="1175" t="str">
        <f t="shared" si="0"/>
        <v>MDF</v>
      </c>
      <c r="V19" s="2491"/>
      <c r="W19" s="2491"/>
      <c r="X19" s="2491"/>
      <c r="Y19" s="2491"/>
      <c r="Z19" s="2491"/>
      <c r="AA19" s="2491"/>
      <c r="AB19" s="2491"/>
      <c r="AC19" s="2491"/>
      <c r="AD19" s="2491"/>
      <c r="AE19" s="2491"/>
      <c r="AF19" s="2491">
        <f>IF(ISNUMBER(SEARCH("&gt;",D19)),0,COUNTIF(Psíquicos!$AD$16:$AH$61,D19))</f>
        <v>0</v>
      </c>
      <c r="AG19" s="1175" t="str">
        <f>IF(AF19=0,"",VLOOKUP(D19,Psíquicos!$AD$11:$AK$64,8,FALSE))</f>
        <v/>
      </c>
      <c r="AH19" s="2606"/>
      <c r="AI19" s="2592" t="s">
        <v>132</v>
      </c>
    </row>
    <row r="20" spans="1:35" ht="12.75" customHeight="1" x14ac:dyDescent="0.2">
      <c r="A20" s="2143">
        <v>20</v>
      </c>
      <c r="B20" s="2135">
        <f>IF(OR(S20=0),0,SUM($S$6:S20))</f>
        <v>0</v>
      </c>
      <c r="C20" s="1183"/>
      <c r="D20" s="1184" t="s">
        <v>133</v>
      </c>
      <c r="E20" s="1175" t="s">
        <v>99</v>
      </c>
      <c r="F20" s="1176">
        <v>3</v>
      </c>
      <c r="G20" s="1176" t="s">
        <v>3143</v>
      </c>
      <c r="H20" s="1177" t="s">
        <v>1609</v>
      </c>
      <c r="I20" s="1175" t="s">
        <v>7666</v>
      </c>
      <c r="J20" s="1175" t="s">
        <v>7653</v>
      </c>
      <c r="K20" s="1175" t="s">
        <v>7652</v>
      </c>
      <c r="L20" s="1175" t="s">
        <v>7651</v>
      </c>
      <c r="M20" s="1175" t="s">
        <v>7633</v>
      </c>
      <c r="N20" s="1175" t="s">
        <v>7634</v>
      </c>
      <c r="O20" s="1175" t="s">
        <v>7635</v>
      </c>
      <c r="P20" s="1175" t="s">
        <v>7636</v>
      </c>
      <c r="Q20" s="1175" t="s">
        <v>7637</v>
      </c>
      <c r="R20" s="1203" t="s">
        <v>7639</v>
      </c>
      <c r="S20" s="2137">
        <f>IF(COUNTIF(Psíquicos!$C$25:$E$36,E20)=0,0,1)</f>
        <v>0</v>
      </c>
      <c r="U20" s="1175" t="str">
        <f t="shared" si="0"/>
        <v>MDF</v>
      </c>
      <c r="V20" s="2491"/>
      <c r="W20" s="2491"/>
      <c r="X20" s="2491"/>
      <c r="Y20" s="2491"/>
      <c r="Z20" s="2491"/>
      <c r="AA20" s="2491"/>
      <c r="AB20" s="2491"/>
      <c r="AC20" s="2491"/>
      <c r="AD20" s="2491"/>
      <c r="AE20" s="2491"/>
      <c r="AF20" s="2491">
        <f>IF(ISNUMBER(SEARCH("&gt;",D20)),0,COUNTIF(Psíquicos!$AD$16:$AH$61,D20))</f>
        <v>0</v>
      </c>
      <c r="AG20" s="1175" t="str">
        <f>IF(AF20=0,"",VLOOKUP(D20,Psíquicos!$AD$11:$AK$64,8,FALSE))</f>
        <v/>
      </c>
      <c r="AH20" s="2606"/>
      <c r="AI20" s="2592" t="s">
        <v>133</v>
      </c>
    </row>
    <row r="21" spans="1:35" ht="12.75" customHeight="1" x14ac:dyDescent="0.2">
      <c r="A21" s="2143">
        <v>21</v>
      </c>
      <c r="B21" s="2135">
        <f>IF(OR(S21=0),0,SUM($S$6:S21))</f>
        <v>0</v>
      </c>
      <c r="C21" s="1183"/>
      <c r="D21" s="1184" t="s">
        <v>134</v>
      </c>
      <c r="E21" s="1175" t="s">
        <v>99</v>
      </c>
      <c r="F21" s="1176">
        <v>3</v>
      </c>
      <c r="G21" s="1176" t="s">
        <v>1693</v>
      </c>
      <c r="H21" s="1177" t="s">
        <v>1609</v>
      </c>
      <c r="I21" s="1175" t="s">
        <v>7667</v>
      </c>
      <c r="J21" s="1175" t="s">
        <v>7666</v>
      </c>
      <c r="K21" s="1175" t="s">
        <v>7653</v>
      </c>
      <c r="L21" s="1175" t="s">
        <v>7652</v>
      </c>
      <c r="M21" s="1175" t="s">
        <v>7651</v>
      </c>
      <c r="N21" s="1175" t="s">
        <v>7635</v>
      </c>
      <c r="O21" s="1175" t="s">
        <v>7636</v>
      </c>
      <c r="P21" s="1175" t="s">
        <v>7637</v>
      </c>
      <c r="Q21" s="1175" t="s">
        <v>7639</v>
      </c>
      <c r="R21" s="1203" t="s">
        <v>7640</v>
      </c>
      <c r="S21" s="2137">
        <f>IF(COUNTIF(Psíquicos!$C$25:$E$36,E21)=0,0,1)</f>
        <v>0</v>
      </c>
      <c r="U21" s="1175" t="str">
        <f t="shared" si="0"/>
        <v/>
      </c>
      <c r="V21" s="2491"/>
      <c r="W21" s="2491"/>
      <c r="X21" s="2491"/>
      <c r="Y21" s="2491"/>
      <c r="Z21" s="2491"/>
      <c r="AA21" s="2491"/>
      <c r="AB21" s="2491"/>
      <c r="AC21" s="2491"/>
      <c r="AD21" s="2491"/>
      <c r="AE21" s="2491"/>
      <c r="AF21" s="2491">
        <f>IF(ISNUMBER(SEARCH("&gt;",D21)),0,COUNTIF(Psíquicos!$AD$16:$AH$61,D21))</f>
        <v>0</v>
      </c>
      <c r="AG21" s="1175" t="str">
        <f>IF(AF21=0,"",VLOOKUP(D21,Psíquicos!$AD$11:$AK$64,8,FALSE))</f>
        <v/>
      </c>
      <c r="AH21" s="2606"/>
      <c r="AI21" s="2592" t="s">
        <v>134</v>
      </c>
    </row>
    <row r="22" spans="1:35" ht="12.75" customHeight="1" x14ac:dyDescent="0.2">
      <c r="A22" s="2143">
        <v>22</v>
      </c>
      <c r="B22" s="2135">
        <f>IF(OR(S22=0),0,SUM($S$6:S22))</f>
        <v>0</v>
      </c>
      <c r="C22" s="1183"/>
      <c r="D22" s="1184" t="s">
        <v>135</v>
      </c>
      <c r="E22" s="1175" t="s">
        <v>99</v>
      </c>
      <c r="F22" s="1176">
        <v>3</v>
      </c>
      <c r="G22" s="1176" t="s">
        <v>3143</v>
      </c>
      <c r="H22" s="1177" t="s">
        <v>1609</v>
      </c>
      <c r="I22" s="1175" t="s">
        <v>7667</v>
      </c>
      <c r="J22" s="1175" t="s">
        <v>7666</v>
      </c>
      <c r="K22" s="1175" t="s">
        <v>7653</v>
      </c>
      <c r="L22" s="1175" t="s">
        <v>7651</v>
      </c>
      <c r="M22" s="1175" t="s">
        <v>7668</v>
      </c>
      <c r="N22" s="1175" t="s">
        <v>7625</v>
      </c>
      <c r="O22" s="1175" t="s">
        <v>7627</v>
      </c>
      <c r="P22" s="1175" t="s">
        <v>7628</v>
      </c>
      <c r="Q22" s="1175" t="s">
        <v>7629</v>
      </c>
      <c r="R22" s="1203" t="s">
        <v>7669</v>
      </c>
      <c r="S22" s="2137">
        <f>IF(COUNTIF(Psíquicos!$C$25:$E$36,E22)=0,0,1)</f>
        <v>0</v>
      </c>
      <c r="U22" s="1175" t="str">
        <f t="shared" si="0"/>
        <v>MDF</v>
      </c>
      <c r="V22" s="2491"/>
      <c r="W22" s="2491"/>
      <c r="X22" s="2491"/>
      <c r="Y22" s="2491"/>
      <c r="Z22" s="2491"/>
      <c r="AA22" s="2491"/>
      <c r="AB22" s="2491"/>
      <c r="AC22" s="2491"/>
      <c r="AD22" s="2491"/>
      <c r="AE22" s="2491"/>
      <c r="AF22" s="2491">
        <f>IF(ISNUMBER(SEARCH("&gt;",D22)),0,COUNTIF(Psíquicos!$AD$16:$AH$61,D22))</f>
        <v>0</v>
      </c>
      <c r="AG22" s="1175" t="str">
        <f>IF(AF22=0,"",VLOOKUP(D22,Psíquicos!$AD$11:$AK$64,8,FALSE))</f>
        <v/>
      </c>
      <c r="AH22" s="2606"/>
      <c r="AI22" s="2592"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1"/>
      <c r="W23" s="2491"/>
      <c r="X23" s="2491"/>
      <c r="Y23" s="2491"/>
      <c r="Z23" s="2491"/>
      <c r="AA23" s="2491"/>
      <c r="AB23" s="2491"/>
      <c r="AC23" s="2491"/>
      <c r="AD23" s="2491"/>
      <c r="AE23" s="2491"/>
      <c r="AF23" s="2491">
        <f>IF(ISNUMBER(SEARCH("&gt;",D23)),0,COUNTIF(Psíquicos!$AD$16:$AH$61,D23))</f>
        <v>0</v>
      </c>
      <c r="AG23" s="1175" t="str">
        <f>IF(AF23=0,"",VLOOKUP(D23,Psíquicos!$AD$11:$AK$64,8,FALSE))</f>
        <v/>
      </c>
      <c r="AH23" s="2606"/>
      <c r="AI23" s="2592" t="s">
        <v>136</v>
      </c>
    </row>
    <row r="24" spans="1:35" ht="12.75" customHeight="1" x14ac:dyDescent="0.2">
      <c r="A24" s="2143">
        <v>24</v>
      </c>
      <c r="B24" s="2135">
        <f>IF(OR(S24=0),0,SUM($S$6:S24))</f>
        <v>0</v>
      </c>
      <c r="C24" s="1183"/>
      <c r="D24" s="1184" t="s">
        <v>137</v>
      </c>
      <c r="E24" s="1175" t="s">
        <v>101</v>
      </c>
      <c r="F24" s="1176">
        <v>1</v>
      </c>
      <c r="G24" s="1176" t="s">
        <v>3143</v>
      </c>
      <c r="H24" s="1177" t="s">
        <v>1609</v>
      </c>
      <c r="I24" s="1175" t="s">
        <v>7616</v>
      </c>
      <c r="J24" s="1175" t="s">
        <v>7670</v>
      </c>
      <c r="K24" s="1175" t="s">
        <v>7671</v>
      </c>
      <c r="L24" s="1175" t="s">
        <v>7672</v>
      </c>
      <c r="M24" s="1175" t="s">
        <v>7673</v>
      </c>
      <c r="N24" s="1175" t="s">
        <v>7674</v>
      </c>
      <c r="O24" s="1175" t="s">
        <v>7675</v>
      </c>
      <c r="P24" s="1175" t="s">
        <v>7676</v>
      </c>
      <c r="Q24" s="1175" t="s">
        <v>7677</v>
      </c>
      <c r="R24" s="1203" t="s">
        <v>7678</v>
      </c>
      <c r="S24" s="2137">
        <f>IF(COUNTIF(Psíquicos!$C$25:$E$36,E24)=0,0,1)</f>
        <v>0</v>
      </c>
      <c r="U24" s="1175" t="str">
        <f t="shared" si="0"/>
        <v>FAC</v>
      </c>
      <c r="V24" s="2491"/>
      <c r="W24" s="2491"/>
      <c r="X24" s="2491"/>
      <c r="Y24" s="2491"/>
      <c r="Z24" s="2491"/>
      <c r="AA24" s="2491"/>
      <c r="AB24" s="2491"/>
      <c r="AC24" s="2491"/>
      <c r="AD24" s="2491"/>
      <c r="AE24" s="2491"/>
      <c r="AF24" s="2491">
        <f>IF(ISNUMBER(SEARCH("&gt;",D24)),0,COUNTIF(Psíquicos!$AD$16:$AH$61,D24))</f>
        <v>0</v>
      </c>
      <c r="AG24" s="1175" t="str">
        <f>IF(AF24=0,"",VLOOKUP(D24,Psíquicos!$AD$11:$AK$64,8,FALSE))</f>
        <v/>
      </c>
      <c r="AH24" s="2606"/>
      <c r="AI24" s="2592"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7615</v>
      </c>
      <c r="J25" s="1175" t="s">
        <v>7616</v>
      </c>
      <c r="K25" s="1175" t="s">
        <v>7679</v>
      </c>
      <c r="L25" s="1175" t="s">
        <v>7680</v>
      </c>
      <c r="M25" s="1175" t="s">
        <v>7681</v>
      </c>
      <c r="N25" s="1175" t="s">
        <v>7682</v>
      </c>
      <c r="O25" s="1175" t="s">
        <v>7683</v>
      </c>
      <c r="P25" s="1175" t="s">
        <v>7684</v>
      </c>
      <c r="Q25" s="1175" t="s">
        <v>7685</v>
      </c>
      <c r="R25" s="1203" t="s">
        <v>7686</v>
      </c>
      <c r="S25" s="2137">
        <f>IF(COUNTIF(Psíquicos!$C$25:$E$36,E25)=0,0,1)</f>
        <v>0</v>
      </c>
      <c r="U25" s="1175" t="str">
        <f t="shared" si="0"/>
        <v/>
      </c>
      <c r="V25" s="2491"/>
      <c r="W25" s="2491"/>
      <c r="X25" s="2491"/>
      <c r="Y25" s="2491"/>
      <c r="Z25" s="2491"/>
      <c r="AA25" s="2491"/>
      <c r="AB25" s="2491"/>
      <c r="AC25" s="2491"/>
      <c r="AD25" s="2491"/>
      <c r="AE25" s="2491"/>
      <c r="AF25" s="2491">
        <f>IF(ISNUMBER(SEARCH("&gt;",D25)),0,COUNTIF(Psíquicos!$AD$16:$AH$61,D25))</f>
        <v>0</v>
      </c>
      <c r="AG25" s="1175" t="str">
        <f>IF(AF25=0,"",VLOOKUP(D25,Psíquicos!$AD$11:$AK$64,8,FALSE))</f>
        <v/>
      </c>
      <c r="AH25" s="2606"/>
      <c r="AI25" s="2592" t="s">
        <v>138</v>
      </c>
    </row>
    <row r="26" spans="1:35" ht="12.75" customHeight="1" x14ac:dyDescent="0.2">
      <c r="A26" s="2143">
        <v>26</v>
      </c>
      <c r="B26" s="2135">
        <f>IF(OR(S26=0),0,SUM($S$6:S26))</f>
        <v>0</v>
      </c>
      <c r="C26" s="1183"/>
      <c r="D26" s="1184" t="s">
        <v>139</v>
      </c>
      <c r="E26" s="1175" t="s">
        <v>101</v>
      </c>
      <c r="F26" s="1176">
        <v>1</v>
      </c>
      <c r="G26" s="1176" t="s">
        <v>3143</v>
      </c>
      <c r="H26" s="1177" t="s">
        <v>1610</v>
      </c>
      <c r="I26" s="1175" t="s">
        <v>7615</v>
      </c>
      <c r="J26" s="1175" t="s">
        <v>7616</v>
      </c>
      <c r="K26" s="1175" t="s">
        <v>7687</v>
      </c>
      <c r="L26" s="1175" t="s">
        <v>7688</v>
      </c>
      <c r="M26" s="1175" t="s">
        <v>7689</v>
      </c>
      <c r="N26" s="1175" t="s">
        <v>7690</v>
      </c>
      <c r="O26" s="1175" t="s">
        <v>7691</v>
      </c>
      <c r="P26" s="1175" t="s">
        <v>7692</v>
      </c>
      <c r="Q26" s="1175" t="s">
        <v>7693</v>
      </c>
      <c r="R26" s="1203" t="s">
        <v>7694</v>
      </c>
      <c r="S26" s="2137">
        <f>IF(COUNTIF(Psíquicos!$C$25:$E$36,E26)=0,0,1)</f>
        <v>0</v>
      </c>
      <c r="U26" s="1175" t="str">
        <f t="shared" si="0"/>
        <v>MED</v>
      </c>
      <c r="V26" s="2491"/>
      <c r="W26" s="2491"/>
      <c r="X26" s="2491"/>
      <c r="Y26" s="2491"/>
      <c r="Z26" s="2491"/>
      <c r="AA26" s="2491"/>
      <c r="AB26" s="2491"/>
      <c r="AC26" s="2491"/>
      <c r="AD26" s="2491"/>
      <c r="AE26" s="2491"/>
      <c r="AF26" s="2491">
        <f>IF(ISNUMBER(SEARCH("&gt;",D26)),0,COUNTIF(Psíquicos!$AD$16:$AH$61,D26))</f>
        <v>0</v>
      </c>
      <c r="AG26" s="1175" t="str">
        <f>IF(AF26=0,"",VLOOKUP(D26,Psíquicos!$AD$11:$AK$64,8,FALSE))</f>
        <v/>
      </c>
      <c r="AH26" s="2606"/>
      <c r="AI26" s="2592" t="s">
        <v>139</v>
      </c>
    </row>
    <row r="27" spans="1:35" ht="12.75" customHeight="1" x14ac:dyDescent="0.2">
      <c r="A27" s="2143">
        <v>27</v>
      </c>
      <c r="B27" s="2135">
        <f>IF(OR(S27=0),0,SUM($S$6:S27))</f>
        <v>0</v>
      </c>
      <c r="C27" s="1183"/>
      <c r="D27" s="1184" t="s">
        <v>140</v>
      </c>
      <c r="E27" s="1175" t="s">
        <v>101</v>
      </c>
      <c r="F27" s="1176">
        <v>1</v>
      </c>
      <c r="G27" s="1176" t="s">
        <v>3143</v>
      </c>
      <c r="H27" s="1177" t="s">
        <v>1610</v>
      </c>
      <c r="I27" s="1175" t="s">
        <v>7615</v>
      </c>
      <c r="J27" s="1175" t="s">
        <v>7616</v>
      </c>
      <c r="K27" s="1175" t="s">
        <v>7695</v>
      </c>
      <c r="L27" s="1175" t="s">
        <v>5999</v>
      </c>
      <c r="M27" s="1175" t="s">
        <v>6000</v>
      </c>
      <c r="N27" s="1175" t="s">
        <v>6001</v>
      </c>
      <c r="O27" s="1175" t="s">
        <v>6002</v>
      </c>
      <c r="P27" s="1175" t="s">
        <v>7696</v>
      </c>
      <c r="Q27" s="1175" t="s">
        <v>7697</v>
      </c>
      <c r="R27" s="1203" t="s">
        <v>7698</v>
      </c>
      <c r="S27" s="2137">
        <f>IF(COUNTIF(Psíquicos!$C$25:$E$36,E27)=0,0,1)</f>
        <v>0</v>
      </c>
      <c r="U27" s="1175" t="str">
        <f t="shared" si="0"/>
        <v>MED</v>
      </c>
      <c r="V27" s="2491"/>
      <c r="W27" s="2491"/>
      <c r="X27" s="2491" t="str">
        <f t="shared" ref="X27:AE27" si="2">MID(K27,4,LEN(K27))</f>
        <v>1</v>
      </c>
      <c r="Y27" s="2491" t="str">
        <f t="shared" si="2"/>
        <v>2</v>
      </c>
      <c r="Z27" s="2491" t="str">
        <f t="shared" si="2"/>
        <v>4</v>
      </c>
      <c r="AA27" s="2491" t="str">
        <f t="shared" si="2"/>
        <v>6</v>
      </c>
      <c r="AB27" s="2491" t="str">
        <f t="shared" si="2"/>
        <v>8</v>
      </c>
      <c r="AC27" s="2491" t="str">
        <f t="shared" si="2"/>
        <v>10</v>
      </c>
      <c r="AD27" s="2491" t="str">
        <f t="shared" si="2"/>
        <v>12</v>
      </c>
      <c r="AE27" s="2491" t="str">
        <f t="shared" si="2"/>
        <v>14</v>
      </c>
      <c r="AF27" s="2491">
        <f>IF(ISNUMBER(SEARCH("&gt;",D27)),0,COUNTIF(Psíquicos!$AD$16:$AH$61,D27))</f>
        <v>0</v>
      </c>
      <c r="AG27" s="1175" t="str">
        <f>IF(AF27=0,"",VLOOKUP(D27,Psíquicos!$AD$11:$AK$64,8,FALSE))</f>
        <v/>
      </c>
      <c r="AH27" s="2606">
        <f>VALUE(IF('Tablas psiquica'!$AF27&gt;0,INDEX('Tablas psiquica'!$V27:$AE27,MATCH('Tablas psiquica'!$AG27,'Tablas psiquica'!$V$6:$AE$6,0)),0))</f>
        <v>0</v>
      </c>
      <c r="AI27" s="2592" t="s">
        <v>140</v>
      </c>
    </row>
    <row r="28" spans="1:35" ht="12.75" customHeight="1" x14ac:dyDescent="0.2">
      <c r="A28" s="2143">
        <v>28</v>
      </c>
      <c r="B28" s="2135">
        <f>IF(OR(S28=0),0,SUM($S$6:S28))</f>
        <v>0</v>
      </c>
      <c r="C28" s="1183"/>
      <c r="D28" s="1184" t="s">
        <v>141</v>
      </c>
      <c r="E28" s="1175" t="s">
        <v>101</v>
      </c>
      <c r="F28" s="1176">
        <v>1</v>
      </c>
      <c r="G28" s="1176" t="s">
        <v>3143</v>
      </c>
      <c r="H28" s="1177" t="s">
        <v>1609</v>
      </c>
      <c r="I28" s="1175" t="s">
        <v>7615</v>
      </c>
      <c r="J28" s="1175" t="s">
        <v>7616</v>
      </c>
      <c r="K28" s="1175" t="s">
        <v>7699</v>
      </c>
      <c r="L28" s="1175" t="s">
        <v>7679</v>
      </c>
      <c r="M28" s="1175" t="s">
        <v>7680</v>
      </c>
      <c r="N28" s="1175" t="s">
        <v>7700</v>
      </c>
      <c r="O28" s="1175" t="s">
        <v>7701</v>
      </c>
      <c r="P28" s="1175" t="s">
        <v>7702</v>
      </c>
      <c r="Q28" s="1175" t="s">
        <v>7703</v>
      </c>
      <c r="R28" s="1203" t="s">
        <v>7704</v>
      </c>
      <c r="S28" s="2137">
        <f>IF(COUNTIF(Psíquicos!$C$25:$E$36,E28)=0,0,1)</f>
        <v>0</v>
      </c>
      <c r="U28" s="1175" t="str">
        <f t="shared" si="0"/>
        <v>MED</v>
      </c>
      <c r="V28" s="2491"/>
      <c r="W28" s="2491"/>
      <c r="X28" s="2492"/>
      <c r="Y28" s="2492"/>
      <c r="Z28" s="2492"/>
      <c r="AA28" s="2492"/>
      <c r="AB28" s="2491"/>
      <c r="AC28" s="2491"/>
      <c r="AD28" s="2491"/>
      <c r="AE28" s="2492"/>
      <c r="AF28" s="2491">
        <f>IF(ISNUMBER(SEARCH("&gt;",D28)),0,COUNTIF(Psíquicos!$AD$16:$AH$61,D28))</f>
        <v>0</v>
      </c>
      <c r="AG28" s="1175" t="str">
        <f>IF(AF28=0,"",VLOOKUP(D28,Psíquicos!$AD$11:$AK$64,8,FALSE))</f>
        <v/>
      </c>
      <c r="AH28" s="2606"/>
      <c r="AI28" s="2592"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7651</v>
      </c>
      <c r="J29" s="1175" t="s">
        <v>7615</v>
      </c>
      <c r="K29" s="1175" t="s">
        <v>7616</v>
      </c>
      <c r="L29" s="1187" t="s">
        <v>8966</v>
      </c>
      <c r="M29" s="1187" t="s">
        <v>8967</v>
      </c>
      <c r="N29" s="1187" t="s">
        <v>8968</v>
      </c>
      <c r="O29" s="1187" t="s">
        <v>8969</v>
      </c>
      <c r="P29" s="1187" t="s">
        <v>8970</v>
      </c>
      <c r="Q29" s="1187" t="s">
        <v>8971</v>
      </c>
      <c r="R29" s="2103" t="s">
        <v>8972</v>
      </c>
      <c r="S29" s="2137">
        <f>IF(COUNTIF(Psíquicos!$C$25:$E$36,E29)=0,0,1)</f>
        <v>0</v>
      </c>
      <c r="U29" s="1175" t="str">
        <f t="shared" si="0"/>
        <v/>
      </c>
      <c r="V29" s="2491"/>
      <c r="W29" s="2491"/>
      <c r="X29" s="2491"/>
      <c r="Y29" s="2491"/>
      <c r="Z29" s="2491"/>
      <c r="AA29" s="2491"/>
      <c r="AB29" s="2491"/>
      <c r="AC29" s="2491"/>
      <c r="AD29" s="2491"/>
      <c r="AE29" s="2491"/>
      <c r="AF29" s="2491">
        <f>IF(ISNUMBER(SEARCH("&gt;",D29)),0,COUNTIF(Psíquicos!$AD$16:$AH$61,D29))</f>
        <v>0</v>
      </c>
      <c r="AG29" s="1175" t="str">
        <f>IF(AF29=0,"",VLOOKUP(D29,Psíquicos!$AD$11:$AK$64,8,FALSE))</f>
        <v/>
      </c>
      <c r="AH29" s="2606"/>
      <c r="AI29" s="2592" t="s">
        <v>142</v>
      </c>
    </row>
    <row r="30" spans="1:35" ht="12.75" customHeight="1" x14ac:dyDescent="0.2">
      <c r="A30" s="2143">
        <v>30</v>
      </c>
      <c r="B30" s="2135">
        <f>IF(OR(S30=0),0,SUM($S$6:S30))</f>
        <v>0</v>
      </c>
      <c r="C30" s="1183"/>
      <c r="D30" s="1184" t="s">
        <v>143</v>
      </c>
      <c r="E30" s="1175" t="s">
        <v>101</v>
      </c>
      <c r="F30" s="1176">
        <v>2</v>
      </c>
      <c r="G30" s="1176" t="s">
        <v>3143</v>
      </c>
      <c r="H30" s="1177" t="s">
        <v>1609</v>
      </c>
      <c r="I30" s="1175" t="s">
        <v>7651</v>
      </c>
      <c r="J30" s="1175" t="s">
        <v>7615</v>
      </c>
      <c r="K30" s="1175" t="s">
        <v>7616</v>
      </c>
      <c r="L30" s="1175" t="s">
        <v>7705</v>
      </c>
      <c r="M30" s="1175" t="s">
        <v>7706</v>
      </c>
      <c r="N30" s="1175" t="s">
        <v>7707</v>
      </c>
      <c r="O30" s="1175" t="s">
        <v>7708</v>
      </c>
      <c r="P30" s="1175" t="s">
        <v>7709</v>
      </c>
      <c r="Q30" s="1175" t="s">
        <v>7710</v>
      </c>
      <c r="R30" s="1203" t="s">
        <v>7711</v>
      </c>
      <c r="S30" s="2137">
        <f>IF(COUNTIF(Psíquicos!$C$25:$E$36,E30)=0,0,1)</f>
        <v>0</v>
      </c>
      <c r="U30" s="1175" t="str">
        <f t="shared" si="0"/>
        <v>DIF</v>
      </c>
      <c r="V30" s="2491"/>
      <c r="W30" s="2491"/>
      <c r="X30" s="2491"/>
      <c r="Y30" s="2491"/>
      <c r="Z30" s="2491"/>
      <c r="AA30" s="2491"/>
      <c r="AB30" s="2491"/>
      <c r="AC30" s="2491"/>
      <c r="AD30" s="2491"/>
      <c r="AE30" s="2491"/>
      <c r="AF30" s="2491">
        <f>IF(ISNUMBER(SEARCH("&gt;",D30)),0,COUNTIF(Psíquicos!$AD$16:$AH$61,D30))</f>
        <v>0</v>
      </c>
      <c r="AG30" s="1175" t="str">
        <f>IF(AF30=0,"",VLOOKUP(D30,Psíquicos!$AD$11:$AK$64,8,FALSE))</f>
        <v/>
      </c>
      <c r="AH30" s="2606"/>
      <c r="AI30" s="2592" t="s">
        <v>143</v>
      </c>
    </row>
    <row r="31" spans="1:35" ht="12.75" customHeight="1" x14ac:dyDescent="0.2">
      <c r="A31" s="2143">
        <v>31</v>
      </c>
      <c r="B31" s="2135">
        <f>IF(OR(S31=0),0,SUM($S$6:S31))</f>
        <v>0</v>
      </c>
      <c r="C31" s="1183"/>
      <c r="D31" s="1184" t="s">
        <v>144</v>
      </c>
      <c r="E31" s="1175" t="s">
        <v>101</v>
      </c>
      <c r="F31" s="1176">
        <v>2</v>
      </c>
      <c r="G31" s="1176" t="s">
        <v>3143</v>
      </c>
      <c r="H31" s="1177" t="s">
        <v>1609</v>
      </c>
      <c r="I31" s="1175" t="s">
        <v>7653</v>
      </c>
      <c r="J31" s="1175" t="s">
        <v>7652</v>
      </c>
      <c r="K31" s="1175" t="s">
        <v>7651</v>
      </c>
      <c r="L31" s="1175" t="s">
        <v>7615</v>
      </c>
      <c r="M31" s="1175" t="s">
        <v>7712</v>
      </c>
      <c r="N31" s="1175" t="s">
        <v>7713</v>
      </c>
      <c r="O31" s="1175" t="s">
        <v>7714</v>
      </c>
      <c r="P31" s="1175" t="s">
        <v>7715</v>
      </c>
      <c r="Q31" s="1175" t="s">
        <v>7716</v>
      </c>
      <c r="R31" s="1203" t="s">
        <v>7717</v>
      </c>
      <c r="S31" s="2137">
        <f>IF(COUNTIF(Psíquicos!$C$25:$E$36,E31)=0,0,1)</f>
        <v>0</v>
      </c>
      <c r="U31" s="1175" t="str">
        <f t="shared" si="0"/>
        <v>MDF</v>
      </c>
      <c r="V31" s="2491"/>
      <c r="W31" s="2491"/>
      <c r="X31" s="2491"/>
      <c r="Y31" s="2491"/>
      <c r="Z31" s="2491"/>
      <c r="AA31" s="2491"/>
      <c r="AB31" s="2491"/>
      <c r="AC31" s="2491"/>
      <c r="AD31" s="2491"/>
      <c r="AE31" s="2491"/>
      <c r="AF31" s="2491">
        <f>IF(ISNUMBER(SEARCH("&gt;",D31)),0,COUNTIF(Psíquicos!$AD$16:$AH$61,D31))</f>
        <v>0</v>
      </c>
      <c r="AG31" s="1175" t="str">
        <f>IF(AF31=0,"",VLOOKUP(D31,Psíquicos!$AD$11:$AK$64,8,FALSE))</f>
        <v/>
      </c>
      <c r="AH31" s="2606"/>
      <c r="AI31" s="2592"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7653</v>
      </c>
      <c r="J32" s="1175" t="s">
        <v>7652</v>
      </c>
      <c r="K32" s="1175" t="s">
        <v>7651</v>
      </c>
      <c r="L32" s="1175" t="s">
        <v>7615</v>
      </c>
      <c r="M32" s="1175" t="s">
        <v>7718</v>
      </c>
      <c r="N32" s="1175" t="s">
        <v>7719</v>
      </c>
      <c r="O32" s="1175" t="s">
        <v>7720</v>
      </c>
      <c r="P32" s="1175" t="s">
        <v>7721</v>
      </c>
      <c r="Q32" s="1175" t="s">
        <v>7722</v>
      </c>
      <c r="R32" s="1203" t="s">
        <v>7723</v>
      </c>
      <c r="S32" s="2137">
        <f>IF(COUNTIF(Psíquicos!$C$25:$E$36,E32)=0,0,1)</f>
        <v>0</v>
      </c>
      <c r="U32" s="1175" t="str">
        <f t="shared" si="0"/>
        <v/>
      </c>
      <c r="V32" s="2491"/>
      <c r="W32" s="2491"/>
      <c r="X32" s="2491"/>
      <c r="Y32" s="2491"/>
      <c r="Z32" s="2491"/>
      <c r="AA32" s="2491"/>
      <c r="AB32" s="2491"/>
      <c r="AC32" s="2491"/>
      <c r="AD32" s="2491"/>
      <c r="AE32" s="2491"/>
      <c r="AF32" s="2491">
        <f>IF(ISNUMBER(SEARCH("&gt;",D32)),0,COUNTIF(Psíquicos!$AD$16:$AH$61,D32))</f>
        <v>0</v>
      </c>
      <c r="AG32" s="1175" t="str">
        <f>IF(AF32=0,"",VLOOKUP(D32,Psíquicos!$AD$11:$AK$64,8,FALSE))</f>
        <v/>
      </c>
      <c r="AH32" s="2606"/>
      <c r="AI32" s="2592" t="s">
        <v>145</v>
      </c>
    </row>
    <row r="33" spans="1:35" ht="12.75" customHeight="1" x14ac:dyDescent="0.2">
      <c r="A33" s="2143">
        <v>33</v>
      </c>
      <c r="B33" s="2135">
        <f>IF(OR(S33=0),0,SUM($S$6:S33))</f>
        <v>0</v>
      </c>
      <c r="C33" s="1183"/>
      <c r="D33" s="1184" t="s">
        <v>146</v>
      </c>
      <c r="E33" s="1175" t="s">
        <v>101</v>
      </c>
      <c r="F33" s="1176">
        <v>2</v>
      </c>
      <c r="G33" s="1176" t="s">
        <v>3143</v>
      </c>
      <c r="H33" s="1177" t="s">
        <v>1609</v>
      </c>
      <c r="I33" s="1175" t="s">
        <v>7651</v>
      </c>
      <c r="J33" s="1175" t="s">
        <v>7615</v>
      </c>
      <c r="K33" s="1175" t="s">
        <v>7616</v>
      </c>
      <c r="L33" s="1175" t="s">
        <v>6644</v>
      </c>
      <c r="M33" s="1175" t="s">
        <v>6645</v>
      </c>
      <c r="N33" s="1175" t="s">
        <v>6646</v>
      </c>
      <c r="O33" s="1175" t="s">
        <v>7724</v>
      </c>
      <c r="P33" s="1175" t="s">
        <v>7725</v>
      </c>
      <c r="Q33" s="1175" t="s">
        <v>7726</v>
      </c>
      <c r="R33" s="1203" t="s">
        <v>7727</v>
      </c>
      <c r="S33" s="2137">
        <f>IF(COUNTIF(Psíquicos!$C$25:$E$36,E33)=0,0,1)</f>
        <v>0</v>
      </c>
      <c r="U33" s="1175" t="str">
        <f t="shared" si="0"/>
        <v>DIF</v>
      </c>
      <c r="V33" s="2491"/>
      <c r="W33" s="2491"/>
      <c r="X33" s="2491"/>
      <c r="Y33" s="2491" t="str">
        <f t="shared" ref="Y33:AE33" si="3">MID(L33,SEARCH("lo ",L33)+3,LEN(L33))</f>
        <v>6</v>
      </c>
      <c r="Z33" s="2491" t="str">
        <f t="shared" si="3"/>
        <v>8</v>
      </c>
      <c r="AA33" s="2491" t="str">
        <f t="shared" si="3"/>
        <v>10</v>
      </c>
      <c r="AB33" s="2491" t="str">
        <f t="shared" si="3"/>
        <v>12</v>
      </c>
      <c r="AC33" s="2491" t="str">
        <f t="shared" si="3"/>
        <v>14</v>
      </c>
      <c r="AD33" s="2491" t="str">
        <f t="shared" si="3"/>
        <v>16</v>
      </c>
      <c r="AE33" s="2491" t="str">
        <f t="shared" si="3"/>
        <v>18</v>
      </c>
      <c r="AF33" s="2491">
        <f>IF(ISNUMBER(SEARCH("&gt;",D33)),0,COUNTIF(Psíquicos!$AD$16:$AH$61,D33))</f>
        <v>0</v>
      </c>
      <c r="AG33" s="1175" t="str">
        <f>IF(AF33=0,"",VLOOKUP(D33,Psíquicos!$AD$11:$AK$64,8,FALSE))</f>
        <v/>
      </c>
      <c r="AH33" s="2606"/>
      <c r="AI33" s="2592" t="s">
        <v>146</v>
      </c>
    </row>
    <row r="34" spans="1:35" ht="12.75" customHeight="1" x14ac:dyDescent="0.2">
      <c r="A34" s="2143">
        <v>34</v>
      </c>
      <c r="B34" s="2135">
        <f>IF(OR(S34=0),0,SUM($S$6:S34))</f>
        <v>0</v>
      </c>
      <c r="C34" s="1183"/>
      <c r="D34" s="1184" t="s">
        <v>147</v>
      </c>
      <c r="E34" s="1175" t="s">
        <v>101</v>
      </c>
      <c r="F34" s="1176">
        <v>2</v>
      </c>
      <c r="G34" s="1176" t="s">
        <v>3143</v>
      </c>
      <c r="H34" s="1177" t="s">
        <v>1609</v>
      </c>
      <c r="I34" s="1175" t="s">
        <v>7652</v>
      </c>
      <c r="J34" s="1175" t="s">
        <v>7651</v>
      </c>
      <c r="K34" s="1175" t="s">
        <v>7615</v>
      </c>
      <c r="L34" s="1175" t="s">
        <v>7728</v>
      </c>
      <c r="M34" s="1175" t="s">
        <v>7729</v>
      </c>
      <c r="N34" s="1175" t="s">
        <v>7730</v>
      </c>
      <c r="O34" s="1175" t="s">
        <v>7731</v>
      </c>
      <c r="P34" s="1175" t="s">
        <v>7732</v>
      </c>
      <c r="Q34" s="1175" t="s">
        <v>7733</v>
      </c>
      <c r="R34" s="1203" t="s">
        <v>7734</v>
      </c>
      <c r="S34" s="2137">
        <f>IF(COUNTIF(Psíquicos!$C$25:$E$36,E34)=0,0,1)</f>
        <v>0</v>
      </c>
      <c r="U34" s="1175" t="str">
        <f t="shared" si="0"/>
        <v>DIF</v>
      </c>
      <c r="V34" s="2491"/>
      <c r="W34" s="2491"/>
      <c r="X34" s="2491"/>
      <c r="Y34" s="2491"/>
      <c r="Z34" s="2491"/>
      <c r="AA34" s="2491"/>
      <c r="AB34" s="2491"/>
      <c r="AC34" s="2491"/>
      <c r="AD34" s="2491"/>
      <c r="AE34" s="2491"/>
      <c r="AF34" s="2491">
        <f>IF(ISNUMBER(SEARCH("&gt;",D34)),0,COUNTIF(Psíquicos!$AD$16:$AH$61,D34))</f>
        <v>0</v>
      </c>
      <c r="AG34" s="1175" t="str">
        <f>IF(AF34=0,"",VLOOKUP(D34,Psíquicos!$AD$11:$AK$64,8,FALSE))</f>
        <v/>
      </c>
      <c r="AH34" s="2606"/>
      <c r="AI34" s="2592"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7667</v>
      </c>
      <c r="J35" s="1175" t="s">
        <v>7666</v>
      </c>
      <c r="K35" s="1175" t="s">
        <v>7653</v>
      </c>
      <c r="L35" s="1175" t="s">
        <v>7652</v>
      </c>
      <c r="M35" s="1175" t="s">
        <v>7651</v>
      </c>
      <c r="N35" s="1175" t="s">
        <v>7735</v>
      </c>
      <c r="O35" s="1175" t="s">
        <v>7736</v>
      </c>
      <c r="P35" s="1175" t="s">
        <v>7737</v>
      </c>
      <c r="Q35" s="1175" t="s">
        <v>7738</v>
      </c>
      <c r="R35" s="1203" t="s">
        <v>7739</v>
      </c>
      <c r="S35" s="2137">
        <f>IF(COUNTIF(Psíquicos!$C$25:$E$36,E35)=0,0,1)</f>
        <v>0</v>
      </c>
      <c r="U35" s="1175" t="str">
        <f t="shared" si="0"/>
        <v/>
      </c>
      <c r="V35" s="2491"/>
      <c r="W35" s="2491"/>
      <c r="X35" s="2491"/>
      <c r="Y35" s="2491"/>
      <c r="Z35" s="2491"/>
      <c r="AA35" s="2491"/>
      <c r="AB35" s="2491"/>
      <c r="AC35" s="2491"/>
      <c r="AD35" s="2491"/>
      <c r="AE35" s="2491"/>
      <c r="AF35" s="2491">
        <f>IF(ISNUMBER(SEARCH("&gt;",D35)),0,COUNTIF(Psíquicos!$AD$16:$AH$61,D35))</f>
        <v>0</v>
      </c>
      <c r="AG35" s="1175" t="str">
        <f>IF(AF35=0,"",VLOOKUP(D35,Psíquicos!$AD$11:$AK$64,8,FALSE))</f>
        <v/>
      </c>
      <c r="AH35" s="2606"/>
      <c r="AI35" s="2592" t="s">
        <v>148</v>
      </c>
    </row>
    <row r="36" spans="1:35" ht="12.75" customHeight="1" x14ac:dyDescent="0.2">
      <c r="A36" s="2143">
        <v>36</v>
      </c>
      <c r="B36" s="2135">
        <f>IF(OR(S36=0),0,SUM($S$6:S36))</f>
        <v>0</v>
      </c>
      <c r="C36" s="1183"/>
      <c r="D36" s="1184" t="s">
        <v>149</v>
      </c>
      <c r="E36" s="1175" t="s">
        <v>101</v>
      </c>
      <c r="F36" s="1176">
        <v>3</v>
      </c>
      <c r="G36" s="1176" t="s">
        <v>3143</v>
      </c>
      <c r="H36" s="1177" t="s">
        <v>1609</v>
      </c>
      <c r="I36" s="1175" t="s">
        <v>7740</v>
      </c>
      <c r="J36" s="1175" t="s">
        <v>7741</v>
      </c>
      <c r="K36" s="1175" t="s">
        <v>7667</v>
      </c>
      <c r="L36" s="1175" t="s">
        <v>7666</v>
      </c>
      <c r="M36" s="1175" t="s">
        <v>7653</v>
      </c>
      <c r="N36" s="1175" t="s">
        <v>7651</v>
      </c>
      <c r="O36" s="1175" t="s">
        <v>7742</v>
      </c>
      <c r="P36" s="1175" t="s">
        <v>7743</v>
      </c>
      <c r="Q36" s="1175" t="s">
        <v>7744</v>
      </c>
      <c r="R36" s="1203" t="s">
        <v>7745</v>
      </c>
      <c r="S36" s="2137">
        <f>IF(COUNTIF(Psíquicos!$C$25:$E$36,E36)=0,0,1)</f>
        <v>0</v>
      </c>
      <c r="U36" s="1175" t="str">
        <f t="shared" si="0"/>
        <v>CIM</v>
      </c>
      <c r="V36" s="2491"/>
      <c r="W36" s="2491"/>
      <c r="X36" s="2491"/>
      <c r="Y36" s="2491"/>
      <c r="Z36" s="2491"/>
      <c r="AA36" s="2491"/>
      <c r="AB36" s="2491"/>
      <c r="AC36" s="2491"/>
      <c r="AD36" s="2491"/>
      <c r="AE36" s="2491"/>
      <c r="AF36" s="2491">
        <f>IF(ISNUMBER(SEARCH("&gt;",D36)),0,COUNTIF(Psíquicos!$AD$16:$AH$61,D36))</f>
        <v>0</v>
      </c>
      <c r="AG36" s="1175" t="str">
        <f>IF(AF36=0,"",VLOOKUP(D36,Psíquicos!$AD$11:$AK$64,8,FALSE))</f>
        <v/>
      </c>
      <c r="AH36" s="2606"/>
      <c r="AI36" s="2592" t="s">
        <v>149</v>
      </c>
    </row>
    <row r="37" spans="1:35" ht="12.75" customHeight="1" x14ac:dyDescent="0.2">
      <c r="A37" s="2143">
        <v>37</v>
      </c>
      <c r="B37" s="2135">
        <f>IF(OR(S37=0),0,SUM($S$6:S37))</f>
        <v>0</v>
      </c>
      <c r="C37" s="1183"/>
      <c r="D37" s="1184" t="s">
        <v>150</v>
      </c>
      <c r="E37" s="1175" t="s">
        <v>101</v>
      </c>
      <c r="F37" s="1176">
        <v>3</v>
      </c>
      <c r="G37" s="1176" t="s">
        <v>1693</v>
      </c>
      <c r="H37" s="1177" t="s">
        <v>1609</v>
      </c>
      <c r="I37" s="1175" t="s">
        <v>7740</v>
      </c>
      <c r="J37" s="1175" t="s">
        <v>7741</v>
      </c>
      <c r="K37" s="1175" t="s">
        <v>7667</v>
      </c>
      <c r="L37" s="1175" t="s">
        <v>7666</v>
      </c>
      <c r="M37" s="1175" t="s">
        <v>7653</v>
      </c>
      <c r="N37" s="1175" t="s">
        <v>7652</v>
      </c>
      <c r="O37" s="1175" t="s">
        <v>7651</v>
      </c>
      <c r="P37" s="1175" t="s">
        <v>7746</v>
      </c>
      <c r="Q37" s="1175" t="s">
        <v>7747</v>
      </c>
      <c r="R37" s="1203" t="s">
        <v>7748</v>
      </c>
      <c r="S37" s="2137">
        <f>IF(COUNTIF(Psíquicos!$C$25:$E$36,E37)=0,0,1)</f>
        <v>0</v>
      </c>
      <c r="U37" s="1175" t="str">
        <f t="shared" si="0"/>
        <v/>
      </c>
      <c r="V37" s="2491"/>
      <c r="W37" s="2491"/>
      <c r="X37" s="2491"/>
      <c r="Y37" s="2491"/>
      <c r="Z37" s="2491"/>
      <c r="AA37" s="2491"/>
      <c r="AB37" s="2491"/>
      <c r="AC37" s="2491"/>
      <c r="AD37" s="2491"/>
      <c r="AE37" s="2491"/>
      <c r="AF37" s="2491">
        <f>IF(ISNUMBER(SEARCH("&gt;",D37)),0,COUNTIF(Psíquicos!$AD$16:$AH$61,D37))</f>
        <v>0</v>
      </c>
      <c r="AG37" s="1175" t="str">
        <f>IF(AF37=0,"",VLOOKUP(D37,Psíquicos!$AD$11:$AK$64,8,FALSE))</f>
        <v/>
      </c>
      <c r="AH37" s="2606"/>
      <c r="AI37" s="2592"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1"/>
      <c r="W38" s="2491"/>
      <c r="X38" s="2491"/>
      <c r="Y38" s="2491"/>
      <c r="Z38" s="2491"/>
      <c r="AA38" s="2491"/>
      <c r="AB38" s="2491"/>
      <c r="AC38" s="2491"/>
      <c r="AD38" s="2491"/>
      <c r="AE38" s="2491"/>
      <c r="AF38" s="2491">
        <f>IF(ISNUMBER(SEARCH("&gt;",D38)),0,COUNTIF(Psíquicos!$AD$16:$AH$61,D38))</f>
        <v>0</v>
      </c>
      <c r="AG38" s="1175" t="str">
        <f>IF(AF38=0,"",VLOOKUP(D38,Psíquicos!$AD$11:$AK$64,8,FALSE))</f>
        <v/>
      </c>
      <c r="AH38" s="2606"/>
      <c r="AI38" s="2592" t="s">
        <v>151</v>
      </c>
    </row>
    <row r="39" spans="1:35" ht="12.75" customHeight="1" x14ac:dyDescent="0.2">
      <c r="A39" s="2143">
        <v>39</v>
      </c>
      <c r="B39" s="2135">
        <f>IF(OR(S39=0),0,SUM($S$6:S39))</f>
        <v>0</v>
      </c>
      <c r="C39" s="1183"/>
      <c r="D39" s="1184" t="s">
        <v>152</v>
      </c>
      <c r="E39" s="1175" t="s">
        <v>103</v>
      </c>
      <c r="F39" s="1176">
        <v>1</v>
      </c>
      <c r="G39" s="1176" t="s">
        <v>3143</v>
      </c>
      <c r="H39" s="1177" t="s">
        <v>1609</v>
      </c>
      <c r="I39" s="1175" t="s">
        <v>7616</v>
      </c>
      <c r="J39" s="1175" t="s">
        <v>5089</v>
      </c>
      <c r="K39" s="1175" t="s">
        <v>6537</v>
      </c>
      <c r="L39" s="1175" t="s">
        <v>5090</v>
      </c>
      <c r="M39" s="1175" t="s">
        <v>7749</v>
      </c>
      <c r="N39" s="1175" t="s">
        <v>5091</v>
      </c>
      <c r="O39" s="1175" t="s">
        <v>7750</v>
      </c>
      <c r="P39" s="1175" t="s">
        <v>7751</v>
      </c>
      <c r="Q39" s="1175" t="s">
        <v>5092</v>
      </c>
      <c r="R39" s="1203" t="s">
        <v>5934</v>
      </c>
      <c r="S39" s="2137">
        <f>IF(COUNTIF(Psíquicos!$C$25:$E$36,E39)=0,0,1)</f>
        <v>0</v>
      </c>
      <c r="U39" s="1175" t="str">
        <f t="shared" ref="U39:U70" si="4">IF(OR(G39="No",ISNUMBER(SEARCH("&gt;",D39))),"",INDEX($I$6:$R$6,SUMPRODUCT(--(ISNUMBER(SEARCH("Fatiga",$I39:$R39))))+1))</f>
        <v>FAC</v>
      </c>
      <c r="V39" s="2491"/>
      <c r="W39" s="2491"/>
      <c r="X39" s="2491"/>
      <c r="Y39" s="2491"/>
      <c r="Z39" s="2491"/>
      <c r="AA39" s="2491"/>
      <c r="AB39" s="2491"/>
      <c r="AC39" s="2491"/>
      <c r="AD39" s="2491"/>
      <c r="AE39" s="2491"/>
      <c r="AF39" s="2491">
        <f>IF(ISNUMBER(SEARCH("&gt;",D39)),0,COUNTIF(Psíquicos!$AD$16:$AH$61,D39))</f>
        <v>0</v>
      </c>
      <c r="AG39" s="1175" t="str">
        <f>IF(AF39=0,"",VLOOKUP(D39,Psíquicos!$AD$11:$AK$64,8,FALSE))</f>
        <v/>
      </c>
      <c r="AH39" s="2606"/>
      <c r="AI39" s="2592"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7616</v>
      </c>
      <c r="J40" s="1175" t="s">
        <v>7752</v>
      </c>
      <c r="K40" s="1175" t="s">
        <v>7753</v>
      </c>
      <c r="L40" s="1175" t="s">
        <v>7754</v>
      </c>
      <c r="M40" s="1175" t="s">
        <v>7755</v>
      </c>
      <c r="N40" s="1175" t="s">
        <v>7756</v>
      </c>
      <c r="O40" s="1175" t="s">
        <v>7757</v>
      </c>
      <c r="P40" s="1175" t="s">
        <v>7758</v>
      </c>
      <c r="Q40" s="1175" t="s">
        <v>7759</v>
      </c>
      <c r="R40" s="1203" t="s">
        <v>7760</v>
      </c>
      <c r="S40" s="2137">
        <f>IF(COUNTIF(Psíquicos!$C$25:$E$36,E40)=0,0,1)</f>
        <v>0</v>
      </c>
      <c r="U40" s="1175" t="str">
        <f t="shared" si="4"/>
        <v/>
      </c>
      <c r="V40" s="2491"/>
      <c r="W40" s="2491"/>
      <c r="X40" s="2491"/>
      <c r="Y40" s="2491"/>
      <c r="Z40" s="2491"/>
      <c r="AA40" s="2491"/>
      <c r="AB40" s="2491"/>
      <c r="AC40" s="2491"/>
      <c r="AD40" s="2491"/>
      <c r="AE40" s="2491"/>
      <c r="AF40" s="2491">
        <f>IF(ISNUMBER(SEARCH("&gt;",D40)),0,COUNTIF(Psíquicos!$AD$16:$AH$61,D40))</f>
        <v>0</v>
      </c>
      <c r="AG40" s="1175" t="str">
        <f>IF(AF40=0,"",VLOOKUP(D40,Psíquicos!$AD$11:$AK$64,8,FALSE))</f>
        <v/>
      </c>
      <c r="AH40" s="2606"/>
      <c r="AI40" s="2592" t="s">
        <v>153</v>
      </c>
    </row>
    <row r="41" spans="1:35" ht="12.75" customHeight="1" x14ac:dyDescent="0.2">
      <c r="A41" s="2143">
        <v>41</v>
      </c>
      <c r="B41" s="2135">
        <f>IF(OR(S41=0),0,SUM($S$6:S41))</f>
        <v>0</v>
      </c>
      <c r="C41" s="1183"/>
      <c r="D41" s="1184" t="s">
        <v>154</v>
      </c>
      <c r="E41" s="1175" t="s">
        <v>103</v>
      </c>
      <c r="F41" s="1176">
        <v>1</v>
      </c>
      <c r="G41" s="1176" t="s">
        <v>3143</v>
      </c>
      <c r="H41" s="1177" t="s">
        <v>1609</v>
      </c>
      <c r="I41" s="1175" t="s">
        <v>7615</v>
      </c>
      <c r="J41" s="1175" t="s">
        <v>7616</v>
      </c>
      <c r="K41" s="1175" t="s">
        <v>7761</v>
      </c>
      <c r="L41" s="1175" t="s">
        <v>7762</v>
      </c>
      <c r="M41" s="1175" t="s">
        <v>7763</v>
      </c>
      <c r="N41" s="1175" t="s">
        <v>7764</v>
      </c>
      <c r="O41" s="1175" t="s">
        <v>7765</v>
      </c>
      <c r="P41" s="1175" t="s">
        <v>7766</v>
      </c>
      <c r="Q41" s="1175" t="s">
        <v>7767</v>
      </c>
      <c r="R41" s="1203" t="s">
        <v>7768</v>
      </c>
      <c r="S41" s="2137">
        <f>IF(COUNTIF(Psíquicos!$C$25:$E$36,E41)=0,0,1)</f>
        <v>0</v>
      </c>
      <c r="U41" s="1175" t="str">
        <f t="shared" si="4"/>
        <v>MED</v>
      </c>
      <c r="V41" s="2491"/>
      <c r="W41" s="2491"/>
      <c r="X41" s="2491"/>
      <c r="Y41" s="2491"/>
      <c r="Z41" s="2491"/>
      <c r="AA41" s="2491"/>
      <c r="AB41" s="2491"/>
      <c r="AC41" s="2491"/>
      <c r="AD41" s="2491"/>
      <c r="AE41" s="2491"/>
      <c r="AF41" s="2491">
        <f>IF(ISNUMBER(SEARCH("&gt;",D41)),0,COUNTIF(Psíquicos!$AD$16:$AH$61,D41))</f>
        <v>0</v>
      </c>
      <c r="AG41" s="1175" t="str">
        <f>IF(AF41=0,"",VLOOKUP(D41,Psíquicos!$AD$11:$AK$64,8,FALSE))</f>
        <v/>
      </c>
      <c r="AH41" s="2606"/>
      <c r="AI41" s="2592"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7651</v>
      </c>
      <c r="J42" s="1175" t="s">
        <v>7615</v>
      </c>
      <c r="K42" s="1175" t="s">
        <v>7616</v>
      </c>
      <c r="L42" s="1175" t="s">
        <v>7769</v>
      </c>
      <c r="M42" s="1175" t="s">
        <v>7770</v>
      </c>
      <c r="N42" s="1175" t="s">
        <v>7771</v>
      </c>
      <c r="O42" s="1175" t="s">
        <v>7772</v>
      </c>
      <c r="P42" s="1175" t="s">
        <v>7773</v>
      </c>
      <c r="Q42" s="1175" t="s">
        <v>7774</v>
      </c>
      <c r="R42" s="1203" t="s">
        <v>7775</v>
      </c>
      <c r="S42" s="2137">
        <f>IF(COUNTIF(Psíquicos!$C$25:$E$36,E42)=0,0,1)</f>
        <v>0</v>
      </c>
      <c r="U42" s="1175" t="str">
        <f t="shared" si="4"/>
        <v/>
      </c>
      <c r="V42" s="2491"/>
      <c r="W42" s="2491"/>
      <c r="X42" s="2491"/>
      <c r="Y42" s="2491"/>
      <c r="Z42" s="2491"/>
      <c r="AA42" s="2491"/>
      <c r="AB42" s="2491"/>
      <c r="AC42" s="2491"/>
      <c r="AD42" s="2491"/>
      <c r="AE42" s="2491"/>
      <c r="AF42" s="2491">
        <f>IF(ISNUMBER(SEARCH("&gt;",D42)),0,COUNTIF(Psíquicos!$AD$16:$AH$61,D42))</f>
        <v>0</v>
      </c>
      <c r="AG42" s="1175" t="str">
        <f>IF(AF42=0,"",VLOOKUP(D42,Psíquicos!$AD$11:$AK$64,8,FALSE))</f>
        <v/>
      </c>
      <c r="AH42" s="2606"/>
      <c r="AI42" s="2592" t="s">
        <v>155</v>
      </c>
    </row>
    <row r="43" spans="1:35" ht="12.75" customHeight="1" x14ac:dyDescent="0.2">
      <c r="A43" s="2143">
        <v>43</v>
      </c>
      <c r="B43" s="2135">
        <f>IF(OR(S43=0),0,SUM($S$6:S43))</f>
        <v>0</v>
      </c>
      <c r="C43" s="1183"/>
      <c r="D43" s="1184" t="s">
        <v>156</v>
      </c>
      <c r="E43" s="1175" t="s">
        <v>103</v>
      </c>
      <c r="F43" s="1176">
        <v>2</v>
      </c>
      <c r="G43" s="1176" t="s">
        <v>3143</v>
      </c>
      <c r="H43" s="1177" t="s">
        <v>1609</v>
      </c>
      <c r="I43" s="1175" t="s">
        <v>7651</v>
      </c>
      <c r="J43" s="1175" t="s">
        <v>7615</v>
      </c>
      <c r="K43" s="1175" t="s">
        <v>7616</v>
      </c>
      <c r="L43" s="1175" t="s">
        <v>5090</v>
      </c>
      <c r="M43" s="1175" t="s">
        <v>5091</v>
      </c>
      <c r="N43" s="1175" t="s">
        <v>5933</v>
      </c>
      <c r="O43" s="1175" t="s">
        <v>5092</v>
      </c>
      <c r="P43" s="1175" t="s">
        <v>7776</v>
      </c>
      <c r="Q43" s="1175" t="s">
        <v>7777</v>
      </c>
      <c r="R43" s="1203" t="s">
        <v>7778</v>
      </c>
      <c r="S43" s="2137">
        <f>IF(COUNTIF(Psíquicos!$C$25:$E$36,E43)=0,0,1)</f>
        <v>0</v>
      </c>
      <c r="U43" s="1175" t="str">
        <f t="shared" si="4"/>
        <v>DIF</v>
      </c>
      <c r="V43" s="2491"/>
      <c r="W43" s="2491"/>
      <c r="X43" s="2491"/>
      <c r="Y43" s="2491"/>
      <c r="Z43" s="2491"/>
      <c r="AA43" s="2491"/>
      <c r="AB43" s="2491"/>
      <c r="AC43" s="2491"/>
      <c r="AD43" s="2491"/>
      <c r="AE43" s="2491"/>
      <c r="AF43" s="2491">
        <f>IF(ISNUMBER(SEARCH("&gt;",D43)),0,COUNTIF(Psíquicos!$AD$16:$AH$61,D43))</f>
        <v>0</v>
      </c>
      <c r="AG43" s="1175" t="str">
        <f>IF(AF43=0,"",VLOOKUP(D43,Psíquicos!$AD$11:$AK$64,8,FALSE))</f>
        <v/>
      </c>
      <c r="AH43" s="2606"/>
      <c r="AI43" s="2592" t="s">
        <v>156</v>
      </c>
    </row>
    <row r="44" spans="1:35" ht="12.75" customHeight="1" x14ac:dyDescent="0.2">
      <c r="A44" s="2143">
        <v>44</v>
      </c>
      <c r="B44" s="2135">
        <f>IF(OR(S44=0),0,SUM($S$6:S44))</f>
        <v>0</v>
      </c>
      <c r="C44" s="1183"/>
      <c r="D44" s="1184" t="s">
        <v>157</v>
      </c>
      <c r="E44" s="1175" t="s">
        <v>103</v>
      </c>
      <c r="F44" s="1176">
        <v>2</v>
      </c>
      <c r="G44" s="1176" t="s">
        <v>3143</v>
      </c>
      <c r="H44" s="1177" t="s">
        <v>1610</v>
      </c>
      <c r="I44" s="1175" t="s">
        <v>7651</v>
      </c>
      <c r="J44" s="1175" t="s">
        <v>7615</v>
      </c>
      <c r="K44" s="1175" t="s">
        <v>7616</v>
      </c>
      <c r="L44" s="1175" t="s">
        <v>5090</v>
      </c>
      <c r="M44" s="1175" t="s">
        <v>5091</v>
      </c>
      <c r="N44" s="1175" t="s">
        <v>5933</v>
      </c>
      <c r="O44" s="1175" t="s">
        <v>5092</v>
      </c>
      <c r="P44" s="1175" t="s">
        <v>7776</v>
      </c>
      <c r="Q44" s="1175" t="s">
        <v>7777</v>
      </c>
      <c r="R44" s="1203" t="s">
        <v>7778</v>
      </c>
      <c r="S44" s="2137">
        <f>IF(COUNTIF(Psíquicos!$C$25:$E$36,E44)=0,0,1)</f>
        <v>0</v>
      </c>
      <c r="U44" s="1175" t="str">
        <f t="shared" si="4"/>
        <v>DIF</v>
      </c>
      <c r="V44" s="2491"/>
      <c r="W44" s="2491"/>
      <c r="X44" s="2491"/>
      <c r="Y44" s="2491"/>
      <c r="Z44" s="2491"/>
      <c r="AA44" s="2491"/>
      <c r="AB44" s="2491"/>
      <c r="AC44" s="2491"/>
      <c r="AD44" s="2491"/>
      <c r="AE44" s="2491"/>
      <c r="AF44" s="2491">
        <f>IF(ISNUMBER(SEARCH("&gt;",D44)),0,COUNTIF(Psíquicos!$AD$16:$AH$61,D44))</f>
        <v>0</v>
      </c>
      <c r="AG44" s="1175" t="str">
        <f>IF(AF44=0,"",VLOOKUP(D44,Psíquicos!$AD$11:$AK$64,8,FALSE))</f>
        <v/>
      </c>
      <c r="AH44" s="2606"/>
      <c r="AI44" s="2592" t="s">
        <v>157</v>
      </c>
    </row>
    <row r="45" spans="1:35" ht="12.75" customHeight="1" x14ac:dyDescent="0.2">
      <c r="A45" s="2143">
        <v>45</v>
      </c>
      <c r="B45" s="2135">
        <f>IF(OR(S45=0),0,SUM($S$6:S45))</f>
        <v>0</v>
      </c>
      <c r="C45" s="1183"/>
      <c r="D45" s="1184" t="s">
        <v>158</v>
      </c>
      <c r="E45" s="1175" t="s">
        <v>103</v>
      </c>
      <c r="F45" s="1176">
        <v>2</v>
      </c>
      <c r="G45" s="1176" t="s">
        <v>3143</v>
      </c>
      <c r="H45" s="1177" t="s">
        <v>1609</v>
      </c>
      <c r="I45" s="1175" t="s">
        <v>7652</v>
      </c>
      <c r="J45" s="1175" t="s">
        <v>7651</v>
      </c>
      <c r="K45" s="1175" t="s">
        <v>7615</v>
      </c>
      <c r="L45" s="1175" t="s">
        <v>7616</v>
      </c>
      <c r="M45" s="1175" t="s">
        <v>7769</v>
      </c>
      <c r="N45" s="1175" t="s">
        <v>7770</v>
      </c>
      <c r="O45" s="1175" t="s">
        <v>7779</v>
      </c>
      <c r="P45" s="1175" t="s">
        <v>7780</v>
      </c>
      <c r="Q45" s="1175" t="s">
        <v>7781</v>
      </c>
      <c r="R45" s="1203" t="s">
        <v>7782</v>
      </c>
      <c r="S45" s="2137">
        <f>IF(COUNTIF(Psíquicos!$C$25:$E$36,E45)=0,0,1)</f>
        <v>0</v>
      </c>
      <c r="U45" s="1175" t="str">
        <f t="shared" si="4"/>
        <v>MDF</v>
      </c>
      <c r="V45" s="2491"/>
      <c r="W45" s="2491"/>
      <c r="X45" s="2491"/>
      <c r="Y45" s="2491"/>
      <c r="Z45" s="2491"/>
      <c r="AA45" s="2491"/>
      <c r="AB45" s="2491"/>
      <c r="AC45" s="2491"/>
      <c r="AD45" s="2491"/>
      <c r="AE45" s="2491"/>
      <c r="AF45" s="2491">
        <f>IF(ISNUMBER(SEARCH("&gt;",D45)),0,COUNTIF(Psíquicos!$AD$16:$AH$61,D45))</f>
        <v>0</v>
      </c>
      <c r="AG45" s="1175" t="str">
        <f>IF(AF45=0,"",VLOOKUP(D45,Psíquicos!$AD$11:$AK$64,8,FALSE))</f>
        <v/>
      </c>
      <c r="AH45" s="2606"/>
      <c r="AI45" s="2592" t="s">
        <v>158</v>
      </c>
    </row>
    <row r="46" spans="1:35" ht="12.75" customHeight="1" x14ac:dyDescent="0.2">
      <c r="A46" s="2143">
        <v>46</v>
      </c>
      <c r="B46" s="2135">
        <f>IF(OR(S46=0),0,SUM($S$6:S46))</f>
        <v>0</v>
      </c>
      <c r="C46" s="1183"/>
      <c r="D46" s="1184" t="s">
        <v>159</v>
      </c>
      <c r="E46" s="1175" t="s">
        <v>103</v>
      </c>
      <c r="F46" s="1176">
        <v>2</v>
      </c>
      <c r="G46" s="1176" t="s">
        <v>3143</v>
      </c>
      <c r="H46" s="1177" t="s">
        <v>1609</v>
      </c>
      <c r="I46" s="1175" t="s">
        <v>7652</v>
      </c>
      <c r="J46" s="1175" t="s">
        <v>7651</v>
      </c>
      <c r="K46" s="1175" t="s">
        <v>7615</v>
      </c>
      <c r="L46" s="1175" t="s">
        <v>7616</v>
      </c>
      <c r="M46" s="1175" t="s">
        <v>7783</v>
      </c>
      <c r="N46" s="1175" t="s">
        <v>7784</v>
      </c>
      <c r="O46" s="1175" t="s">
        <v>7785</v>
      </c>
      <c r="P46" s="1175" t="s">
        <v>7786</v>
      </c>
      <c r="Q46" s="1175" t="s">
        <v>7787</v>
      </c>
      <c r="R46" s="1203" t="s">
        <v>7788</v>
      </c>
      <c r="S46" s="2137">
        <f>IF(COUNTIF(Psíquicos!$C$25:$E$36,E46)=0,0,1)</f>
        <v>0</v>
      </c>
      <c r="U46" s="1175" t="str">
        <f t="shared" si="4"/>
        <v>MDF</v>
      </c>
      <c r="V46" s="2491"/>
      <c r="W46" s="2491"/>
      <c r="X46" s="2491"/>
      <c r="Y46" s="2491"/>
      <c r="Z46" s="2491"/>
      <c r="AA46" s="2491"/>
      <c r="AB46" s="2491"/>
      <c r="AC46" s="2491"/>
      <c r="AD46" s="2491"/>
      <c r="AE46" s="2491"/>
      <c r="AF46" s="2491">
        <f>IF(ISNUMBER(SEARCH("&gt;",D46)),0,COUNTIF(Psíquicos!$AD$16:$AH$61,D46))</f>
        <v>0</v>
      </c>
      <c r="AG46" s="1175" t="str">
        <f>IF(AF46=0,"",VLOOKUP(D46,Psíquicos!$AD$11:$AK$64,8,FALSE))</f>
        <v/>
      </c>
      <c r="AH46" s="2606"/>
      <c r="AI46" s="2592"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7667</v>
      </c>
      <c r="J47" s="1175" t="s">
        <v>7666</v>
      </c>
      <c r="K47" s="1175" t="s">
        <v>7653</v>
      </c>
      <c r="L47" s="1175" t="s">
        <v>7652</v>
      </c>
      <c r="M47" s="1175" t="s">
        <v>7651</v>
      </c>
      <c r="N47" s="1175" t="s">
        <v>7789</v>
      </c>
      <c r="O47" s="1175" t="s">
        <v>7790</v>
      </c>
      <c r="P47" s="1175" t="s">
        <v>7791</v>
      </c>
      <c r="Q47" s="1175" t="s">
        <v>7792</v>
      </c>
      <c r="R47" s="1203" t="s">
        <v>7793</v>
      </c>
      <c r="S47" s="2137">
        <f>IF(COUNTIF(Psíquicos!$C$25:$E$36,E47)=0,0,1)</f>
        <v>0</v>
      </c>
      <c r="U47" s="1175" t="str">
        <f t="shared" si="4"/>
        <v/>
      </c>
      <c r="V47" s="2491"/>
      <c r="W47" s="2491"/>
      <c r="X47" s="2491"/>
      <c r="Y47" s="2491"/>
      <c r="Z47" s="2491"/>
      <c r="AA47" s="2491"/>
      <c r="AB47" s="2491"/>
      <c r="AC47" s="2491"/>
      <c r="AD47" s="2491"/>
      <c r="AE47" s="2491"/>
      <c r="AF47" s="2491">
        <f>IF(ISNUMBER(SEARCH("&gt;",D47)),0,COUNTIF(Psíquicos!$AD$16:$AH$61,D47))</f>
        <v>0</v>
      </c>
      <c r="AG47" s="1175" t="str">
        <f>IF(AF47=0,"",VLOOKUP(D47,Psíquicos!$AD$11:$AK$64,8,FALSE))</f>
        <v/>
      </c>
      <c r="AH47" s="2606"/>
      <c r="AI47" s="2592" t="s">
        <v>160</v>
      </c>
    </row>
    <row r="48" spans="1:35" ht="12.75" customHeight="1" x14ac:dyDescent="0.2">
      <c r="A48" s="2143">
        <v>48</v>
      </c>
      <c r="B48" s="2135">
        <f>IF(OR(S48=0),0,SUM($S$6:S48))</f>
        <v>0</v>
      </c>
      <c r="C48" s="1183"/>
      <c r="D48" s="1184" t="s">
        <v>161</v>
      </c>
      <c r="E48" s="1175" t="s">
        <v>103</v>
      </c>
      <c r="F48" s="1176">
        <v>3</v>
      </c>
      <c r="G48" s="1176" t="s">
        <v>3143</v>
      </c>
      <c r="H48" s="1177" t="s">
        <v>1609</v>
      </c>
      <c r="I48" s="1175" t="s">
        <v>7667</v>
      </c>
      <c r="J48" s="1175" t="s">
        <v>7666</v>
      </c>
      <c r="K48" s="1175" t="s">
        <v>7653</v>
      </c>
      <c r="L48" s="1175" t="s">
        <v>7794</v>
      </c>
      <c r="M48" s="1175" t="s">
        <v>7795</v>
      </c>
      <c r="N48" s="1175" t="s">
        <v>7796</v>
      </c>
      <c r="O48" s="1175" t="s">
        <v>6764</v>
      </c>
      <c r="P48" s="1175" t="s">
        <v>7797</v>
      </c>
      <c r="Q48" s="1175" t="s">
        <v>6765</v>
      </c>
      <c r="R48" s="1203" t="s">
        <v>7798</v>
      </c>
      <c r="S48" s="2137">
        <f>IF(COUNTIF(Psíquicos!$C$25:$E$36,E48)=0,0,1)</f>
        <v>0</v>
      </c>
      <c r="U48" s="1175" t="str">
        <f t="shared" si="4"/>
        <v>DIF</v>
      </c>
      <c r="V48" s="2491"/>
      <c r="W48" s="2491"/>
      <c r="X48" s="2491"/>
      <c r="Y48" s="2491"/>
      <c r="Z48" s="2491"/>
      <c r="AA48" s="2491"/>
      <c r="AB48" s="2491"/>
      <c r="AC48" s="2491"/>
      <c r="AD48" s="2491"/>
      <c r="AE48" s="2491"/>
      <c r="AF48" s="2491">
        <f>IF(ISNUMBER(SEARCH("&gt;",D48)),0,COUNTIF(Psíquicos!$AD$16:$AH$61,D48))</f>
        <v>0</v>
      </c>
      <c r="AG48" s="1175" t="str">
        <f>IF(AF48=0,"",VLOOKUP(D48,Psíquicos!$AD$11:$AK$64,8,FALSE))</f>
        <v/>
      </c>
      <c r="AH48" s="2606"/>
      <c r="AI48" s="2592" t="s">
        <v>161</v>
      </c>
    </row>
    <row r="49" spans="1:35" ht="12.75" customHeight="1" x14ac:dyDescent="0.2">
      <c r="A49" s="2143">
        <v>49</v>
      </c>
      <c r="B49" s="2135">
        <f>IF(OR(S49=0),0,SUM($S$6:S49))</f>
        <v>0</v>
      </c>
      <c r="C49" s="1183"/>
      <c r="D49" s="1184" t="s">
        <v>162</v>
      </c>
      <c r="E49" s="1175" t="s">
        <v>103</v>
      </c>
      <c r="F49" s="1176">
        <v>3</v>
      </c>
      <c r="G49" s="1176" t="s">
        <v>3143</v>
      </c>
      <c r="H49" s="1177" t="s">
        <v>1609</v>
      </c>
      <c r="I49" s="1175" t="s">
        <v>7741</v>
      </c>
      <c r="J49" s="1175" t="s">
        <v>7667</v>
      </c>
      <c r="K49" s="1175" t="s">
        <v>7666</v>
      </c>
      <c r="L49" s="1175" t="s">
        <v>7653</v>
      </c>
      <c r="M49" s="1175" t="s">
        <v>7652</v>
      </c>
      <c r="N49" s="1175" t="s">
        <v>7651</v>
      </c>
      <c r="O49" s="1175" t="s">
        <v>7776</v>
      </c>
      <c r="P49" s="1175" t="s">
        <v>7777</v>
      </c>
      <c r="Q49" s="1175" t="s">
        <v>7778</v>
      </c>
      <c r="R49" s="1203" t="s">
        <v>7799</v>
      </c>
      <c r="S49" s="2137">
        <f>IF(COUNTIF(Psíquicos!$C$25:$E$36,E49)=0,0,1)</f>
        <v>0</v>
      </c>
      <c r="U49" s="1175" t="str">
        <f t="shared" si="4"/>
        <v>CIM</v>
      </c>
      <c r="V49" s="2491"/>
      <c r="W49" s="2491"/>
      <c r="X49" s="2491"/>
      <c r="Y49" s="2491"/>
      <c r="Z49" s="2491"/>
      <c r="AA49" s="2491"/>
      <c r="AB49" s="2491"/>
      <c r="AC49" s="2491"/>
      <c r="AD49" s="2491"/>
      <c r="AE49" s="2491"/>
      <c r="AF49" s="2491">
        <f>IF(ISNUMBER(SEARCH("&gt;",D49)),0,COUNTIF(Psíquicos!$AD$16:$AH$61,D49))</f>
        <v>0</v>
      </c>
      <c r="AG49" s="1175" t="str">
        <f>IF(AF49=0,"",VLOOKUP(D49,Psíquicos!$AD$11:$AK$64,8,FALSE))</f>
        <v/>
      </c>
      <c r="AH49" s="2606"/>
      <c r="AI49" s="2592"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1"/>
      <c r="W50" s="2491"/>
      <c r="X50" s="2491"/>
      <c r="Y50" s="2491"/>
      <c r="Z50" s="2491"/>
      <c r="AA50" s="2491"/>
      <c r="AB50" s="2491"/>
      <c r="AC50" s="2491"/>
      <c r="AD50" s="2491"/>
      <c r="AE50" s="2491"/>
      <c r="AF50" s="2491">
        <f>IF(ISNUMBER(SEARCH("&gt;",D50)),0,COUNTIF(Psíquicos!$AD$16:$AH$61,D50))</f>
        <v>0</v>
      </c>
      <c r="AG50" s="1175" t="str">
        <f>IF(AF50=0,"",VLOOKUP(D50,Psíquicos!$AD$11:$AK$64,8,FALSE))</f>
        <v/>
      </c>
      <c r="AH50" s="2606"/>
      <c r="AI50" s="2592" t="s">
        <v>163</v>
      </c>
    </row>
    <row r="51" spans="1:35" ht="12.75" customHeight="1" x14ac:dyDescent="0.2">
      <c r="A51" s="2143">
        <v>51</v>
      </c>
      <c r="B51" s="2135">
        <f>IF(OR(S51=0),0,SUM($S$6:S51))</f>
        <v>0</v>
      </c>
      <c r="C51" s="1183"/>
      <c r="D51" s="1184" t="s">
        <v>164</v>
      </c>
      <c r="E51" s="1175" t="s">
        <v>105</v>
      </c>
      <c r="F51" s="1176">
        <v>1</v>
      </c>
      <c r="G51" s="1176" t="s">
        <v>3143</v>
      </c>
      <c r="H51" s="1177" t="s">
        <v>1609</v>
      </c>
      <c r="I51" s="1175" t="s">
        <v>7616</v>
      </c>
      <c r="J51" s="1175" t="s">
        <v>5089</v>
      </c>
      <c r="K51" s="1175" t="s">
        <v>6537</v>
      </c>
      <c r="L51" s="1175" t="s">
        <v>5090</v>
      </c>
      <c r="M51" s="1175" t="s">
        <v>7749</v>
      </c>
      <c r="N51" s="1175" t="s">
        <v>5091</v>
      </c>
      <c r="O51" s="1175" t="s">
        <v>7750</v>
      </c>
      <c r="P51" s="1175" t="s">
        <v>7751</v>
      </c>
      <c r="Q51" s="1175" t="s">
        <v>5092</v>
      </c>
      <c r="R51" s="1203" t="s">
        <v>5934</v>
      </c>
      <c r="S51" s="2137">
        <f>IF(COUNTIF(Psíquicos!$C$25:$E$36,E51)=0,0,1)</f>
        <v>0</v>
      </c>
      <c r="U51" s="1175" t="str">
        <f t="shared" si="4"/>
        <v>FAC</v>
      </c>
      <c r="V51" s="2491"/>
      <c r="W51" s="2491"/>
      <c r="X51" s="2491"/>
      <c r="Y51" s="2491"/>
      <c r="Z51" s="2491"/>
      <c r="AA51" s="2491"/>
      <c r="AB51" s="2491"/>
      <c r="AC51" s="2491"/>
      <c r="AD51" s="2491"/>
      <c r="AE51" s="2491"/>
      <c r="AF51" s="2491">
        <f>IF(ISNUMBER(SEARCH("&gt;",D51)),0,COUNTIF(Psíquicos!$AD$16:$AH$61,D51))</f>
        <v>0</v>
      </c>
      <c r="AG51" s="1175" t="str">
        <f>IF(AF51=0,"",VLOOKUP(D51,Psíquicos!$AD$11:$AK$64,8,FALSE))</f>
        <v/>
      </c>
      <c r="AH51" s="2606"/>
      <c r="AI51" s="2592" t="s">
        <v>164</v>
      </c>
    </row>
    <row r="52" spans="1:35" ht="12.75" customHeight="1" x14ac:dyDescent="0.2">
      <c r="A52" s="2143">
        <v>52</v>
      </c>
      <c r="B52" s="2135">
        <f>IF(OR(S52=0),0,SUM($S$6:S52))</f>
        <v>0</v>
      </c>
      <c r="C52" s="1183"/>
      <c r="D52" s="1184" t="s">
        <v>165</v>
      </c>
      <c r="E52" s="1175" t="s">
        <v>105</v>
      </c>
      <c r="F52" s="1176">
        <v>1</v>
      </c>
      <c r="G52" s="1176" t="s">
        <v>3143</v>
      </c>
      <c r="H52" s="1177" t="s">
        <v>1609</v>
      </c>
      <c r="I52" s="1175" t="s">
        <v>7651</v>
      </c>
      <c r="J52" s="1175" t="s">
        <v>7615</v>
      </c>
      <c r="K52" s="1175" t="s">
        <v>7616</v>
      </c>
      <c r="L52" s="1175" t="s">
        <v>7800</v>
      </c>
      <c r="M52" s="1175" t="s">
        <v>7801</v>
      </c>
      <c r="N52" s="1175" t="s">
        <v>7802</v>
      </c>
      <c r="O52" s="1175" t="s">
        <v>7803</v>
      </c>
      <c r="P52" s="1175" t="s">
        <v>5938</v>
      </c>
      <c r="Q52" s="1175" t="s">
        <v>5940</v>
      </c>
      <c r="R52" s="1203" t="s">
        <v>7804</v>
      </c>
      <c r="S52" s="2137">
        <f>IF(COUNTIF(Psíquicos!$C$25:$E$36,E52)=0,0,1)</f>
        <v>0</v>
      </c>
      <c r="U52" s="1175" t="str">
        <f t="shared" si="4"/>
        <v>DIF</v>
      </c>
      <c r="V52" s="2491"/>
      <c r="W52" s="2491"/>
      <c r="X52" s="2491"/>
      <c r="Y52" s="2491"/>
      <c r="Z52" s="2491"/>
      <c r="AA52" s="2491"/>
      <c r="AB52" s="2491"/>
      <c r="AC52" s="2491"/>
      <c r="AD52" s="2491"/>
      <c r="AE52" s="2491"/>
      <c r="AF52" s="2491">
        <f>IF(ISNUMBER(SEARCH("&gt;",D52)),0,COUNTIF(Psíquicos!$AD$16:$AH$61,D52))</f>
        <v>0</v>
      </c>
      <c r="AG52" s="1175" t="str">
        <f>IF(AF52=0,"",VLOOKUP(D52,Psíquicos!$AD$11:$AK$64,8,FALSE))</f>
        <v/>
      </c>
      <c r="AH52" s="2606"/>
      <c r="AI52" s="2592" t="s">
        <v>165</v>
      </c>
    </row>
    <row r="53" spans="1:35" ht="12.75" customHeight="1" x14ac:dyDescent="0.2">
      <c r="A53" s="2143">
        <v>53</v>
      </c>
      <c r="B53" s="2135">
        <f>IF(OR(S53=0),0,SUM($S$6:S53))</f>
        <v>0</v>
      </c>
      <c r="C53" s="1183"/>
      <c r="D53" s="1184" t="s">
        <v>166</v>
      </c>
      <c r="E53" s="1175" t="s">
        <v>105</v>
      </c>
      <c r="F53" s="1176">
        <v>1</v>
      </c>
      <c r="G53" s="1176" t="s">
        <v>3143</v>
      </c>
      <c r="H53" s="1177" t="s">
        <v>1609</v>
      </c>
      <c r="I53" s="1175" t="s">
        <v>7616</v>
      </c>
      <c r="J53" s="1175" t="s">
        <v>7752</v>
      </c>
      <c r="K53" s="1175" t="s">
        <v>7753</v>
      </c>
      <c r="L53" s="1175" t="s">
        <v>7754</v>
      </c>
      <c r="M53" s="1175" t="s">
        <v>7755</v>
      </c>
      <c r="N53" s="1175" t="s">
        <v>7756</v>
      </c>
      <c r="O53" s="1175" t="s">
        <v>7757</v>
      </c>
      <c r="P53" s="1175" t="s">
        <v>7758</v>
      </c>
      <c r="Q53" s="1175" t="s">
        <v>7759</v>
      </c>
      <c r="R53" s="1203" t="s">
        <v>7760</v>
      </c>
      <c r="S53" s="2137">
        <f>IF(COUNTIF(Psíquicos!$C$25:$E$36,E53)=0,0,1)</f>
        <v>0</v>
      </c>
      <c r="U53" s="1175" t="str">
        <f t="shared" si="4"/>
        <v>FAC</v>
      </c>
      <c r="V53" s="2491"/>
      <c r="W53" s="2491"/>
      <c r="X53" s="2491"/>
      <c r="Y53" s="2491"/>
      <c r="Z53" s="2491"/>
      <c r="AA53" s="2491"/>
      <c r="AB53" s="2491"/>
      <c r="AC53" s="2491"/>
      <c r="AD53" s="2491"/>
      <c r="AE53" s="2491"/>
      <c r="AF53" s="2491">
        <f>IF(ISNUMBER(SEARCH("&gt;",D53)),0,COUNTIF(Psíquicos!$AD$16:$AH$61,D53))</f>
        <v>0</v>
      </c>
      <c r="AG53" s="1175" t="str">
        <f>IF(AF53=0,"",VLOOKUP(D53,Psíquicos!$AD$11:$AK$64,8,FALSE))</f>
        <v/>
      </c>
      <c r="AH53" s="2606"/>
      <c r="AI53" s="2592"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7615</v>
      </c>
      <c r="J54" s="1175" t="s">
        <v>7616</v>
      </c>
      <c r="K54" s="1175" t="s">
        <v>7761</v>
      </c>
      <c r="L54" s="1175" t="s">
        <v>7762</v>
      </c>
      <c r="M54" s="1175" t="s">
        <v>7763</v>
      </c>
      <c r="N54" s="1175" t="s">
        <v>7764</v>
      </c>
      <c r="O54" s="1175" t="s">
        <v>7765</v>
      </c>
      <c r="P54" s="1175" t="s">
        <v>7766</v>
      </c>
      <c r="Q54" s="1175" t="s">
        <v>7767</v>
      </c>
      <c r="R54" s="1203" t="s">
        <v>7768</v>
      </c>
      <c r="S54" s="2137">
        <f>IF(COUNTIF(Psíquicos!$C$25:$E$36,E54)=0,0,1)</f>
        <v>0</v>
      </c>
      <c r="U54" s="1175" t="str">
        <f t="shared" si="4"/>
        <v/>
      </c>
      <c r="V54" s="2491"/>
      <c r="W54" s="2491"/>
      <c r="X54" s="2491"/>
      <c r="Y54" s="2491"/>
      <c r="Z54" s="2491"/>
      <c r="AA54" s="2491"/>
      <c r="AB54" s="2491"/>
      <c r="AC54" s="2491"/>
      <c r="AD54" s="2491"/>
      <c r="AE54" s="2491"/>
      <c r="AF54" s="2491">
        <f>IF(ISNUMBER(SEARCH("&gt;",D54)),0,COUNTIF(Psíquicos!$AD$16:$AH$61,D54))</f>
        <v>0</v>
      </c>
      <c r="AG54" s="1175" t="str">
        <f>IF(AF54=0,"",VLOOKUP(D54,Psíquicos!$AD$11:$AK$64,8,FALSE))</f>
        <v/>
      </c>
      <c r="AH54" s="2606"/>
      <c r="AI54" s="2592" t="s">
        <v>167</v>
      </c>
    </row>
    <row r="55" spans="1:35" ht="12.75" customHeight="1" x14ac:dyDescent="0.2">
      <c r="A55" s="2143">
        <v>55</v>
      </c>
      <c r="B55" s="2135">
        <f>IF(OR(S55=0),0,SUM($S$6:S55))</f>
        <v>0</v>
      </c>
      <c r="C55" s="1183"/>
      <c r="D55" s="1184" t="s">
        <v>168</v>
      </c>
      <c r="E55" s="1175" t="s">
        <v>105</v>
      </c>
      <c r="F55" s="1176">
        <v>1</v>
      </c>
      <c r="G55" s="1176" t="s">
        <v>3143</v>
      </c>
      <c r="H55" s="1177" t="s">
        <v>1609</v>
      </c>
      <c r="I55" s="1175" t="s">
        <v>7653</v>
      </c>
      <c r="J55" s="1175" t="s">
        <v>7652</v>
      </c>
      <c r="K55" s="1175" t="s">
        <v>7651</v>
      </c>
      <c r="L55" s="1175" t="s">
        <v>7650</v>
      </c>
      <c r="M55" s="1175" t="s">
        <v>7633</v>
      </c>
      <c r="N55" s="1175" t="s">
        <v>7634</v>
      </c>
      <c r="O55" s="1175" t="s">
        <v>7635</v>
      </c>
      <c r="P55" s="1175" t="s">
        <v>7636</v>
      </c>
      <c r="Q55" s="1175" t="s">
        <v>7637</v>
      </c>
      <c r="R55" s="1203" t="s">
        <v>7639</v>
      </c>
      <c r="S55" s="2137">
        <f>IF(COUNTIF(Psíquicos!$C$25:$E$36,E55)=0,0,1)</f>
        <v>0</v>
      </c>
      <c r="U55" s="1175" t="str">
        <f t="shared" si="4"/>
        <v>DIF</v>
      </c>
      <c r="V55" s="2491"/>
      <c r="W55" s="2491"/>
      <c r="X55" s="2492"/>
      <c r="Y55" s="2492"/>
      <c r="Z55" s="2492"/>
      <c r="AA55" s="2492"/>
      <c r="AB55" s="2491"/>
      <c r="AC55" s="2491"/>
      <c r="AD55" s="2491"/>
      <c r="AE55" s="2492"/>
      <c r="AF55" s="2491">
        <f>IF(ISNUMBER(SEARCH("&gt;",D55)),0,COUNTIF(Psíquicos!$AD$16:$AH$61,D55))</f>
        <v>0</v>
      </c>
      <c r="AG55" s="1175" t="str">
        <f>IF(AF55=0,"",VLOOKUP(D55,Psíquicos!$AD$11:$AK$64,8,FALSE))</f>
        <v/>
      </c>
      <c r="AH55" s="2606"/>
      <c r="AI55" s="2592"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7653</v>
      </c>
      <c r="J56" s="1175" t="s">
        <v>7652</v>
      </c>
      <c r="K56" s="1175" t="s">
        <v>7651</v>
      </c>
      <c r="L56" s="1175" t="s">
        <v>7615</v>
      </c>
      <c r="M56" s="1175" t="s">
        <v>7616</v>
      </c>
      <c r="N56" s="1175" t="s">
        <v>6405</v>
      </c>
      <c r="O56" s="1175" t="s">
        <v>5341</v>
      </c>
      <c r="P56" s="1175" t="s">
        <v>4957</v>
      </c>
      <c r="Q56" s="1175" t="s">
        <v>7805</v>
      </c>
      <c r="R56" s="1203" t="s">
        <v>7806</v>
      </c>
      <c r="S56" s="2137">
        <f>IF(COUNTIF(Psíquicos!$C$25:$E$36,E56)=0,0,1)</f>
        <v>0</v>
      </c>
      <c r="U56" s="1175" t="str">
        <f t="shared" si="4"/>
        <v/>
      </c>
      <c r="V56" s="2491"/>
      <c r="W56" s="2491"/>
      <c r="X56" s="2491"/>
      <c r="Y56" s="2491"/>
      <c r="Z56" s="2491"/>
      <c r="AA56" s="2491"/>
      <c r="AB56" s="2491"/>
      <c r="AC56" s="2491"/>
      <c r="AD56" s="2491"/>
      <c r="AE56" s="2491"/>
      <c r="AF56" s="2491">
        <f>IF(ISNUMBER(SEARCH("&gt;",D56)),0,COUNTIF(Psíquicos!$AD$16:$AH$61,D56))</f>
        <v>0</v>
      </c>
      <c r="AG56" s="1175" t="str">
        <f>IF(AF56=0,"",VLOOKUP(D56,Psíquicos!$AD$11:$AK$64,8,FALSE))</f>
        <v/>
      </c>
      <c r="AH56" s="2606"/>
      <c r="AI56" s="2592" t="s">
        <v>169</v>
      </c>
    </row>
    <row r="57" spans="1:35" ht="12.75" customHeight="1" x14ac:dyDescent="0.2">
      <c r="A57" s="2143">
        <v>57</v>
      </c>
      <c r="B57" s="2135">
        <f>IF(OR(S57=0),0,SUM($S$6:S57))</f>
        <v>0</v>
      </c>
      <c r="C57" s="1183"/>
      <c r="D57" s="1184" t="s">
        <v>170</v>
      </c>
      <c r="E57" s="1175" t="s">
        <v>105</v>
      </c>
      <c r="F57" s="1176">
        <v>2</v>
      </c>
      <c r="G57" s="1176" t="s">
        <v>3143</v>
      </c>
      <c r="H57" s="1177" t="s">
        <v>1609</v>
      </c>
      <c r="I57" s="1175" t="s">
        <v>7652</v>
      </c>
      <c r="J57" s="1175" t="s">
        <v>7651</v>
      </c>
      <c r="K57" s="1175" t="s">
        <v>7615</v>
      </c>
      <c r="L57" s="1175" t="s">
        <v>7616</v>
      </c>
      <c r="M57" s="1175" t="s">
        <v>7807</v>
      </c>
      <c r="N57" s="1175" t="s">
        <v>7808</v>
      </c>
      <c r="O57" s="1175" t="s">
        <v>7809</v>
      </c>
      <c r="P57" s="1175" t="s">
        <v>7810</v>
      </c>
      <c r="Q57" s="1175" t="s">
        <v>7811</v>
      </c>
      <c r="R57" s="1203" t="s">
        <v>7812</v>
      </c>
      <c r="S57" s="2137">
        <f>IF(COUNTIF(Psíquicos!$C$25:$E$36,E57)=0,0,1)</f>
        <v>0</v>
      </c>
      <c r="U57" s="1175" t="str">
        <f t="shared" si="4"/>
        <v>MDF</v>
      </c>
      <c r="V57" s="2491"/>
      <c r="W57" s="2491"/>
      <c r="X57" s="2491"/>
      <c r="Y57" s="2491"/>
      <c r="Z57" s="2491"/>
      <c r="AA57" s="2491"/>
      <c r="AB57" s="2491"/>
      <c r="AC57" s="2491"/>
      <c r="AD57" s="2491"/>
      <c r="AE57" s="2491"/>
      <c r="AF57" s="2491">
        <f>IF(ISNUMBER(SEARCH("&gt;",D57)),0,COUNTIF(Psíquicos!$AD$16:$AH$61,D57))</f>
        <v>0</v>
      </c>
      <c r="AG57" s="1175" t="str">
        <f>IF(AF57=0,"",VLOOKUP(D57,Psíquicos!$AD$11:$AK$64,8,FALSE))</f>
        <v/>
      </c>
      <c r="AH57" s="2606"/>
      <c r="AI57" s="2592" t="s">
        <v>170</v>
      </c>
    </row>
    <row r="58" spans="1:35" ht="12.75" customHeight="1" x14ac:dyDescent="0.2">
      <c r="A58" s="2143">
        <v>58</v>
      </c>
      <c r="B58" s="2135">
        <f>IF(OR(S58=0),0,SUM($S$6:S58))</f>
        <v>0</v>
      </c>
      <c r="C58" s="1183"/>
      <c r="D58" s="1184" t="s">
        <v>171</v>
      </c>
      <c r="E58" s="1175" t="s">
        <v>105</v>
      </c>
      <c r="F58" s="1176">
        <v>2</v>
      </c>
      <c r="G58" s="1176" t="s">
        <v>3143</v>
      </c>
      <c r="H58" s="1177" t="s">
        <v>1610</v>
      </c>
      <c r="I58" s="1175" t="s">
        <v>7652</v>
      </c>
      <c r="J58" s="1175" t="s">
        <v>7651</v>
      </c>
      <c r="K58" s="1175" t="s">
        <v>7615</v>
      </c>
      <c r="L58" s="1175" t="s">
        <v>7813</v>
      </c>
      <c r="M58" s="1175" t="s">
        <v>7814</v>
      </c>
      <c r="N58" s="1175" t="s">
        <v>7815</v>
      </c>
      <c r="O58" s="1175" t="s">
        <v>7816</v>
      </c>
      <c r="P58" s="1175" t="s">
        <v>7817</v>
      </c>
      <c r="Q58" s="1175" t="s">
        <v>7818</v>
      </c>
      <c r="R58" s="1203" t="s">
        <v>7819</v>
      </c>
      <c r="S58" s="2137">
        <f>IF(COUNTIF(Psíquicos!$C$25:$E$36,E58)=0,0,1)</f>
        <v>0</v>
      </c>
      <c r="U58" s="1175" t="str">
        <f t="shared" si="4"/>
        <v>DIF</v>
      </c>
      <c r="V58" s="2491"/>
      <c r="W58" s="2491"/>
      <c r="X58" s="2491"/>
      <c r="Y58" s="2491"/>
      <c r="Z58" s="2491"/>
      <c r="AA58" s="2491"/>
      <c r="AB58" s="2491"/>
      <c r="AC58" s="2491"/>
      <c r="AD58" s="2491"/>
      <c r="AE58" s="2491"/>
      <c r="AF58" s="2491">
        <f>IF(ISNUMBER(SEARCH("&gt;",D58)),0,COUNTIF(Psíquicos!$AD$16:$AH$61,D58))</f>
        <v>0</v>
      </c>
      <c r="AG58" s="1175" t="str">
        <f>IF(AF58=0,"",VLOOKUP(D58,Psíquicos!$AD$11:$AK$64,8,FALSE))</f>
        <v/>
      </c>
      <c r="AH58" s="2606"/>
      <c r="AI58" s="2592" t="s">
        <v>171</v>
      </c>
    </row>
    <row r="59" spans="1:35" ht="12.75" customHeight="1" x14ac:dyDescent="0.2">
      <c r="A59" s="2143">
        <v>59</v>
      </c>
      <c r="B59" s="2135">
        <f>IF(OR(S59=0),0,SUM($S$6:S59))</f>
        <v>0</v>
      </c>
      <c r="C59" s="1183"/>
      <c r="D59" s="1184" t="s">
        <v>172</v>
      </c>
      <c r="E59" s="1175" t="s">
        <v>105</v>
      </c>
      <c r="F59" s="1176">
        <v>2</v>
      </c>
      <c r="G59" s="1176" t="s">
        <v>3143</v>
      </c>
      <c r="H59" s="1177" t="s">
        <v>1609</v>
      </c>
      <c r="I59" s="1175" t="s">
        <v>7666</v>
      </c>
      <c r="J59" s="1175" t="s">
        <v>7653</v>
      </c>
      <c r="K59" s="1175" t="s">
        <v>7652</v>
      </c>
      <c r="L59" s="1175" t="s">
        <v>7651</v>
      </c>
      <c r="M59" s="1175" t="s">
        <v>7615</v>
      </c>
      <c r="N59" s="1175" t="s">
        <v>7719</v>
      </c>
      <c r="O59" s="1175" t="s">
        <v>7720</v>
      </c>
      <c r="P59" s="1175" t="s">
        <v>7721</v>
      </c>
      <c r="Q59" s="1175" t="s">
        <v>7722</v>
      </c>
      <c r="R59" s="1203" t="s">
        <v>7723</v>
      </c>
      <c r="S59" s="2137">
        <f>IF(COUNTIF(Psíquicos!$C$25:$E$36,E59)=0,0,1)</f>
        <v>0</v>
      </c>
      <c r="U59" s="1175" t="str">
        <f t="shared" si="4"/>
        <v>ABS</v>
      </c>
      <c r="V59" s="2491"/>
      <c r="W59" s="2491"/>
      <c r="X59" s="2491"/>
      <c r="Y59" s="2491"/>
      <c r="Z59" s="2491"/>
      <c r="AA59" s="2491"/>
      <c r="AB59" s="2491"/>
      <c r="AC59" s="2491"/>
      <c r="AD59" s="2491"/>
      <c r="AE59" s="2491"/>
      <c r="AF59" s="2491">
        <f>IF(ISNUMBER(SEARCH("&gt;",D59)),0,COUNTIF(Psíquicos!$AD$16:$AH$61,D59))</f>
        <v>0</v>
      </c>
      <c r="AG59" s="1175" t="str">
        <f>IF(AF59=0,"",VLOOKUP(D59,Psíquicos!$AD$11:$AK$64,8,FALSE))</f>
        <v/>
      </c>
      <c r="AH59" s="2606"/>
      <c r="AI59" s="2592" t="s">
        <v>172</v>
      </c>
    </row>
    <row r="60" spans="1:35" ht="12.75" customHeight="1" x14ac:dyDescent="0.2">
      <c r="A60" s="2143">
        <v>60</v>
      </c>
      <c r="B60" s="2135">
        <f>IF(OR(S60=0),0,SUM($S$6:S60))</f>
        <v>0</v>
      </c>
      <c r="C60" s="1183"/>
      <c r="D60" s="1184" t="s">
        <v>173</v>
      </c>
      <c r="E60" s="1175" t="s">
        <v>105</v>
      </c>
      <c r="F60" s="1176">
        <v>2</v>
      </c>
      <c r="G60" s="1176" t="s">
        <v>3143</v>
      </c>
      <c r="H60" s="1177" t="s">
        <v>1610</v>
      </c>
      <c r="I60" s="1175" t="s">
        <v>7651</v>
      </c>
      <c r="J60" s="1175" t="s">
        <v>7615</v>
      </c>
      <c r="K60" s="1175" t="s">
        <v>7616</v>
      </c>
      <c r="L60" s="1175" t="s">
        <v>5090</v>
      </c>
      <c r="M60" s="1175" t="s">
        <v>5091</v>
      </c>
      <c r="N60" s="1175" t="s">
        <v>5933</v>
      </c>
      <c r="O60" s="1175" t="s">
        <v>5092</v>
      </c>
      <c r="P60" s="1175" t="s">
        <v>7776</v>
      </c>
      <c r="Q60" s="1175" t="s">
        <v>7777</v>
      </c>
      <c r="R60" s="1203" t="s">
        <v>7778</v>
      </c>
      <c r="S60" s="2137">
        <f>IF(COUNTIF(Psíquicos!$C$25:$E$36,E60)=0,0,1)</f>
        <v>0</v>
      </c>
      <c r="U60" s="1175" t="str">
        <f t="shared" si="4"/>
        <v>DIF</v>
      </c>
      <c r="V60" s="2491"/>
      <c r="W60" s="2491"/>
      <c r="X60" s="2491"/>
      <c r="Y60" s="2491"/>
      <c r="Z60" s="2491"/>
      <c r="AA60" s="2491"/>
      <c r="AB60" s="2491"/>
      <c r="AC60" s="2491"/>
      <c r="AD60" s="2491"/>
      <c r="AE60" s="2491"/>
      <c r="AF60" s="2491">
        <f>IF(ISNUMBER(SEARCH("&gt;",D60)),0,COUNTIF(Psíquicos!$AD$16:$AH$61,D60))</f>
        <v>0</v>
      </c>
      <c r="AG60" s="1175" t="str">
        <f>IF(AF60=0,"",VLOOKUP(D60,Psíquicos!$AD$11:$AK$64,8,FALSE))</f>
        <v/>
      </c>
      <c r="AH60" s="2606"/>
      <c r="AI60" s="2592" t="s">
        <v>173</v>
      </c>
    </row>
    <row r="61" spans="1:35" ht="12.75" customHeight="1" x14ac:dyDescent="0.2">
      <c r="A61" s="2143">
        <v>61</v>
      </c>
      <c r="B61" s="2135">
        <f>IF(OR(S61=0),0,SUM($S$6:S61))</f>
        <v>0</v>
      </c>
      <c r="C61" s="1183"/>
      <c r="D61" s="1184" t="s">
        <v>174</v>
      </c>
      <c r="E61" s="1175" t="s">
        <v>105</v>
      </c>
      <c r="F61" s="1176">
        <v>3</v>
      </c>
      <c r="G61" s="1176" t="s">
        <v>3143</v>
      </c>
      <c r="H61" s="1177" t="s">
        <v>1609</v>
      </c>
      <c r="I61" s="1175" t="s">
        <v>7667</v>
      </c>
      <c r="J61" s="1175" t="s">
        <v>7666</v>
      </c>
      <c r="K61" s="1175" t="s">
        <v>7653</v>
      </c>
      <c r="L61" s="1175" t="s">
        <v>7652</v>
      </c>
      <c r="M61" s="1175" t="s">
        <v>7651</v>
      </c>
      <c r="N61" s="1175" t="s">
        <v>7820</v>
      </c>
      <c r="O61" s="1175" t="s">
        <v>7821</v>
      </c>
      <c r="P61" s="1175" t="s">
        <v>7822</v>
      </c>
      <c r="Q61" s="1175" t="s">
        <v>7823</v>
      </c>
      <c r="R61" s="1203" t="s">
        <v>7824</v>
      </c>
      <c r="S61" s="2137">
        <f>IF(COUNTIF(Psíquicos!$C$25:$E$36,E61)=0,0,1)</f>
        <v>0</v>
      </c>
      <c r="U61" s="1175" t="str">
        <f t="shared" si="4"/>
        <v>ABS</v>
      </c>
      <c r="V61" s="2491"/>
      <c r="W61" s="2491"/>
      <c r="X61" s="2491"/>
      <c r="Y61" s="2491"/>
      <c r="Z61" s="2491"/>
      <c r="AA61" s="2491"/>
      <c r="AB61" s="2491"/>
      <c r="AC61" s="2491"/>
      <c r="AD61" s="2491"/>
      <c r="AE61" s="2491"/>
      <c r="AF61" s="2491">
        <f>IF(ISNUMBER(SEARCH("&gt;",D61)),0,COUNTIF(Psíquicos!$AD$16:$AH$61,D61))</f>
        <v>0</v>
      </c>
      <c r="AG61" s="1175" t="str">
        <f>IF(AF61=0,"",VLOOKUP(D61,Psíquicos!$AD$11:$AK$64,8,FALSE))</f>
        <v/>
      </c>
      <c r="AH61" s="2606"/>
      <c r="AI61" s="2592" t="s">
        <v>174</v>
      </c>
    </row>
    <row r="62" spans="1:35" ht="12.75" customHeight="1" x14ac:dyDescent="0.2">
      <c r="A62" s="2143">
        <v>62</v>
      </c>
      <c r="B62" s="2135">
        <f>IF(OR(S62=0),0,SUM($S$6:S62))</f>
        <v>0</v>
      </c>
      <c r="C62" s="1183"/>
      <c r="D62" s="1184" t="s">
        <v>175</v>
      </c>
      <c r="E62" s="1175" t="s">
        <v>105</v>
      </c>
      <c r="F62" s="1176">
        <v>3</v>
      </c>
      <c r="G62" s="1176" t="s">
        <v>3143</v>
      </c>
      <c r="H62" s="1177" t="s">
        <v>1609</v>
      </c>
      <c r="I62" s="1175" t="s">
        <v>7667</v>
      </c>
      <c r="J62" s="1175" t="s">
        <v>7666</v>
      </c>
      <c r="K62" s="1175" t="s">
        <v>7653</v>
      </c>
      <c r="L62" s="1175" t="s">
        <v>7652</v>
      </c>
      <c r="M62" s="1175" t="s">
        <v>7651</v>
      </c>
      <c r="N62" s="1175" t="s">
        <v>7825</v>
      </c>
      <c r="O62" s="1175" t="s">
        <v>7826</v>
      </c>
      <c r="P62" s="1175" t="s">
        <v>7827</v>
      </c>
      <c r="Q62" s="1175" t="s">
        <v>7828</v>
      </c>
      <c r="R62" s="1203" t="s">
        <v>7829</v>
      </c>
      <c r="S62" s="2137">
        <f>IF(COUNTIF(Psíquicos!$C$25:$E$36,E62)=0,0,1)</f>
        <v>0</v>
      </c>
      <c r="U62" s="1175" t="str">
        <f t="shared" si="4"/>
        <v>ABS</v>
      </c>
      <c r="V62" s="2491"/>
      <c r="W62" s="2491"/>
      <c r="X62" s="2491"/>
      <c r="Y62" s="2491"/>
      <c r="Z62" s="2491"/>
      <c r="AA62" s="2491"/>
      <c r="AB62" s="2491"/>
      <c r="AC62" s="2491"/>
      <c r="AD62" s="2491"/>
      <c r="AE62" s="2491"/>
      <c r="AF62" s="2491">
        <f>IF(ISNUMBER(SEARCH("&gt;",D62)),0,COUNTIF(Psíquicos!$AD$16:$AH$61,D62))</f>
        <v>0</v>
      </c>
      <c r="AG62" s="1175" t="str">
        <f>IF(AF62=0,"",VLOOKUP(D62,Psíquicos!$AD$11:$AK$64,8,FALSE))</f>
        <v/>
      </c>
      <c r="AH62" s="2606"/>
      <c r="AI62" s="2592" t="s">
        <v>175</v>
      </c>
    </row>
    <row r="63" spans="1:35" ht="12.75" customHeight="1" x14ac:dyDescent="0.2">
      <c r="A63" s="2143">
        <v>63</v>
      </c>
      <c r="B63" s="2135">
        <f>IF(OR(S63=0),0,SUM($S$6:S63))</f>
        <v>0</v>
      </c>
      <c r="C63" s="1183"/>
      <c r="D63" s="1184" t="s">
        <v>176</v>
      </c>
      <c r="E63" s="1175" t="s">
        <v>105</v>
      </c>
      <c r="F63" s="1176">
        <v>3</v>
      </c>
      <c r="G63" s="1176" t="s">
        <v>3143</v>
      </c>
      <c r="H63" s="1177" t="s">
        <v>1609</v>
      </c>
      <c r="I63" s="1175" t="s">
        <v>7741</v>
      </c>
      <c r="J63" s="1175" t="s">
        <v>7667</v>
      </c>
      <c r="K63" s="1175" t="s">
        <v>7666</v>
      </c>
      <c r="L63" s="1175" t="s">
        <v>7653</v>
      </c>
      <c r="M63" s="1175" t="s">
        <v>7652</v>
      </c>
      <c r="N63" s="1175" t="s">
        <v>7651</v>
      </c>
      <c r="O63" s="1175" t="s">
        <v>7776</v>
      </c>
      <c r="P63" s="1175" t="s">
        <v>7777</v>
      </c>
      <c r="Q63" s="1175" t="s">
        <v>7778</v>
      </c>
      <c r="R63" s="1203" t="s">
        <v>7799</v>
      </c>
      <c r="S63" s="2137">
        <f>IF(COUNTIF(Psíquicos!$C$25:$E$36,E63)=0,0,1)</f>
        <v>0</v>
      </c>
      <c r="U63" s="1175" t="str">
        <f t="shared" si="4"/>
        <v>CIM</v>
      </c>
      <c r="V63" s="2491"/>
      <c r="W63" s="2491"/>
      <c r="X63" s="2491"/>
      <c r="Y63" s="2491"/>
      <c r="Z63" s="2491"/>
      <c r="AA63" s="2491"/>
      <c r="AB63" s="2491"/>
      <c r="AC63" s="2491"/>
      <c r="AD63" s="2491"/>
      <c r="AE63" s="2491"/>
      <c r="AF63" s="2491">
        <f>IF(ISNUMBER(SEARCH("&gt;",D63)),0,COUNTIF(Psíquicos!$AD$16:$AH$61,D63))</f>
        <v>0</v>
      </c>
      <c r="AG63" s="1175" t="str">
        <f>IF(AF63=0,"",VLOOKUP(D63,Psíquicos!$AD$11:$AK$64,8,FALSE))</f>
        <v/>
      </c>
      <c r="AH63" s="2606"/>
      <c r="AI63" s="2592"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1"/>
      <c r="W64" s="2491"/>
      <c r="X64" s="2491"/>
      <c r="Y64" s="2491"/>
      <c r="Z64" s="2491"/>
      <c r="AA64" s="2491"/>
      <c r="AB64" s="2491"/>
      <c r="AC64" s="2491"/>
      <c r="AD64" s="2491"/>
      <c r="AE64" s="2491"/>
      <c r="AF64" s="2491">
        <f>IF(ISNUMBER(SEARCH("&gt;",D64)),0,COUNTIF(Psíquicos!$AD$16:$AH$61,D64))</f>
        <v>0</v>
      </c>
      <c r="AG64" s="1175" t="str">
        <f>IF(AF64=0,"",VLOOKUP(D64,Psíquicos!$AD$11:$AK$64,8,FALSE))</f>
        <v/>
      </c>
      <c r="AH64" s="2606"/>
      <c r="AI64" s="2592" t="s">
        <v>177</v>
      </c>
    </row>
    <row r="65" spans="1:35" ht="12.75" customHeight="1" x14ac:dyDescent="0.2">
      <c r="A65" s="2143">
        <v>65</v>
      </c>
      <c r="B65" s="2135">
        <f>IF(OR(S65=0),0,SUM($S$6:S65))</f>
        <v>0</v>
      </c>
      <c r="C65" s="1183"/>
      <c r="D65" s="1184" t="s">
        <v>178</v>
      </c>
      <c r="E65" s="1175" t="s">
        <v>107</v>
      </c>
      <c r="F65" s="1176">
        <v>1</v>
      </c>
      <c r="G65" s="1176" t="s">
        <v>3143</v>
      </c>
      <c r="H65" s="1177" t="s">
        <v>1609</v>
      </c>
      <c r="I65" s="1175" t="s">
        <v>7615</v>
      </c>
      <c r="J65" s="1175" t="s">
        <v>7830</v>
      </c>
      <c r="K65" s="1175" t="s">
        <v>7831</v>
      </c>
      <c r="L65" s="1175" t="s">
        <v>7832</v>
      </c>
      <c r="M65" s="1175" t="s">
        <v>7833</v>
      </c>
      <c r="N65" s="1175" t="s">
        <v>7834</v>
      </c>
      <c r="O65" s="1175" t="s">
        <v>7835</v>
      </c>
      <c r="P65" s="1175" t="s">
        <v>7836</v>
      </c>
      <c r="Q65" s="1175" t="s">
        <v>7837</v>
      </c>
      <c r="R65" s="1203" t="s">
        <v>7838</v>
      </c>
      <c r="S65" s="2137">
        <f>IF(COUNTIF(Psíquicos!$C$25:$E$36,E65)=0,0,1)</f>
        <v>0</v>
      </c>
      <c r="U65" s="1175" t="str">
        <f t="shared" si="4"/>
        <v>FAC</v>
      </c>
      <c r="V65" s="2491" t="str">
        <f t="shared" ref="V65:V76" si="5">IF(ISNUMBER(_xlfn.NUMBERVALUE(MID(I65,SEARCH("+",I65)+1,3))),_xlfn.NUMBERVALUE(MID(I65,SEARCH("+",I65)+1,3)),"")</f>
        <v/>
      </c>
      <c r="W65" s="2491">
        <f t="shared" ref="W65:W76" si="6">IF(ISNUMBER(_xlfn.NUMBERVALUE(MID(J65,SEARCH("+",J65)+1,3))),_xlfn.NUMBERVALUE(MID(J65,SEARCH("+",J65)+1,3)),"")</f>
        <v>10</v>
      </c>
      <c r="X65" s="2491">
        <f t="shared" ref="X65:X76" si="7">IF(ISNUMBER(_xlfn.NUMBERVALUE(MID(K65,SEARCH("+",K65)+1,3))),_xlfn.NUMBERVALUE(MID(K65,SEARCH("+",K65)+1,3)),"")</f>
        <v>20</v>
      </c>
      <c r="Y65" s="2491">
        <f t="shared" ref="Y65:Y76" si="8">IF(ISNUMBER(_xlfn.NUMBERVALUE(MID(L65,SEARCH("+",L65)+1,3))),_xlfn.NUMBERVALUE(MID(L65,SEARCH("+",L65)+1,3)),"")</f>
        <v>40</v>
      </c>
      <c r="Z65" s="2491">
        <f t="shared" ref="Z65:Z76" si="9">IF(ISNUMBER(_xlfn.NUMBERVALUE(MID(M65,SEARCH("+",M65)+1,3))),_xlfn.NUMBERVALUE(MID(M65,SEARCH("+",M65)+1,3)),"")</f>
        <v>80</v>
      </c>
      <c r="AA65" s="2491">
        <f t="shared" ref="AA65:AA76" si="10">IF(ISNUMBER(_xlfn.NUMBERVALUE(MID(N65,SEARCH("+",N65)+1,3))),_xlfn.NUMBERVALUE(MID(N65,SEARCH("+",N65)+1,3)),"")</f>
        <v>120</v>
      </c>
      <c r="AB65" s="2491">
        <f t="shared" ref="AB65:AB76" si="11">IF(ISNUMBER(_xlfn.NUMBERVALUE(MID(O65,SEARCH("+",O65)+1,3))),_xlfn.NUMBERVALUE(MID(O65,SEARCH("+",O65)+1,3)),"")</f>
        <v>180</v>
      </c>
      <c r="AC65" s="2491">
        <f t="shared" ref="AC65:AC76" si="12">IF(ISNUMBER(_xlfn.NUMBERVALUE(MID(P65,SEARCH("+",P65)+1,3))),_xlfn.NUMBERVALUE(MID(P65,SEARCH("+",P65)+1,3)),"")</f>
        <v>220</v>
      </c>
      <c r="AD65" s="2491">
        <f t="shared" ref="AD65:AD76" si="13">IF(ISNUMBER(_xlfn.NUMBERVALUE(MID(Q65,SEARCH("+",Q65)+1,3))),_xlfn.NUMBERVALUE(MID(Q65,SEARCH("+",Q65)+1,3)),"")</f>
        <v>280</v>
      </c>
      <c r="AE65" s="2491">
        <f t="shared" ref="AE65:AE76" si="14">IF(ISNUMBER(_xlfn.NUMBERVALUE(MID(R65,SEARCH("+",R65)+1,3))),_xlfn.NUMBERVALUE(MID(R65,SEARCH("+",R65)+1,3)),"")</f>
        <v>320</v>
      </c>
      <c r="AF65" s="2491">
        <f>IF(ISNUMBER(SEARCH("&gt;",D65)),0,COUNTIF(Psíquicos!$AD$16:$AH$61,D65))</f>
        <v>0</v>
      </c>
      <c r="AG65" s="1175" t="str">
        <f>IF(AF65=0,"",VLOOKUP(D65,Psíquicos!$AD$11:$AK$64,8,FALSE))</f>
        <v/>
      </c>
      <c r="AH65" s="2606">
        <f>VALUE(IF('Tablas psiquica'!$AF65&gt;0,INDEX('Tablas psiquica'!$V65:$AE65,MATCH('Tablas psiquica'!$AG65,'Tablas psiquica'!$V$6:$AE$6,0)),0))</f>
        <v>0</v>
      </c>
      <c r="AI65" s="2592" t="s">
        <v>178</v>
      </c>
    </row>
    <row r="66" spans="1:35" ht="12.75" customHeight="1" x14ac:dyDescent="0.2">
      <c r="A66" s="2143">
        <v>66</v>
      </c>
      <c r="B66" s="2135">
        <f>IF(OR(S66=0),0,SUM($S$6:S66))</f>
        <v>0</v>
      </c>
      <c r="C66" s="1183"/>
      <c r="D66" s="1184" t="s">
        <v>179</v>
      </c>
      <c r="E66" s="1175" t="s">
        <v>107</v>
      </c>
      <c r="F66" s="1176">
        <v>1</v>
      </c>
      <c r="G66" s="1176" t="s">
        <v>3143</v>
      </c>
      <c r="H66" s="1177" t="s">
        <v>1609</v>
      </c>
      <c r="I66" s="1175" t="s">
        <v>7615</v>
      </c>
      <c r="J66" s="1175" t="s">
        <v>7839</v>
      </c>
      <c r="K66" s="1175" t="s">
        <v>7840</v>
      </c>
      <c r="L66" s="1175" t="s">
        <v>7841</v>
      </c>
      <c r="M66" s="1175" t="s">
        <v>7842</v>
      </c>
      <c r="N66" s="1175" t="s">
        <v>7843</v>
      </c>
      <c r="O66" s="1175" t="s">
        <v>7844</v>
      </c>
      <c r="P66" s="1175" t="s">
        <v>7845</v>
      </c>
      <c r="Q66" s="1175" t="s">
        <v>7846</v>
      </c>
      <c r="R66" s="1203" t="s">
        <v>7847</v>
      </c>
      <c r="S66" s="2137">
        <f>IF(COUNTIF(Psíquicos!$C$25:$E$36,E66)=0,0,1)</f>
        <v>0</v>
      </c>
      <c r="U66" s="1175" t="str">
        <f t="shared" si="4"/>
        <v>FAC</v>
      </c>
      <c r="V66" s="2491" t="str">
        <f t="shared" si="5"/>
        <v/>
      </c>
      <c r="W66" s="2491">
        <f t="shared" si="6"/>
        <v>10</v>
      </c>
      <c r="X66" s="2491">
        <f t="shared" si="7"/>
        <v>20</v>
      </c>
      <c r="Y66" s="2491">
        <f t="shared" si="8"/>
        <v>40</v>
      </c>
      <c r="Z66" s="2491">
        <f t="shared" si="9"/>
        <v>80</v>
      </c>
      <c r="AA66" s="2491">
        <f t="shared" si="10"/>
        <v>120</v>
      </c>
      <c r="AB66" s="2491">
        <f t="shared" si="11"/>
        <v>180</v>
      </c>
      <c r="AC66" s="2491">
        <f t="shared" si="12"/>
        <v>220</v>
      </c>
      <c r="AD66" s="2491">
        <f t="shared" si="13"/>
        <v>280</v>
      </c>
      <c r="AE66" s="2491">
        <f t="shared" si="14"/>
        <v>320</v>
      </c>
      <c r="AF66" s="2491">
        <f>IF(ISNUMBER(SEARCH("&gt;",D66)),0,COUNTIF(Psíquicos!$AD$16:$AH$61,D66))</f>
        <v>0</v>
      </c>
      <c r="AG66" s="1175" t="str">
        <f>IF(AF66=0,"",VLOOKUP(D66,Psíquicos!$AD$11:$AK$64,8,FALSE))</f>
        <v/>
      </c>
      <c r="AH66" s="2606">
        <f>VALUE(IF('Tablas psiquica'!$AF66&gt;0,INDEX('Tablas psiquica'!$V66:$AE66,MATCH('Tablas psiquica'!$AG66,'Tablas psiquica'!$V$6:$AE$6,0)),0))</f>
        <v>0</v>
      </c>
      <c r="AI66" s="2592" t="s">
        <v>179</v>
      </c>
    </row>
    <row r="67" spans="1:35" ht="12.75" customHeight="1" x14ac:dyDescent="0.2">
      <c r="A67" s="2143">
        <v>67</v>
      </c>
      <c r="B67" s="2135">
        <f>IF(OR(S67=0),0,SUM($S$6:S67))</f>
        <v>0</v>
      </c>
      <c r="C67" s="1183"/>
      <c r="D67" s="1184" t="s">
        <v>180</v>
      </c>
      <c r="E67" s="1175" t="s">
        <v>107</v>
      </c>
      <c r="F67" s="1176">
        <v>1</v>
      </c>
      <c r="G67" s="1176" t="s">
        <v>3143</v>
      </c>
      <c r="H67" s="1177" t="s">
        <v>1609</v>
      </c>
      <c r="I67" s="1175" t="s">
        <v>7651</v>
      </c>
      <c r="J67" s="1175" t="s">
        <v>7615</v>
      </c>
      <c r="K67" s="1175" t="s">
        <v>7848</v>
      </c>
      <c r="L67" s="1175" t="s">
        <v>7849</v>
      </c>
      <c r="M67" s="1175" t="s">
        <v>7850</v>
      </c>
      <c r="N67" s="1175" t="s">
        <v>7851</v>
      </c>
      <c r="O67" s="1175" t="s">
        <v>7852</v>
      </c>
      <c r="P67" s="1175" t="s">
        <v>7853</v>
      </c>
      <c r="Q67" s="1175" t="s">
        <v>7854</v>
      </c>
      <c r="R67" s="1203" t="s">
        <v>7855</v>
      </c>
      <c r="S67" s="2137">
        <f>IF(COUNTIF(Psíquicos!$C$25:$E$36,E67)=0,0,1)</f>
        <v>0</v>
      </c>
      <c r="U67" s="1175" t="str">
        <f t="shared" si="4"/>
        <v>MED</v>
      </c>
      <c r="V67" s="2491" t="str">
        <f t="shared" si="5"/>
        <v/>
      </c>
      <c r="W67" s="2491" t="str">
        <f t="shared" si="6"/>
        <v/>
      </c>
      <c r="X67" s="2491">
        <f t="shared" si="7"/>
        <v>1</v>
      </c>
      <c r="Y67" s="2491">
        <f t="shared" si="8"/>
        <v>2</v>
      </c>
      <c r="Z67" s="2491">
        <f t="shared" si="9"/>
        <v>3</v>
      </c>
      <c r="AA67" s="2491">
        <f t="shared" si="10"/>
        <v>4</v>
      </c>
      <c r="AB67" s="2491">
        <f t="shared" si="11"/>
        <v>5</v>
      </c>
      <c r="AC67" s="2491">
        <f t="shared" si="12"/>
        <v>6</v>
      </c>
      <c r="AD67" s="2491">
        <f t="shared" si="13"/>
        <v>8</v>
      </c>
      <c r="AE67" s="2491">
        <f t="shared" si="14"/>
        <v>10</v>
      </c>
      <c r="AF67" s="2491">
        <f>IF(ISNUMBER(SEARCH("&gt;",D67)),0,COUNTIF(Psíquicos!$AD$16:$AH$61,D67))</f>
        <v>0</v>
      </c>
      <c r="AG67" s="1175" t="str">
        <f>IF(AF67=0,"",VLOOKUP(D67,Psíquicos!$AD$11:$AK$64,8,FALSE))</f>
        <v/>
      </c>
      <c r="AH67" s="2606">
        <f>VALUE(IF('Tablas psiquica'!$AF67&gt;0,INDEX('Tablas psiquica'!$V67:$AE67,MATCH('Tablas psiquica'!$AG67,'Tablas psiquica'!$V$6:$AE$6,0)),0))</f>
        <v>0</v>
      </c>
      <c r="AI67" s="2592" t="s">
        <v>180</v>
      </c>
    </row>
    <row r="68" spans="1:35" ht="12.75" customHeight="1" x14ac:dyDescent="0.2">
      <c r="A68" s="2143">
        <v>68</v>
      </c>
      <c r="B68" s="2135">
        <f>IF(OR(S68=0),0,SUM($S$6:S68))</f>
        <v>0</v>
      </c>
      <c r="C68" s="1183"/>
      <c r="D68" s="1184" t="s">
        <v>2011</v>
      </c>
      <c r="E68" s="1175" t="s">
        <v>107</v>
      </c>
      <c r="F68" s="1176">
        <v>1</v>
      </c>
      <c r="G68" s="1176" t="s">
        <v>3143</v>
      </c>
      <c r="H68" s="1177" t="s">
        <v>1609</v>
      </c>
      <c r="I68" s="1175" t="s">
        <v>7651</v>
      </c>
      <c r="J68" s="1175" t="s">
        <v>7615</v>
      </c>
      <c r="K68" s="1175" t="s">
        <v>2011</v>
      </c>
      <c r="L68" s="1175" t="s">
        <v>9307</v>
      </c>
      <c r="M68" s="1175" t="s">
        <v>7856</v>
      </c>
      <c r="N68" s="1175" t="s">
        <v>7857</v>
      </c>
      <c r="O68" s="1175" t="s">
        <v>7858</v>
      </c>
      <c r="P68" s="1175" t="s">
        <v>7859</v>
      </c>
      <c r="Q68" s="1175" t="s">
        <v>7860</v>
      </c>
      <c r="R68" s="1203" t="s">
        <v>7861</v>
      </c>
      <c r="S68" s="2137">
        <f>IF(COUNTIF(Psíquicos!$C$25:$E$36,E68)=0,0,1)</f>
        <v>0</v>
      </c>
      <c r="U68" s="1175" t="str">
        <f t="shared" si="4"/>
        <v>MED</v>
      </c>
      <c r="V68" s="2491" t="str">
        <f t="shared" si="5"/>
        <v/>
      </c>
      <c r="W68" s="2491" t="str">
        <f t="shared" si="6"/>
        <v/>
      </c>
      <c r="X68" s="2491">
        <v>0</v>
      </c>
      <c r="Y68" s="2491">
        <f t="shared" si="8"/>
        <v>5</v>
      </c>
      <c r="Z68" s="2491">
        <f t="shared" si="9"/>
        <v>10</v>
      </c>
      <c r="AA68" s="2491">
        <f t="shared" si="10"/>
        <v>20</v>
      </c>
      <c r="AB68" s="2491">
        <f t="shared" si="11"/>
        <v>30</v>
      </c>
      <c r="AC68" s="2491">
        <f t="shared" si="12"/>
        <v>40</v>
      </c>
      <c r="AD68" s="2491">
        <f t="shared" si="13"/>
        <v>60</v>
      </c>
      <c r="AE68" s="2491">
        <f t="shared" si="14"/>
        <v>80</v>
      </c>
      <c r="AF68" s="2491">
        <f>IF(ISNUMBER(SEARCH("&gt;",D68)),0,COUNTIF(Psíquicos!$AD$16:$AH$61,D68))</f>
        <v>0</v>
      </c>
      <c r="AG68" s="1175" t="str">
        <f>IF(AF68=0,"",VLOOKUP(D68,Psíquicos!$AD$11:$AK$64,8,FALSE))</f>
        <v/>
      </c>
      <c r="AH68" s="2606">
        <f>VALUE(IF('Tablas psiquica'!$AF68&gt;0,INDEX('Tablas psiquica'!$V68:$AE68,MATCH('Tablas psiquica'!$AG68,'Tablas psiquica'!$V$6:$AE$6,0)),0))</f>
        <v>0</v>
      </c>
      <c r="AI68" s="2592" t="s">
        <v>2011</v>
      </c>
    </row>
    <row r="69" spans="1:35" ht="12.75" customHeight="1" x14ac:dyDescent="0.2">
      <c r="A69" s="2143">
        <v>69</v>
      </c>
      <c r="B69" s="2135">
        <f>IF(OR(S69=0),0,SUM($S$6:S69))</f>
        <v>0</v>
      </c>
      <c r="C69" s="1183"/>
      <c r="D69" s="1184" t="s">
        <v>181</v>
      </c>
      <c r="E69" s="1175" t="s">
        <v>107</v>
      </c>
      <c r="F69" s="1176">
        <v>1</v>
      </c>
      <c r="G69" s="1176" t="s">
        <v>3143</v>
      </c>
      <c r="H69" s="1177" t="s">
        <v>1609</v>
      </c>
      <c r="I69" s="1175" t="s">
        <v>7651</v>
      </c>
      <c r="J69" s="1175" t="s">
        <v>7615</v>
      </c>
      <c r="K69" s="1175" t="s">
        <v>7848</v>
      </c>
      <c r="L69" s="1175" t="s">
        <v>7862</v>
      </c>
      <c r="M69" s="1175" t="s">
        <v>7863</v>
      </c>
      <c r="N69" s="1175" t="s">
        <v>7864</v>
      </c>
      <c r="O69" s="1175" t="s">
        <v>7865</v>
      </c>
      <c r="P69" s="1175" t="s">
        <v>7866</v>
      </c>
      <c r="Q69" s="1175" t="s">
        <v>7867</v>
      </c>
      <c r="R69" s="1203" t="s">
        <v>7868</v>
      </c>
      <c r="S69" s="2137">
        <f>IF(COUNTIF(Psíquicos!$C$25:$E$36,E69)=0,0,1)</f>
        <v>0</v>
      </c>
      <c r="U69" s="1175" t="str">
        <f t="shared" si="4"/>
        <v>MED</v>
      </c>
      <c r="V69" s="2491" t="str">
        <f t="shared" si="5"/>
        <v/>
      </c>
      <c r="W69" s="2491" t="str">
        <f t="shared" si="6"/>
        <v/>
      </c>
      <c r="X69" s="2491">
        <f t="shared" si="7"/>
        <v>1</v>
      </c>
      <c r="Y69" s="2491">
        <f t="shared" si="8"/>
        <v>1</v>
      </c>
      <c r="Z69" s="2491">
        <f t="shared" si="9"/>
        <v>2</v>
      </c>
      <c r="AA69" s="2491">
        <f t="shared" si="10"/>
        <v>3</v>
      </c>
      <c r="AB69" s="2491">
        <f t="shared" si="11"/>
        <v>4</v>
      </c>
      <c r="AC69" s="2491">
        <f t="shared" si="12"/>
        <v>5</v>
      </c>
      <c r="AD69" s="2491">
        <f t="shared" si="13"/>
        <v>6</v>
      </c>
      <c r="AE69" s="2491">
        <f t="shared" si="14"/>
        <v>8</v>
      </c>
      <c r="AF69" s="2491">
        <f>IF(ISNUMBER(SEARCH("&gt;",D69)),0,COUNTIF(Psíquicos!$AD$16:$AH$61,D69))</f>
        <v>0</v>
      </c>
      <c r="AG69" s="1175" t="str">
        <f>IF(AF69=0,"",VLOOKUP(D69,Psíquicos!$AD$11:$AK$64,8,FALSE))</f>
        <v/>
      </c>
      <c r="AH69" s="2606">
        <f>VALUE(IF('Tablas psiquica'!$AF69&gt;0,INDEX('Tablas psiquica'!$V69:$AE69,MATCH('Tablas psiquica'!$AG69,'Tablas psiquica'!$V$6:$AE$6,0)),0))</f>
        <v>0</v>
      </c>
      <c r="AI69" s="2592" t="s">
        <v>181</v>
      </c>
    </row>
    <row r="70" spans="1:35" ht="12.75" customHeight="1" x14ac:dyDescent="0.2">
      <c r="A70" s="2143">
        <v>70</v>
      </c>
      <c r="B70" s="2135">
        <f>IF(OR(S70=0),0,SUM($S$6:S70))</f>
        <v>0</v>
      </c>
      <c r="C70" s="1183"/>
      <c r="D70" s="1184" t="s">
        <v>182</v>
      </c>
      <c r="E70" s="1175" t="s">
        <v>107</v>
      </c>
      <c r="F70" s="1176">
        <v>1</v>
      </c>
      <c r="G70" s="1176" t="s">
        <v>3143</v>
      </c>
      <c r="H70" s="1177" t="s">
        <v>1609</v>
      </c>
      <c r="I70" s="1175" t="s">
        <v>7651</v>
      </c>
      <c r="J70" s="1175" t="s">
        <v>7615</v>
      </c>
      <c r="K70" s="1175" t="s">
        <v>7869</v>
      </c>
      <c r="L70" s="1175" t="s">
        <v>7870</v>
      </c>
      <c r="M70" s="1175" t="s">
        <v>7871</v>
      </c>
      <c r="N70" s="1175" t="s">
        <v>7872</v>
      </c>
      <c r="O70" s="1175" t="s">
        <v>7873</v>
      </c>
      <c r="P70" s="1175" t="s">
        <v>7874</v>
      </c>
      <c r="Q70" s="1175" t="s">
        <v>7875</v>
      </c>
      <c r="R70" s="1203" t="s">
        <v>7876</v>
      </c>
      <c r="S70" s="2137">
        <f>IF(COUNTIF(Psíquicos!$C$25:$E$36,E70)=0,0,1)</f>
        <v>0</v>
      </c>
      <c r="U70" s="1175" t="str">
        <f t="shared" si="4"/>
        <v>MED</v>
      </c>
      <c r="V70" s="2491" t="str">
        <f t="shared" si="5"/>
        <v/>
      </c>
      <c r="W70" s="2491" t="str">
        <f t="shared" si="6"/>
        <v/>
      </c>
      <c r="X70" s="2491">
        <f t="shared" si="7"/>
        <v>1</v>
      </c>
      <c r="Y70" s="2491">
        <f t="shared" si="8"/>
        <v>2</v>
      </c>
      <c r="Z70" s="2491">
        <f t="shared" si="9"/>
        <v>3</v>
      </c>
      <c r="AA70" s="2491">
        <f t="shared" si="10"/>
        <v>4</v>
      </c>
      <c r="AB70" s="2491">
        <f t="shared" si="11"/>
        <v>5</v>
      </c>
      <c r="AC70" s="2491">
        <f t="shared" si="12"/>
        <v>6</v>
      </c>
      <c r="AD70" s="2491">
        <f t="shared" si="13"/>
        <v>8</v>
      </c>
      <c r="AE70" s="2491">
        <f t="shared" si="14"/>
        <v>10</v>
      </c>
      <c r="AF70" s="2491">
        <f>IF(ISNUMBER(SEARCH("&gt;",D70)),0,COUNTIF(Psíquicos!$AD$16:$AH$61,D70))</f>
        <v>0</v>
      </c>
      <c r="AG70" s="1175" t="str">
        <f>IF(AF70=0,"",VLOOKUP(D70,Psíquicos!$AD$11:$AK$64,8,FALSE))</f>
        <v/>
      </c>
      <c r="AH70" s="2606">
        <f>VALUE(IF('Tablas psiquica'!$AF70&gt;0,INDEX('Tablas psiquica'!$V70:$AE70,MATCH('Tablas psiquica'!$AG70,'Tablas psiquica'!$V$6:$AE$6,0)),0))</f>
        <v>0</v>
      </c>
      <c r="AI70" s="2592" t="s">
        <v>182</v>
      </c>
    </row>
    <row r="71" spans="1:35" ht="12.75" customHeight="1" x14ac:dyDescent="0.2">
      <c r="A71" s="2143">
        <v>71</v>
      </c>
      <c r="B71" s="2135">
        <f>IF(OR(S71=0),0,SUM($S$6:S71))</f>
        <v>0</v>
      </c>
      <c r="C71" s="1183"/>
      <c r="D71" s="1184" t="s">
        <v>183</v>
      </c>
      <c r="E71" s="1175" t="s">
        <v>107</v>
      </c>
      <c r="F71" s="1176">
        <v>2</v>
      </c>
      <c r="G71" s="1176" t="s">
        <v>3143</v>
      </c>
      <c r="H71" s="1177" t="s">
        <v>1609</v>
      </c>
      <c r="I71" s="1175" t="s">
        <v>7653</v>
      </c>
      <c r="J71" s="1175" t="s">
        <v>7651</v>
      </c>
      <c r="K71" s="1175" t="s">
        <v>7615</v>
      </c>
      <c r="L71" s="1175" t="s">
        <v>7877</v>
      </c>
      <c r="M71" s="1175" t="s">
        <v>7878</v>
      </c>
      <c r="N71" s="1175" t="s">
        <v>7879</v>
      </c>
      <c r="O71" s="1175" t="s">
        <v>7880</v>
      </c>
      <c r="P71" s="1175" t="s">
        <v>7881</v>
      </c>
      <c r="Q71" s="1175" t="s">
        <v>7882</v>
      </c>
      <c r="R71" s="1203" t="s">
        <v>7883</v>
      </c>
      <c r="S71" s="2137">
        <f>IF(COUNTIF(Psíquicos!$C$25:$E$36,E71)=0,0,1)</f>
        <v>0</v>
      </c>
      <c r="U71" s="1175" t="str">
        <f t="shared" ref="U71:U102" si="15">IF(OR(G71="No",ISNUMBER(SEARCH("&gt;",D71))),"",INDEX($I$6:$R$6,SUMPRODUCT(--(ISNUMBER(SEARCH("Fatiga",$I71:$R71))))+1))</f>
        <v>DIF</v>
      </c>
      <c r="V71" s="2491" t="str">
        <f t="shared" si="5"/>
        <v/>
      </c>
      <c r="W71" s="2491" t="str">
        <f t="shared" si="6"/>
        <v/>
      </c>
      <c r="X71" s="2491" t="str">
        <f t="shared" si="7"/>
        <v/>
      </c>
      <c r="Y71" s="2491">
        <f t="shared" si="8"/>
        <v>20</v>
      </c>
      <c r="Z71" s="2491">
        <f t="shared" si="9"/>
        <v>40</v>
      </c>
      <c r="AA71" s="2491">
        <f t="shared" si="10"/>
        <v>60</v>
      </c>
      <c r="AB71" s="2491">
        <f t="shared" si="11"/>
        <v>80</v>
      </c>
      <c r="AC71" s="2491">
        <f t="shared" si="12"/>
        <v>120</v>
      </c>
      <c r="AD71" s="2491">
        <f t="shared" si="13"/>
        <v>160</v>
      </c>
      <c r="AE71" s="2491">
        <f t="shared" si="14"/>
        <v>200</v>
      </c>
      <c r="AF71" s="2491">
        <f>IF(ISNUMBER(SEARCH("&gt;",D71)),0,COUNTIF(Psíquicos!$AD$16:$AH$61,D71))</f>
        <v>0</v>
      </c>
      <c r="AG71" s="1175" t="str">
        <f>IF(AF71=0,"",VLOOKUP(D71,Psíquicos!$AD$11:$AK$64,8,FALSE))</f>
        <v/>
      </c>
      <c r="AH71" s="2606">
        <f>VALUE(IF('Tablas psiquica'!$AF71&gt;0,INDEX('Tablas psiquica'!$V71:$AE71,MATCH('Tablas psiquica'!$AG71,'Tablas psiquica'!$V$6:$AE$6,0)),0))</f>
        <v>0</v>
      </c>
      <c r="AI71" s="2592" t="s">
        <v>183</v>
      </c>
    </row>
    <row r="72" spans="1:35" ht="12.75" customHeight="1" x14ac:dyDescent="0.2">
      <c r="A72" s="2143">
        <v>72</v>
      </c>
      <c r="B72" s="2135">
        <f>IF(OR(S72=0),0,SUM($S$6:S72))</f>
        <v>0</v>
      </c>
      <c r="C72" s="1183"/>
      <c r="D72" s="1184" t="s">
        <v>184</v>
      </c>
      <c r="E72" s="1175" t="s">
        <v>107</v>
      </c>
      <c r="F72" s="1176">
        <v>2</v>
      </c>
      <c r="G72" s="1176" t="s">
        <v>3143</v>
      </c>
      <c r="H72" s="1177" t="s">
        <v>1609</v>
      </c>
      <c r="I72" s="1175" t="s">
        <v>7653</v>
      </c>
      <c r="J72" s="1175" t="s">
        <v>7651</v>
      </c>
      <c r="K72" s="1175" t="s">
        <v>7615</v>
      </c>
      <c r="L72" s="1175" t="s">
        <v>7884</v>
      </c>
      <c r="M72" s="1175" t="s">
        <v>7885</v>
      </c>
      <c r="N72" s="1175" t="s">
        <v>7886</v>
      </c>
      <c r="O72" s="1175" t="s">
        <v>7887</v>
      </c>
      <c r="P72" s="1175" t="s">
        <v>7888</v>
      </c>
      <c r="Q72" s="1175" t="s">
        <v>7889</v>
      </c>
      <c r="R72" s="1203" t="s">
        <v>7890</v>
      </c>
      <c r="S72" s="2137">
        <f>IF(COUNTIF(Psíquicos!$C$25:$E$36,E72)=0,0,1)</f>
        <v>0</v>
      </c>
      <c r="U72" s="1175" t="str">
        <f t="shared" si="15"/>
        <v>DIF</v>
      </c>
      <c r="V72" s="2491" t="str">
        <f t="shared" si="5"/>
        <v/>
      </c>
      <c r="W72" s="2491" t="str">
        <f t="shared" si="6"/>
        <v/>
      </c>
      <c r="X72" s="2491" t="str">
        <f t="shared" si="7"/>
        <v/>
      </c>
      <c r="Y72" s="2491">
        <f t="shared" si="8"/>
        <v>1</v>
      </c>
      <c r="Z72" s="2491">
        <f t="shared" si="9"/>
        <v>2</v>
      </c>
      <c r="AA72" s="2491">
        <f t="shared" si="10"/>
        <v>3</v>
      </c>
      <c r="AB72" s="2491">
        <f t="shared" si="11"/>
        <v>4</v>
      </c>
      <c r="AC72" s="2491">
        <f t="shared" si="12"/>
        <v>5</v>
      </c>
      <c r="AD72" s="2491">
        <f t="shared" si="13"/>
        <v>6</v>
      </c>
      <c r="AE72" s="2491">
        <f t="shared" si="14"/>
        <v>8</v>
      </c>
      <c r="AF72" s="2491">
        <f>IF(ISNUMBER(SEARCH("&gt;",D72)),0,COUNTIF(Psíquicos!$AD$16:$AH$61,D72))</f>
        <v>0</v>
      </c>
      <c r="AG72" s="1175" t="str">
        <f>IF(AF72=0,"",VLOOKUP(D72,Psíquicos!$AD$11:$AK$64,8,FALSE))</f>
        <v/>
      </c>
      <c r="AH72" s="2606">
        <f>VALUE(IF('Tablas psiquica'!$AF72&gt;0,INDEX('Tablas psiquica'!$V72:$AE72,MATCH('Tablas psiquica'!$AG72,'Tablas psiquica'!$V$6:$AE$6,0)),0))</f>
        <v>0</v>
      </c>
      <c r="AI72" s="2592" t="s">
        <v>184</v>
      </c>
    </row>
    <row r="73" spans="1:35" ht="12.75" customHeight="1" x14ac:dyDescent="0.2">
      <c r="A73" s="2143">
        <v>73</v>
      </c>
      <c r="B73" s="2135">
        <f>IF(OR(S73=0),0,SUM($S$6:S73))</f>
        <v>0</v>
      </c>
      <c r="C73" s="1183"/>
      <c r="D73" s="1184" t="s">
        <v>185</v>
      </c>
      <c r="E73" s="1175" t="s">
        <v>107</v>
      </c>
      <c r="F73" s="1176">
        <v>2</v>
      </c>
      <c r="G73" s="1176" t="s">
        <v>3143</v>
      </c>
      <c r="H73" s="1177" t="s">
        <v>1610</v>
      </c>
      <c r="I73" s="1175" t="s">
        <v>7653</v>
      </c>
      <c r="J73" s="1175" t="s">
        <v>7651</v>
      </c>
      <c r="K73" s="1175" t="s">
        <v>7615</v>
      </c>
      <c r="L73" s="1175" t="s">
        <v>7891</v>
      </c>
      <c r="M73" s="1175" t="s">
        <v>7892</v>
      </c>
      <c r="N73" s="1175" t="s">
        <v>7893</v>
      </c>
      <c r="O73" s="1175" t="s">
        <v>7894</v>
      </c>
      <c r="P73" s="1175" t="s">
        <v>7895</v>
      </c>
      <c r="Q73" s="1175" t="s">
        <v>7896</v>
      </c>
      <c r="R73" s="1203" t="s">
        <v>7897</v>
      </c>
      <c r="S73" s="2137">
        <f>IF(COUNTIF(Psíquicos!$C$25:$E$36,E73)=0,0,1)</f>
        <v>0</v>
      </c>
      <c r="U73" s="1175" t="str">
        <f t="shared" si="15"/>
        <v>DIF</v>
      </c>
      <c r="V73" s="2491" t="str">
        <f t="shared" si="5"/>
        <v/>
      </c>
      <c r="W73" s="2491" t="str">
        <f t="shared" si="6"/>
        <v/>
      </c>
      <c r="X73" s="2491" t="str">
        <f t="shared" si="7"/>
        <v/>
      </c>
      <c r="Y73" s="2491">
        <f t="shared" si="8"/>
        <v>10</v>
      </c>
      <c r="Z73" s="2491">
        <f t="shared" si="9"/>
        <v>20</v>
      </c>
      <c r="AA73" s="2491">
        <f t="shared" si="10"/>
        <v>40</v>
      </c>
      <c r="AB73" s="2491">
        <f t="shared" si="11"/>
        <v>80</v>
      </c>
      <c r="AC73" s="2491">
        <f t="shared" si="12"/>
        <v>120</v>
      </c>
      <c r="AD73" s="2491">
        <f t="shared" si="13"/>
        <v>160</v>
      </c>
      <c r="AE73" s="2491">
        <f t="shared" si="14"/>
        <v>200</v>
      </c>
      <c r="AF73" s="2491">
        <f>IF(ISNUMBER(SEARCH("&gt;",D73)),0,COUNTIF(Psíquicos!$AD$16:$AH$61,D73))</f>
        <v>0</v>
      </c>
      <c r="AG73" s="1175" t="str">
        <f>IF(AF73=0,"",VLOOKUP(D73,Psíquicos!$AD$11:$AK$64,8,FALSE))</f>
        <v/>
      </c>
      <c r="AH73" s="2606">
        <f>VALUE(IF('Tablas psiquica'!$AF73&gt;0,INDEX('Tablas psiquica'!$V73:$AE73,MATCH('Tablas psiquica'!$AG73,'Tablas psiquica'!$V$6:$AE$6,0)),0))</f>
        <v>0</v>
      </c>
      <c r="AI73" s="2592" t="s">
        <v>185</v>
      </c>
    </row>
    <row r="74" spans="1:35" ht="12.75" customHeight="1" x14ac:dyDescent="0.2">
      <c r="A74" s="2143">
        <v>74</v>
      </c>
      <c r="B74" s="2135">
        <f>IF(OR(S74=0),0,SUM($S$6:S74))</f>
        <v>0</v>
      </c>
      <c r="C74" s="1183"/>
      <c r="D74" s="1184" t="s">
        <v>1680</v>
      </c>
      <c r="E74" s="1175" t="s">
        <v>107</v>
      </c>
      <c r="F74" s="1176">
        <v>2</v>
      </c>
      <c r="G74" s="1176" t="s">
        <v>3143</v>
      </c>
      <c r="H74" s="1177" t="s">
        <v>1609</v>
      </c>
      <c r="I74" s="1175" t="s">
        <v>7653</v>
      </c>
      <c r="J74" s="1175" t="s">
        <v>7652</v>
      </c>
      <c r="K74" s="1175" t="s">
        <v>7651</v>
      </c>
      <c r="L74" s="1175" t="s">
        <v>7898</v>
      </c>
      <c r="M74" s="1175" t="s">
        <v>7899</v>
      </c>
      <c r="N74" s="1175" t="s">
        <v>7900</v>
      </c>
      <c r="O74" s="1175" t="s">
        <v>7901</v>
      </c>
      <c r="P74" s="1175" t="s">
        <v>7902</v>
      </c>
      <c r="Q74" s="1175" t="s">
        <v>7903</v>
      </c>
      <c r="R74" s="1203" t="s">
        <v>7904</v>
      </c>
      <c r="S74" s="2137">
        <f>IF(COUNTIF(Psíquicos!$C$25:$E$36,E74)=0,0,1)</f>
        <v>0</v>
      </c>
      <c r="U74" s="1175" t="str">
        <f t="shared" si="15"/>
        <v>DIF</v>
      </c>
      <c r="V74" s="2491" t="str">
        <f t="shared" si="5"/>
        <v/>
      </c>
      <c r="W74" s="2491" t="str">
        <f t="shared" si="6"/>
        <v/>
      </c>
      <c r="X74" s="2491" t="str">
        <f t="shared" si="7"/>
        <v/>
      </c>
      <c r="Y74" s="2491">
        <f t="shared" si="8"/>
        <v>1</v>
      </c>
      <c r="Z74" s="2491">
        <f t="shared" si="9"/>
        <v>2</v>
      </c>
      <c r="AA74" s="2491">
        <f t="shared" si="10"/>
        <v>4</v>
      </c>
      <c r="AB74" s="2491">
        <f t="shared" si="11"/>
        <v>6</v>
      </c>
      <c r="AC74" s="2491">
        <f t="shared" si="12"/>
        <v>8</v>
      </c>
      <c r="AD74" s="2491">
        <f t="shared" si="13"/>
        <v>10</v>
      </c>
      <c r="AE74" s="2491">
        <f t="shared" si="14"/>
        <v>12</v>
      </c>
      <c r="AF74" s="2491">
        <f>IF(ISNUMBER(SEARCH("&gt;",D74)),0,COUNTIF(Psíquicos!$AD$16:$AH$61,D74))</f>
        <v>0</v>
      </c>
      <c r="AG74" s="1175" t="str">
        <f>IF(AF74=0,"",VLOOKUP(D74,Psíquicos!$AD$11:$AK$64,8,FALSE))</f>
        <v/>
      </c>
      <c r="AH74" s="2606">
        <f>VALUE(IF('Tablas psiquica'!$AF74&gt;0,INDEX('Tablas psiquica'!$V74:$AE74,MATCH('Tablas psiquica'!$AG74,'Tablas psiquica'!$V$6:$AE$6,0)),0))</f>
        <v>0</v>
      </c>
      <c r="AI74" s="2592"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7667</v>
      </c>
      <c r="J75" s="1175" t="s">
        <v>7666</v>
      </c>
      <c r="K75" s="1175" t="s">
        <v>7653</v>
      </c>
      <c r="L75" s="1175" t="s">
        <v>7652</v>
      </c>
      <c r="M75" s="1175" t="s">
        <v>7651</v>
      </c>
      <c r="N75" s="1175" t="s">
        <v>7905</v>
      </c>
      <c r="O75" s="1175" t="s">
        <v>7906</v>
      </c>
      <c r="P75" s="1175" t="s">
        <v>7907</v>
      </c>
      <c r="Q75" s="1175" t="s">
        <v>7908</v>
      </c>
      <c r="R75" s="1203" t="s">
        <v>7909</v>
      </c>
      <c r="S75" s="2137">
        <f>IF(COUNTIF(Psíquicos!$C$25:$E$36,E75)=0,0,1)</f>
        <v>0</v>
      </c>
      <c r="U75" s="1175" t="str">
        <f t="shared" si="15"/>
        <v/>
      </c>
      <c r="V75" s="2491" t="str">
        <f t="shared" si="5"/>
        <v/>
      </c>
      <c r="W75" s="2491" t="str">
        <f t="shared" si="6"/>
        <v/>
      </c>
      <c r="X75" s="2491" t="str">
        <f t="shared" si="7"/>
        <v/>
      </c>
      <c r="Y75" s="2491" t="str">
        <f t="shared" si="8"/>
        <v/>
      </c>
      <c r="Z75" s="2491" t="str">
        <f t="shared" si="9"/>
        <v/>
      </c>
      <c r="AA75" s="2491" t="str">
        <f t="shared" si="10"/>
        <v/>
      </c>
      <c r="AB75" s="2491" t="str">
        <f t="shared" si="11"/>
        <v/>
      </c>
      <c r="AC75" s="2491" t="str">
        <f t="shared" si="12"/>
        <v/>
      </c>
      <c r="AD75" s="2491" t="str">
        <f t="shared" si="13"/>
        <v/>
      </c>
      <c r="AE75" s="2491" t="str">
        <f t="shared" si="14"/>
        <v/>
      </c>
      <c r="AF75" s="2491">
        <f>IF(ISNUMBER(SEARCH("&gt;",D75)),0,COUNTIF(Psíquicos!$AD$16:$AH$61,D75))</f>
        <v>0</v>
      </c>
      <c r="AG75" s="1175" t="str">
        <f>IF(AF75=0,"",VLOOKUP(D75,Psíquicos!$AD$11:$AK$64,8,FALSE))</f>
        <v/>
      </c>
      <c r="AH75" s="2606"/>
      <c r="AI75" s="2592" t="s">
        <v>186</v>
      </c>
    </row>
    <row r="76" spans="1:35" ht="12.75" customHeight="1" x14ac:dyDescent="0.2">
      <c r="A76" s="2143">
        <v>76</v>
      </c>
      <c r="B76" s="2135">
        <f>IF(OR(S76=0),0,SUM($S$6:S76))</f>
        <v>0</v>
      </c>
      <c r="C76" s="1183"/>
      <c r="D76" s="1184" t="s">
        <v>187</v>
      </c>
      <c r="E76" s="1175" t="s">
        <v>107</v>
      </c>
      <c r="F76" s="1176">
        <v>3</v>
      </c>
      <c r="G76" s="1176" t="s">
        <v>3143</v>
      </c>
      <c r="H76" s="1177" t="s">
        <v>1609</v>
      </c>
      <c r="I76" s="1175" t="s">
        <v>7667</v>
      </c>
      <c r="J76" s="1175" t="s">
        <v>7666</v>
      </c>
      <c r="K76" s="1175" t="s">
        <v>7653</v>
      </c>
      <c r="L76" s="1175" t="s">
        <v>7652</v>
      </c>
      <c r="M76" s="1175" t="s">
        <v>7651</v>
      </c>
      <c r="N76" s="1175" t="s">
        <v>7910</v>
      </c>
      <c r="O76" s="1175" t="s">
        <v>7911</v>
      </c>
      <c r="P76" s="1175" t="s">
        <v>7912</v>
      </c>
      <c r="Q76" s="1175" t="s">
        <v>7913</v>
      </c>
      <c r="R76" s="1203" t="s">
        <v>7914</v>
      </c>
      <c r="S76" s="2137">
        <f>IF(COUNTIF(Psíquicos!$C$25:$E$36,E76)=0,0,1)</f>
        <v>0</v>
      </c>
      <c r="U76" s="1175" t="str">
        <f t="shared" si="15"/>
        <v>ABS</v>
      </c>
      <c r="V76" s="2491" t="str">
        <f t="shared" si="5"/>
        <v/>
      </c>
      <c r="W76" s="2491" t="str">
        <f t="shared" si="6"/>
        <v/>
      </c>
      <c r="X76" s="2491" t="str">
        <f t="shared" si="7"/>
        <v/>
      </c>
      <c r="Y76" s="2491" t="str">
        <f t="shared" si="8"/>
        <v/>
      </c>
      <c r="Z76" s="2491" t="str">
        <f t="shared" si="9"/>
        <v/>
      </c>
      <c r="AA76" s="2491">
        <f t="shared" si="10"/>
        <v>1</v>
      </c>
      <c r="AB76" s="2491">
        <f t="shared" si="11"/>
        <v>2</v>
      </c>
      <c r="AC76" s="2491">
        <f t="shared" si="12"/>
        <v>4</v>
      </c>
      <c r="AD76" s="2491">
        <f t="shared" si="13"/>
        <v>6</v>
      </c>
      <c r="AE76" s="2491">
        <f t="shared" si="14"/>
        <v>8</v>
      </c>
      <c r="AF76" s="2491">
        <f>IF(ISNUMBER(SEARCH("&gt;",D76)),0,COUNTIF(Psíquicos!$AD$16:$AH$61,D76))</f>
        <v>0</v>
      </c>
      <c r="AG76" s="1175" t="str">
        <f>IF(AF76=0,"",VLOOKUP(D76,Psíquicos!$AD$11:$AK$64,8,FALSE))</f>
        <v/>
      </c>
      <c r="AH76" s="2606">
        <f>VALUE(IF('Tablas psiquica'!$AF76&gt;0,INDEX('Tablas psiquica'!$V76:$AE76,MATCH('Tablas psiquica'!$AG76,'Tablas psiquica'!$V$6:$AE$6,0)),0))</f>
        <v>0</v>
      </c>
      <c r="AI76" s="2592" t="s">
        <v>187</v>
      </c>
    </row>
    <row r="77" spans="1:35" ht="12.75" customHeight="1" x14ac:dyDescent="0.2">
      <c r="A77" s="2143">
        <v>77</v>
      </c>
      <c r="B77" s="2135">
        <f>IF(OR(S77=0),0,SUM($S$6:S77))</f>
        <v>0</v>
      </c>
      <c r="C77" s="1183"/>
      <c r="D77" s="1184" t="s">
        <v>188</v>
      </c>
      <c r="E77" s="1175" t="s">
        <v>107</v>
      </c>
      <c r="F77" s="1176">
        <v>3</v>
      </c>
      <c r="G77" s="1176" t="s">
        <v>3143</v>
      </c>
      <c r="H77" s="1177" t="s">
        <v>1609</v>
      </c>
      <c r="I77" s="1175" t="s">
        <v>7667</v>
      </c>
      <c r="J77" s="1175" t="s">
        <v>7666</v>
      </c>
      <c r="K77" s="1175" t="s">
        <v>7653</v>
      </c>
      <c r="L77" s="1175" t="s">
        <v>7652</v>
      </c>
      <c r="M77" s="1175" t="s">
        <v>7651</v>
      </c>
      <c r="N77" s="1175" t="s">
        <v>7915</v>
      </c>
      <c r="O77" s="1175" t="s">
        <v>7916</v>
      </c>
      <c r="P77" s="1175" t="s">
        <v>7917</v>
      </c>
      <c r="Q77" s="1175" t="s">
        <v>7918</v>
      </c>
      <c r="R77" s="1203" t="s">
        <v>7919</v>
      </c>
      <c r="S77" s="2137">
        <f>IF(COUNTIF(Psíquicos!$C$25:$E$36,E77)=0,0,1)</f>
        <v>0</v>
      </c>
      <c r="U77" s="1175" t="str">
        <f t="shared" si="15"/>
        <v>ABS</v>
      </c>
      <c r="V77" s="2491"/>
      <c r="W77" s="2491"/>
      <c r="X77" s="2491"/>
      <c r="Y77" s="2491"/>
      <c r="Z77" s="2491"/>
      <c r="AA77" s="2491"/>
      <c r="AB77" s="2491"/>
      <c r="AC77" s="2491"/>
      <c r="AD77" s="2491"/>
      <c r="AE77" s="2491"/>
      <c r="AF77" s="2491">
        <f>IF(ISNUMBER(SEARCH("&gt;",D77)),0,COUNTIF(Psíquicos!$AD$16:$AH$61,D77))</f>
        <v>0</v>
      </c>
      <c r="AG77" s="1175" t="str">
        <f>IF(AF77=0,"",VLOOKUP(D77,Psíquicos!$AD$11:$AK$64,8,FALSE))</f>
        <v/>
      </c>
      <c r="AH77" s="2606"/>
      <c r="AI77" s="2592"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1"/>
      <c r="W78" s="2491"/>
      <c r="X78" s="2491"/>
      <c r="Y78" s="2491"/>
      <c r="Z78" s="2491"/>
      <c r="AA78" s="2491"/>
      <c r="AB78" s="2491"/>
      <c r="AC78" s="2491"/>
      <c r="AD78" s="2491"/>
      <c r="AE78" s="2491"/>
      <c r="AF78" s="2491">
        <f>IF(ISNUMBER(SEARCH("&gt;",D78)),0,COUNTIF(Psíquicos!$AD$16:$AH$61,D78))</f>
        <v>0</v>
      </c>
      <c r="AG78" s="1175" t="str">
        <f>IF(AF78=0,"",VLOOKUP(D78,Psíquicos!$AD$11:$AK$64,8,FALSE))</f>
        <v/>
      </c>
      <c r="AH78" s="2606"/>
      <c r="AI78" s="2592" t="s">
        <v>189</v>
      </c>
    </row>
    <row r="79" spans="1:35" ht="12.75" customHeight="1" x14ac:dyDescent="0.2">
      <c r="A79" s="2143">
        <v>79</v>
      </c>
      <c r="B79" s="2135">
        <f>IF(OR(S79=0),0,SUM($S$6:S79))</f>
        <v>0</v>
      </c>
      <c r="C79" s="1183"/>
      <c r="D79" s="1184" t="s">
        <v>190</v>
      </c>
      <c r="E79" s="1175" t="s">
        <v>108</v>
      </c>
      <c r="F79" s="1176">
        <v>1</v>
      </c>
      <c r="G79" s="1176" t="s">
        <v>3143</v>
      </c>
      <c r="H79" s="1177" t="s">
        <v>1609</v>
      </c>
      <c r="I79" s="1175" t="s">
        <v>7615</v>
      </c>
      <c r="J79" s="1175" t="s">
        <v>7616</v>
      </c>
      <c r="K79" s="1175" t="s">
        <v>7800</v>
      </c>
      <c r="L79" s="1175" t="s">
        <v>7801</v>
      </c>
      <c r="M79" s="1175" t="s">
        <v>7802</v>
      </c>
      <c r="N79" s="1175" t="s">
        <v>7920</v>
      </c>
      <c r="O79" s="1175" t="s">
        <v>7803</v>
      </c>
      <c r="P79" s="1175" t="s">
        <v>5938</v>
      </c>
      <c r="Q79" s="1175" t="s">
        <v>5940</v>
      </c>
      <c r="R79" s="1203" t="s">
        <v>7804</v>
      </c>
      <c r="S79" s="2137">
        <f>IF(COUNTIF(Psíquicos!$C$25:$E$36,E79)=0,0,1)</f>
        <v>0</v>
      </c>
      <c r="U79" s="1175" t="str">
        <f t="shared" si="15"/>
        <v>MED</v>
      </c>
      <c r="V79" s="2491"/>
      <c r="W79" s="2491"/>
      <c r="X79" s="2491"/>
      <c r="Y79" s="2491"/>
      <c r="Z79" s="2491"/>
      <c r="AA79" s="2491"/>
      <c r="AB79" s="2491"/>
      <c r="AC79" s="2491"/>
      <c r="AD79" s="2491"/>
      <c r="AE79" s="2491"/>
      <c r="AF79" s="2491">
        <f>IF(ISNUMBER(SEARCH("&gt;",D79)),0,COUNTIF(Psíquicos!$AD$16:$AH$61,D79))</f>
        <v>0</v>
      </c>
      <c r="AG79" s="1175" t="str">
        <f>IF(AF79=0,"",VLOOKUP(D79,Psíquicos!$AD$11:$AK$64,8,FALSE))</f>
        <v/>
      </c>
      <c r="AH79" s="2606"/>
      <c r="AI79" s="2592" t="s">
        <v>190</v>
      </c>
    </row>
    <row r="80" spans="1:35" ht="12.75" customHeight="1" x14ac:dyDescent="0.2">
      <c r="A80" s="2143">
        <v>80</v>
      </c>
      <c r="B80" s="2135">
        <f>IF(OR(S80=0),0,SUM($S$6:S80))</f>
        <v>0</v>
      </c>
      <c r="C80" s="1183"/>
      <c r="D80" s="1184" t="s">
        <v>191</v>
      </c>
      <c r="E80" s="1175" t="s">
        <v>108</v>
      </c>
      <c r="F80" s="1176">
        <v>1</v>
      </c>
      <c r="G80" s="1176" t="s">
        <v>3143</v>
      </c>
      <c r="H80" s="1177" t="s">
        <v>1609</v>
      </c>
      <c r="I80" s="1175" t="s">
        <v>7615</v>
      </c>
      <c r="J80" s="1175" t="s">
        <v>7616</v>
      </c>
      <c r="K80" s="1175" t="s">
        <v>5089</v>
      </c>
      <c r="L80" s="1175" t="s">
        <v>7921</v>
      </c>
      <c r="M80" s="1175" t="s">
        <v>7922</v>
      </c>
      <c r="N80" s="1175" t="s">
        <v>7923</v>
      </c>
      <c r="O80" s="1175" t="s">
        <v>7924</v>
      </c>
      <c r="P80" s="1175" t="s">
        <v>7925</v>
      </c>
      <c r="Q80" s="1175" t="s">
        <v>7926</v>
      </c>
      <c r="R80" s="1203" t="s">
        <v>7927</v>
      </c>
      <c r="S80" s="2137">
        <f>IF(COUNTIF(Psíquicos!$C$25:$E$36,E80)=0,0,1)</f>
        <v>0</v>
      </c>
      <c r="U80" s="1175" t="str">
        <f t="shared" si="15"/>
        <v>MED</v>
      </c>
      <c r="V80" s="2491"/>
      <c r="W80" s="2491"/>
      <c r="X80" s="2491"/>
      <c r="Y80" s="2491"/>
      <c r="Z80" s="2491"/>
      <c r="AA80" s="2491"/>
      <c r="AB80" s="2491"/>
      <c r="AC80" s="2491"/>
      <c r="AD80" s="2491"/>
      <c r="AE80" s="2491"/>
      <c r="AF80" s="2491">
        <f>IF(ISNUMBER(SEARCH("&gt;",D80)),0,COUNTIF(Psíquicos!$AD$16:$AH$61,D80))</f>
        <v>0</v>
      </c>
      <c r="AG80" s="1175" t="str">
        <f>IF(AF80=0,"",VLOOKUP(D80,Psíquicos!$AD$11:$AK$64,8,FALSE))</f>
        <v/>
      </c>
      <c r="AH80" s="2606"/>
      <c r="AI80" s="2592" t="s">
        <v>191</v>
      </c>
    </row>
    <row r="81" spans="1:35" ht="12.75" customHeight="1" x14ac:dyDescent="0.2">
      <c r="A81" s="2143">
        <v>81</v>
      </c>
      <c r="B81" s="2135">
        <f>IF(OR(S81=0),0,SUM($S$6:S81))</f>
        <v>0</v>
      </c>
      <c r="C81" s="1183"/>
      <c r="D81" s="1184" t="s">
        <v>192</v>
      </c>
      <c r="E81" s="1175" t="s">
        <v>108</v>
      </c>
      <c r="F81" s="1176">
        <v>1</v>
      </c>
      <c r="G81" s="1176" t="s">
        <v>3143</v>
      </c>
      <c r="H81" s="1177" t="s">
        <v>1610</v>
      </c>
      <c r="I81" s="1175" t="s">
        <v>7652</v>
      </c>
      <c r="J81" s="1175" t="s">
        <v>7651</v>
      </c>
      <c r="K81" s="1175" t="s">
        <v>7615</v>
      </c>
      <c r="L81" s="1175" t="s">
        <v>7687</v>
      </c>
      <c r="M81" s="1175" t="s">
        <v>7688</v>
      </c>
      <c r="N81" s="1175" t="s">
        <v>7814</v>
      </c>
      <c r="O81" s="1175" t="s">
        <v>7690</v>
      </c>
      <c r="P81" s="1175" t="s">
        <v>7928</v>
      </c>
      <c r="Q81" s="1175" t="s">
        <v>7929</v>
      </c>
      <c r="R81" s="1203" t="s">
        <v>7930</v>
      </c>
      <c r="S81" s="2137">
        <f>IF(COUNTIF(Psíquicos!$C$25:$E$36,E81)=0,0,1)</f>
        <v>0</v>
      </c>
      <c r="U81" s="1175" t="str">
        <f t="shared" si="15"/>
        <v>DIF</v>
      </c>
      <c r="V81" s="2491"/>
      <c r="W81" s="2491"/>
      <c r="X81" s="2491"/>
      <c r="Y81" s="2491"/>
      <c r="Z81" s="2491"/>
      <c r="AA81" s="2491"/>
      <c r="AB81" s="2491"/>
      <c r="AC81" s="2491"/>
      <c r="AD81" s="2491"/>
      <c r="AE81" s="2491"/>
      <c r="AF81" s="2491">
        <f>IF(ISNUMBER(SEARCH("&gt;",D81)),0,COUNTIF(Psíquicos!$AD$16:$AH$61,D81))</f>
        <v>0</v>
      </c>
      <c r="AG81" s="1175" t="str">
        <f>IF(AF81=0,"",VLOOKUP(D81,Psíquicos!$AD$11:$AK$64,8,FALSE))</f>
        <v/>
      </c>
      <c r="AH81" s="2606"/>
      <c r="AI81" s="2592" t="s">
        <v>192</v>
      </c>
    </row>
    <row r="82" spans="1:35" ht="12.75" customHeight="1" x14ac:dyDescent="0.2">
      <c r="A82" s="2143">
        <v>82</v>
      </c>
      <c r="B82" s="2135">
        <f>IF(OR(S82=0),0,SUM($S$6:S82))</f>
        <v>0</v>
      </c>
      <c r="C82" s="1183"/>
      <c r="D82" s="1184" t="s">
        <v>193</v>
      </c>
      <c r="E82" s="1175" t="s">
        <v>108</v>
      </c>
      <c r="F82" s="1176">
        <v>1</v>
      </c>
      <c r="G82" s="1176" t="s">
        <v>3143</v>
      </c>
      <c r="H82" s="1177" t="s">
        <v>1609</v>
      </c>
      <c r="I82" s="1175" t="s">
        <v>7651</v>
      </c>
      <c r="J82" s="1175" t="s">
        <v>7615</v>
      </c>
      <c r="K82" s="1175" t="s">
        <v>7616</v>
      </c>
      <c r="L82" s="1175" t="s">
        <v>7931</v>
      </c>
      <c r="M82" s="1175" t="s">
        <v>7932</v>
      </c>
      <c r="N82" s="1175" t="s">
        <v>7933</v>
      </c>
      <c r="O82" s="1175" t="s">
        <v>7934</v>
      </c>
      <c r="P82" s="1175" t="s">
        <v>7935</v>
      </c>
      <c r="Q82" s="1175" t="s">
        <v>7936</v>
      </c>
      <c r="R82" s="1203" t="s">
        <v>7937</v>
      </c>
      <c r="S82" s="2137">
        <f>IF(COUNTIF(Psíquicos!$C$25:$E$36,E82)=0,0,1)</f>
        <v>0</v>
      </c>
      <c r="U82" s="1175" t="str">
        <f t="shared" si="15"/>
        <v>DIF</v>
      </c>
      <c r="V82" s="2491"/>
      <c r="W82" s="2491"/>
      <c r="X82" s="2492"/>
      <c r="Y82" s="2492"/>
      <c r="Z82" s="2492"/>
      <c r="AA82" s="2492"/>
      <c r="AB82" s="2491"/>
      <c r="AC82" s="2491"/>
      <c r="AD82" s="2491"/>
      <c r="AE82" s="2492"/>
      <c r="AF82" s="2491">
        <f>IF(ISNUMBER(SEARCH("&gt;",D82)),0,COUNTIF(Psíquicos!$AD$16:$AH$61,D82))</f>
        <v>0</v>
      </c>
      <c r="AG82" s="1175" t="str">
        <f>IF(AF82=0,"",VLOOKUP(D82,Psíquicos!$AD$11:$AK$64,8,FALSE))</f>
        <v/>
      </c>
      <c r="AH82" s="2606"/>
      <c r="AI82" s="2592"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7651</v>
      </c>
      <c r="J83" s="1175" t="s">
        <v>7615</v>
      </c>
      <c r="K83" s="1175" t="s">
        <v>7616</v>
      </c>
      <c r="L83" s="1175" t="s">
        <v>5841</v>
      </c>
      <c r="M83" s="1175" t="s">
        <v>5842</v>
      </c>
      <c r="N83" s="1175" t="s">
        <v>5341</v>
      </c>
      <c r="O83" s="1175" t="s">
        <v>4957</v>
      </c>
      <c r="P83" s="1175" t="s">
        <v>7938</v>
      </c>
      <c r="Q83" s="1175" t="s">
        <v>7939</v>
      </c>
      <c r="R83" s="1203" t="s">
        <v>7940</v>
      </c>
      <c r="S83" s="2137">
        <f>IF(COUNTIF(Psíquicos!$C$25:$E$36,E83)=0,0,1)</f>
        <v>0</v>
      </c>
      <c r="U83" s="1175" t="str">
        <f t="shared" si="15"/>
        <v/>
      </c>
      <c r="V83" s="2491"/>
      <c r="W83" s="2491"/>
      <c r="X83" s="2491"/>
      <c r="Y83" s="2491"/>
      <c r="Z83" s="2491"/>
      <c r="AA83" s="2491"/>
      <c r="AB83" s="2491"/>
      <c r="AC83" s="2491"/>
      <c r="AD83" s="2491"/>
      <c r="AE83" s="2491"/>
      <c r="AF83" s="2491">
        <f>IF(ISNUMBER(SEARCH("&gt;",D83)),0,COUNTIF(Psíquicos!$AD$16:$AH$61,D83))</f>
        <v>0</v>
      </c>
      <c r="AG83" s="1175" t="str">
        <f>IF(AF83=0,"",VLOOKUP(D83,Psíquicos!$AD$11:$AK$64,8,FALSE))</f>
        <v/>
      </c>
      <c r="AH83" s="2606"/>
      <c r="AI83" s="2592"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7652</v>
      </c>
      <c r="J84" s="1175" t="s">
        <v>7651</v>
      </c>
      <c r="K84" s="1175" t="s">
        <v>7615</v>
      </c>
      <c r="L84" s="1175" t="s">
        <v>7941</v>
      </c>
      <c r="M84" s="1175" t="s">
        <v>7942</v>
      </c>
      <c r="N84" s="1175" t="s">
        <v>7943</v>
      </c>
      <c r="O84" s="1175" t="s">
        <v>7944</v>
      </c>
      <c r="P84" s="1175" t="s">
        <v>7945</v>
      </c>
      <c r="Q84" s="1175" t="s">
        <v>7946</v>
      </c>
      <c r="R84" s="1203" t="s">
        <v>7947</v>
      </c>
      <c r="S84" s="2137">
        <f>IF(COUNTIF(Psíquicos!$C$25:$E$36,E84)=0,0,1)</f>
        <v>0</v>
      </c>
      <c r="U84" s="1175" t="str">
        <f t="shared" si="15"/>
        <v/>
      </c>
      <c r="V84" s="2491"/>
      <c r="W84" s="2491"/>
      <c r="X84" s="2491"/>
      <c r="Y84" s="2491"/>
      <c r="Z84" s="2491"/>
      <c r="AA84" s="2491"/>
      <c r="AB84" s="2491"/>
      <c r="AC84" s="2491"/>
      <c r="AD84" s="2491"/>
      <c r="AE84" s="2491"/>
      <c r="AF84" s="2491">
        <f>IF(ISNUMBER(SEARCH("&gt;",D84)),0,COUNTIF(Psíquicos!$AD$16:$AH$61,D84))</f>
        <v>0</v>
      </c>
      <c r="AG84" s="1175" t="str">
        <f>IF(AF84=0,"",VLOOKUP(D84,Psíquicos!$AD$11:$AK$64,8,FALSE))</f>
        <v/>
      </c>
      <c r="AH84" s="2606"/>
      <c r="AI84" s="2592" t="s">
        <v>195</v>
      </c>
    </row>
    <row r="85" spans="1:35" ht="12.75" customHeight="1" x14ac:dyDescent="0.2">
      <c r="A85" s="2143">
        <v>85</v>
      </c>
      <c r="B85" s="2135">
        <f>IF(OR(S85=0),0,SUM($S$6:S85))</f>
        <v>0</v>
      </c>
      <c r="C85" s="1183"/>
      <c r="D85" s="1184" t="s">
        <v>196</v>
      </c>
      <c r="E85" s="1175" t="s">
        <v>108</v>
      </c>
      <c r="F85" s="1176">
        <v>2</v>
      </c>
      <c r="G85" s="1176" t="s">
        <v>3143</v>
      </c>
      <c r="H85" s="1177" t="s">
        <v>1610</v>
      </c>
      <c r="I85" s="1175" t="s">
        <v>7666</v>
      </c>
      <c r="J85" s="1175" t="s">
        <v>7653</v>
      </c>
      <c r="K85" s="1175" t="s">
        <v>7652</v>
      </c>
      <c r="L85" s="1175" t="s">
        <v>7651</v>
      </c>
      <c r="M85" s="1175" t="s">
        <v>7615</v>
      </c>
      <c r="N85" s="1175" t="s">
        <v>5091</v>
      </c>
      <c r="O85" s="1175" t="s">
        <v>5933</v>
      </c>
      <c r="P85" s="1175" t="s">
        <v>5092</v>
      </c>
      <c r="Q85" s="1175" t="s">
        <v>7776</v>
      </c>
      <c r="R85" s="1203" t="s">
        <v>7777</v>
      </c>
      <c r="S85" s="2137">
        <f>IF(COUNTIF(Psíquicos!$C$25:$E$36,E85)=0,0,1)</f>
        <v>0</v>
      </c>
      <c r="U85" s="1175" t="str">
        <f t="shared" si="15"/>
        <v>ABS</v>
      </c>
      <c r="V85" s="2491"/>
      <c r="W85" s="2491"/>
      <c r="X85" s="2491"/>
      <c r="Y85" s="2491"/>
      <c r="Z85" s="2491"/>
      <c r="AA85" s="2491"/>
      <c r="AB85" s="2491"/>
      <c r="AC85" s="2491"/>
      <c r="AD85" s="2491"/>
      <c r="AE85" s="2491"/>
      <c r="AF85" s="2491">
        <f>IF(ISNUMBER(SEARCH("&gt;",D85)),0,COUNTIF(Psíquicos!$AD$16:$AH$61,D85))</f>
        <v>0</v>
      </c>
      <c r="AG85" s="1175" t="str">
        <f>IF(AF85=0,"",VLOOKUP(D85,Psíquicos!$AD$11:$AK$64,8,FALSE))</f>
        <v/>
      </c>
      <c r="AH85" s="2606"/>
      <c r="AI85" s="2592" t="s">
        <v>196</v>
      </c>
    </row>
    <row r="86" spans="1:35" ht="12.75" customHeight="1" x14ac:dyDescent="0.2">
      <c r="A86" s="2143">
        <v>86</v>
      </c>
      <c r="B86" s="2135">
        <f>IF(OR(S86=0),0,SUM($S$6:S86))</f>
        <v>0</v>
      </c>
      <c r="C86" s="1183"/>
      <c r="D86" s="1184" t="s">
        <v>197</v>
      </c>
      <c r="E86" s="1175" t="s">
        <v>108</v>
      </c>
      <c r="F86" s="1176">
        <v>2</v>
      </c>
      <c r="G86" s="1176" t="s">
        <v>3143</v>
      </c>
      <c r="H86" s="1177" t="s">
        <v>1609</v>
      </c>
      <c r="I86" s="1175" t="s">
        <v>7652</v>
      </c>
      <c r="J86" s="1175" t="s">
        <v>7651</v>
      </c>
      <c r="K86" s="1175" t="s">
        <v>7615</v>
      </c>
      <c r="L86" s="1175" t="s">
        <v>7948</v>
      </c>
      <c r="M86" s="1175" t="s">
        <v>7949</v>
      </c>
      <c r="N86" s="1175" t="s">
        <v>7950</v>
      </c>
      <c r="O86" s="1175" t="s">
        <v>7951</v>
      </c>
      <c r="P86" s="1175" t="s">
        <v>7952</v>
      </c>
      <c r="Q86" s="1175" t="s">
        <v>7953</v>
      </c>
      <c r="R86" s="1203" t="s">
        <v>7954</v>
      </c>
      <c r="S86" s="2137">
        <f>IF(COUNTIF(Psíquicos!$C$25:$E$36,E86)=0,0,1)</f>
        <v>0</v>
      </c>
      <c r="U86" s="1175" t="str">
        <f t="shared" si="15"/>
        <v>DIF</v>
      </c>
      <c r="V86" s="2491"/>
      <c r="W86" s="2491"/>
      <c r="X86" s="2491"/>
      <c r="Y86" s="2491"/>
      <c r="Z86" s="2491"/>
      <c r="AA86" s="2491"/>
      <c r="AB86" s="2491"/>
      <c r="AC86" s="2491"/>
      <c r="AD86" s="2491"/>
      <c r="AE86" s="2491"/>
      <c r="AF86" s="2491">
        <f>IF(ISNUMBER(SEARCH("&gt;",D86)),0,COUNTIF(Psíquicos!$AD$16:$AH$61,D86))</f>
        <v>0</v>
      </c>
      <c r="AG86" s="1175" t="str">
        <f>IF(AF86=0,"",VLOOKUP(D86,Psíquicos!$AD$11:$AK$64,8,FALSE))</f>
        <v/>
      </c>
      <c r="AH86" s="2606"/>
      <c r="AI86" s="2592"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7653</v>
      </c>
      <c r="J87" s="1175" t="s">
        <v>7652</v>
      </c>
      <c r="K87" s="1175" t="s">
        <v>7651</v>
      </c>
      <c r="L87" s="1175" t="s">
        <v>7615</v>
      </c>
      <c r="M87" s="1175" t="s">
        <v>7949</v>
      </c>
      <c r="N87" s="1175" t="s">
        <v>7950</v>
      </c>
      <c r="O87" s="1175" t="s">
        <v>7951</v>
      </c>
      <c r="P87" s="1175" t="s">
        <v>7952</v>
      </c>
      <c r="Q87" s="1175" t="s">
        <v>7953</v>
      </c>
      <c r="R87" s="1203" t="s">
        <v>7954</v>
      </c>
      <c r="S87" s="2137">
        <f>IF(COUNTIF(Psíquicos!$C$25:$E$36,E87)=0,0,1)</f>
        <v>0</v>
      </c>
      <c r="U87" s="1175" t="str">
        <f t="shared" si="15"/>
        <v/>
      </c>
      <c r="V87" s="2491"/>
      <c r="W87" s="2491"/>
      <c r="X87" s="2491"/>
      <c r="Y87" s="2491"/>
      <c r="Z87" s="2491"/>
      <c r="AA87" s="2491"/>
      <c r="AB87" s="2491"/>
      <c r="AC87" s="2491"/>
      <c r="AD87" s="2491"/>
      <c r="AE87" s="2491"/>
      <c r="AF87" s="2491">
        <f>IF(ISNUMBER(SEARCH("&gt;",D87)),0,COUNTIF(Psíquicos!$AD$16:$AH$61,D87))</f>
        <v>0</v>
      </c>
      <c r="AG87" s="1175" t="str">
        <f>IF(AF87=0,"",VLOOKUP(D87,Psíquicos!$AD$11:$AK$64,8,FALSE))</f>
        <v/>
      </c>
      <c r="AH87" s="2606"/>
      <c r="AI87" s="2592"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7667</v>
      </c>
      <c r="J88" s="1175" t="s">
        <v>7666</v>
      </c>
      <c r="K88" s="1175" t="s">
        <v>7653</v>
      </c>
      <c r="L88" s="1175" t="s">
        <v>7652</v>
      </c>
      <c r="M88" s="1175" t="s">
        <v>7651</v>
      </c>
      <c r="N88" s="1175" t="s">
        <v>7955</v>
      </c>
      <c r="O88" s="1175" t="s">
        <v>7956</v>
      </c>
      <c r="P88" s="1175" t="s">
        <v>7957</v>
      </c>
      <c r="Q88" s="1175" t="s">
        <v>7958</v>
      </c>
      <c r="R88" s="1203" t="s">
        <v>7959</v>
      </c>
      <c r="S88" s="2137">
        <f>IF(COUNTIF(Psíquicos!$C$25:$E$36,E88)=0,0,1)</f>
        <v>0</v>
      </c>
      <c r="U88" s="1175" t="str">
        <f t="shared" si="15"/>
        <v/>
      </c>
      <c r="V88" s="2491"/>
      <c r="W88" s="2491"/>
      <c r="X88" s="2491"/>
      <c r="Y88" s="2491"/>
      <c r="Z88" s="2491"/>
      <c r="AA88" s="2491"/>
      <c r="AB88" s="2491"/>
      <c r="AC88" s="2491"/>
      <c r="AD88" s="2491"/>
      <c r="AE88" s="2491"/>
      <c r="AF88" s="2491">
        <f>IF(ISNUMBER(SEARCH("&gt;",D88)),0,COUNTIF(Psíquicos!$AD$16:$AH$61,D88))</f>
        <v>0</v>
      </c>
      <c r="AG88" s="1175" t="str">
        <f>IF(AF88=0,"",VLOOKUP(D88,Psíquicos!$AD$11:$AK$64,8,FALSE))</f>
        <v/>
      </c>
      <c r="AH88" s="2606"/>
      <c r="AI88" s="2592" t="s">
        <v>199</v>
      </c>
    </row>
    <row r="89" spans="1:35" ht="12.75" customHeight="1" x14ac:dyDescent="0.2">
      <c r="A89" s="2143">
        <v>89</v>
      </c>
      <c r="B89" s="2135">
        <f>IF(OR(S89=0),0,SUM($S$6:S89))</f>
        <v>0</v>
      </c>
      <c r="C89" s="1183"/>
      <c r="D89" s="1184" t="s">
        <v>200</v>
      </c>
      <c r="E89" s="1175" t="s">
        <v>108</v>
      </c>
      <c r="F89" s="1176">
        <v>3</v>
      </c>
      <c r="G89" s="1176" t="s">
        <v>3143</v>
      </c>
      <c r="H89" s="1177" t="s">
        <v>1609</v>
      </c>
      <c r="I89" s="1175" t="s">
        <v>7741</v>
      </c>
      <c r="J89" s="1175" t="s">
        <v>7667</v>
      </c>
      <c r="K89" s="1175" t="s">
        <v>7666</v>
      </c>
      <c r="L89" s="1175" t="s">
        <v>7653</v>
      </c>
      <c r="M89" s="1175" t="s">
        <v>7652</v>
      </c>
      <c r="N89" s="1175" t="s">
        <v>7651</v>
      </c>
      <c r="O89" s="1175" t="s">
        <v>5934</v>
      </c>
      <c r="P89" s="1175" t="s">
        <v>5935</v>
      </c>
      <c r="Q89" s="1175" t="s">
        <v>5936</v>
      </c>
      <c r="R89" s="1203" t="s">
        <v>7960</v>
      </c>
      <c r="S89" s="2137">
        <f>IF(COUNTIF(Psíquicos!$C$25:$E$36,E89)=0,0,1)</f>
        <v>0</v>
      </c>
      <c r="U89" s="1175" t="str">
        <f t="shared" si="15"/>
        <v>CIM</v>
      </c>
      <c r="V89" s="2491"/>
      <c r="W89" s="2491"/>
      <c r="X89" s="2491"/>
      <c r="Y89" s="2491"/>
      <c r="Z89" s="2491"/>
      <c r="AA89" s="2491"/>
      <c r="AB89" s="2491"/>
      <c r="AC89" s="2491"/>
      <c r="AD89" s="2491"/>
      <c r="AE89" s="2491"/>
      <c r="AF89" s="2491">
        <f>IF(ISNUMBER(SEARCH("&gt;",D89)),0,COUNTIF(Psíquicos!$AD$16:$AH$61,D89))</f>
        <v>0</v>
      </c>
      <c r="AG89" s="1175" t="str">
        <f>IF(AF89=0,"",VLOOKUP(D89,Psíquicos!$AD$11:$AK$64,8,FALSE))</f>
        <v/>
      </c>
      <c r="AH89" s="2606"/>
      <c r="AI89" s="2592"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1"/>
      <c r="W90" s="2491"/>
      <c r="X90" s="2491"/>
      <c r="Y90" s="2491"/>
      <c r="Z90" s="2491"/>
      <c r="AA90" s="2491"/>
      <c r="AB90" s="2491"/>
      <c r="AC90" s="2491"/>
      <c r="AD90" s="2491"/>
      <c r="AE90" s="2491"/>
      <c r="AF90" s="2491">
        <f>IF(ISNUMBER(SEARCH("&gt;",D90)),0,COUNTIF(Psíquicos!$AD$16:$AH$61,D90))</f>
        <v>0</v>
      </c>
      <c r="AG90" s="1175" t="str">
        <f>IF(AF90=0,"",VLOOKUP(D90,Psíquicos!$AD$11:$AK$64,8,FALSE))</f>
        <v/>
      </c>
      <c r="AH90" s="2606"/>
      <c r="AI90" s="2592" t="s">
        <v>201</v>
      </c>
    </row>
    <row r="91" spans="1:35" ht="12.75" customHeight="1" x14ac:dyDescent="0.2">
      <c r="A91" s="2143">
        <v>91</v>
      </c>
      <c r="B91" s="2135">
        <f>IF(OR(S91=0),0,SUM($S$6:S91))</f>
        <v>0</v>
      </c>
      <c r="C91" s="1183"/>
      <c r="D91" s="1184" t="s">
        <v>202</v>
      </c>
      <c r="E91" s="1175" t="s">
        <v>111</v>
      </c>
      <c r="F91" s="1176">
        <v>1</v>
      </c>
      <c r="G91" s="1176" t="s">
        <v>3143</v>
      </c>
      <c r="H91" s="1177" t="s">
        <v>1609</v>
      </c>
      <c r="I91" s="1175" t="s">
        <v>7615</v>
      </c>
      <c r="J91" s="1175" t="s">
        <v>7616</v>
      </c>
      <c r="K91" s="1175" t="s">
        <v>7633</v>
      </c>
      <c r="L91" s="1175" t="s">
        <v>7634</v>
      </c>
      <c r="M91" s="1175" t="s">
        <v>7635</v>
      </c>
      <c r="N91" s="1175" t="s">
        <v>7636</v>
      </c>
      <c r="O91" s="1175" t="s">
        <v>7637</v>
      </c>
      <c r="P91" s="1175" t="s">
        <v>7638</v>
      </c>
      <c r="Q91" s="1175" t="s">
        <v>7639</v>
      </c>
      <c r="R91" s="1203" t="s">
        <v>7640</v>
      </c>
      <c r="S91" s="2137">
        <f>IF(COUNTIF(Psíquicos!$C$25:$E$36,E91)=0,0,1)</f>
        <v>0</v>
      </c>
      <c r="U91" s="1175" t="str">
        <f t="shared" si="15"/>
        <v>MED</v>
      </c>
      <c r="V91" s="2491"/>
      <c r="W91" s="2491"/>
      <c r="X91" s="2491"/>
      <c r="Y91" s="2491"/>
      <c r="Z91" s="2491"/>
      <c r="AA91" s="2491"/>
      <c r="AB91" s="2491"/>
      <c r="AC91" s="2491"/>
      <c r="AD91" s="2491"/>
      <c r="AE91" s="2491"/>
      <c r="AF91" s="2491">
        <f>IF(ISNUMBER(SEARCH("&gt;",D91)),0,COUNTIF(Psíquicos!$AD$16:$AH$61,D91))</f>
        <v>0</v>
      </c>
      <c r="AG91" s="1175" t="str">
        <f>IF(AF91=0,"",VLOOKUP(D91,Psíquicos!$AD$11:$AK$64,8,FALSE))</f>
        <v/>
      </c>
      <c r="AH91" s="2606"/>
      <c r="AI91" s="2592" t="s">
        <v>202</v>
      </c>
    </row>
    <row r="92" spans="1:35" ht="12.75" customHeight="1" x14ac:dyDescent="0.2">
      <c r="A92" s="2143">
        <v>92</v>
      </c>
      <c r="B92" s="2135">
        <f>IF(OR(S92=0),0,SUM($S$6:S92))</f>
        <v>0</v>
      </c>
      <c r="C92" s="1183"/>
      <c r="D92" s="1184" t="s">
        <v>203</v>
      </c>
      <c r="E92" s="1175" t="s">
        <v>111</v>
      </c>
      <c r="F92" s="1176">
        <v>1</v>
      </c>
      <c r="G92" s="1176" t="s">
        <v>3143</v>
      </c>
      <c r="H92" s="1177" t="s">
        <v>1609</v>
      </c>
      <c r="I92" s="1175" t="s">
        <v>7615</v>
      </c>
      <c r="J92" s="1175" t="s">
        <v>7616</v>
      </c>
      <c r="K92" s="1175" t="s">
        <v>7633</v>
      </c>
      <c r="L92" s="1175" t="s">
        <v>7634</v>
      </c>
      <c r="M92" s="1175" t="s">
        <v>7635</v>
      </c>
      <c r="N92" s="1175" t="s">
        <v>7636</v>
      </c>
      <c r="O92" s="1175" t="s">
        <v>7637</v>
      </c>
      <c r="P92" s="1175" t="s">
        <v>7638</v>
      </c>
      <c r="Q92" s="1175" t="s">
        <v>7639</v>
      </c>
      <c r="R92" s="1203" t="s">
        <v>7640</v>
      </c>
      <c r="S92" s="2137">
        <f>IF(COUNTIF(Psíquicos!$C$25:$E$36,E92)=0,0,1)</f>
        <v>0</v>
      </c>
      <c r="U92" s="1175" t="str">
        <f t="shared" si="15"/>
        <v>MED</v>
      </c>
      <c r="V92" s="2491"/>
      <c r="W92" s="2491"/>
      <c r="X92" s="2491"/>
      <c r="Y92" s="2491"/>
      <c r="Z92" s="2491"/>
      <c r="AA92" s="2491"/>
      <c r="AB92" s="2491"/>
      <c r="AC92" s="2491"/>
      <c r="AD92" s="2491"/>
      <c r="AE92" s="2491"/>
      <c r="AF92" s="2491">
        <f>IF(ISNUMBER(SEARCH("&gt;",D92)),0,COUNTIF(Psíquicos!$AD$16:$AH$61,D92))</f>
        <v>0</v>
      </c>
      <c r="AG92" s="1175" t="str">
        <f>IF(AF92=0,"",VLOOKUP(D92,Psíquicos!$AD$11:$AK$64,8,FALSE))</f>
        <v/>
      </c>
      <c r="AH92" s="2606"/>
      <c r="AI92" s="2592" t="s">
        <v>203</v>
      </c>
    </row>
    <row r="93" spans="1:35" ht="12.75" customHeight="1" x14ac:dyDescent="0.2">
      <c r="A93" s="2143">
        <v>93</v>
      </c>
      <c r="B93" s="2135">
        <f>IF(OR(S93=0),0,SUM($S$6:S93))</f>
        <v>0</v>
      </c>
      <c r="C93" s="1183"/>
      <c r="D93" s="1184" t="s">
        <v>204</v>
      </c>
      <c r="E93" s="1175" t="s">
        <v>111</v>
      </c>
      <c r="F93" s="1176">
        <v>1</v>
      </c>
      <c r="G93" s="1176" t="s">
        <v>3143</v>
      </c>
      <c r="H93" s="1177" t="s">
        <v>1609</v>
      </c>
      <c r="I93" s="1175" t="s">
        <v>7615</v>
      </c>
      <c r="J93" s="1175" t="s">
        <v>7616</v>
      </c>
      <c r="K93" s="1175" t="s">
        <v>7961</v>
      </c>
      <c r="L93" s="1175" t="s">
        <v>7962</v>
      </c>
      <c r="M93" s="1175" t="s">
        <v>7963</v>
      </c>
      <c r="N93" s="1175" t="s">
        <v>7964</v>
      </c>
      <c r="O93" s="1175" t="s">
        <v>7965</v>
      </c>
      <c r="P93" s="1175" t="s">
        <v>7966</v>
      </c>
      <c r="Q93" s="1175" t="s">
        <v>7967</v>
      </c>
      <c r="R93" s="1203" t="s">
        <v>7968</v>
      </c>
      <c r="S93" s="2137">
        <f>IF(COUNTIF(Psíquicos!$C$25:$E$36,E93)=0,0,1)</f>
        <v>0</v>
      </c>
      <c r="U93" s="1175" t="str">
        <f t="shared" si="15"/>
        <v>MED</v>
      </c>
      <c r="V93" s="2491"/>
      <c r="W93" s="2491"/>
      <c r="X93" s="2491"/>
      <c r="Y93" s="2491"/>
      <c r="Z93" s="2491"/>
      <c r="AA93" s="2491"/>
      <c r="AB93" s="2491"/>
      <c r="AC93" s="2491"/>
      <c r="AD93" s="2491"/>
      <c r="AE93" s="2491"/>
      <c r="AF93" s="2491">
        <f>IF(ISNUMBER(SEARCH("&gt;",D93)),0,COUNTIF(Psíquicos!$AD$16:$AH$61,D93))</f>
        <v>0</v>
      </c>
      <c r="AG93" s="1175" t="str">
        <f>IF(AF93=0,"",VLOOKUP(D93,Psíquicos!$AD$11:$AK$64,8,FALSE))</f>
        <v/>
      </c>
      <c r="AH93" s="2606"/>
      <c r="AI93" s="2592" t="s">
        <v>204</v>
      </c>
    </row>
    <row r="94" spans="1:35" ht="12.75" customHeight="1" x14ac:dyDescent="0.2">
      <c r="A94" s="2143">
        <v>94</v>
      </c>
      <c r="B94" s="2135">
        <f>IF(OR(S94=0),0,SUM($S$6:S94))</f>
        <v>0</v>
      </c>
      <c r="C94" s="1183"/>
      <c r="D94" s="1184" t="s">
        <v>205</v>
      </c>
      <c r="E94" s="1175" t="s">
        <v>111</v>
      </c>
      <c r="F94" s="1176">
        <v>1</v>
      </c>
      <c r="G94" s="1176" t="s">
        <v>3143</v>
      </c>
      <c r="H94" s="1177" t="s">
        <v>1609</v>
      </c>
      <c r="I94" s="1175" t="s">
        <v>7615</v>
      </c>
      <c r="J94" s="1175" t="s">
        <v>7616</v>
      </c>
      <c r="K94" s="1175" t="s">
        <v>7969</v>
      </c>
      <c r="L94" s="1175" t="s">
        <v>7970</v>
      </c>
      <c r="M94" s="1175" t="s">
        <v>7971</v>
      </c>
      <c r="N94" s="1175" t="s">
        <v>7972</v>
      </c>
      <c r="O94" s="1175" t="s">
        <v>7973</v>
      </c>
      <c r="P94" s="1175" t="s">
        <v>7974</v>
      </c>
      <c r="Q94" s="1175" t="s">
        <v>7975</v>
      </c>
      <c r="R94" s="1203" t="s">
        <v>7976</v>
      </c>
      <c r="S94" s="2137">
        <f>IF(COUNTIF(Psíquicos!$C$25:$E$36,E94)=0,0,1)</f>
        <v>0</v>
      </c>
      <c r="U94" s="1175" t="str">
        <f t="shared" si="15"/>
        <v>MED</v>
      </c>
      <c r="V94" s="2491"/>
      <c r="W94" s="2491"/>
      <c r="X94" s="2491"/>
      <c r="Y94" s="2491"/>
      <c r="Z94" s="2491"/>
      <c r="AA94" s="2491"/>
      <c r="AB94" s="2491"/>
      <c r="AC94" s="2491"/>
      <c r="AD94" s="2491"/>
      <c r="AE94" s="2491"/>
      <c r="AF94" s="2491">
        <f>IF(ISNUMBER(SEARCH("&gt;",D94)),0,COUNTIF(Psíquicos!$AD$16:$AH$61,D94))</f>
        <v>0</v>
      </c>
      <c r="AG94" s="1175" t="str">
        <f>IF(AF94=0,"",VLOOKUP(D94,Psíquicos!$AD$11:$AK$64,8,FALSE))</f>
        <v/>
      </c>
      <c r="AH94" s="2606"/>
      <c r="AI94" s="2592"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7666</v>
      </c>
      <c r="J95" s="1175" t="s">
        <v>7653</v>
      </c>
      <c r="K95" s="1175" t="s">
        <v>7652</v>
      </c>
      <c r="L95" s="1175" t="s">
        <v>7651</v>
      </c>
      <c r="M95" s="1175" t="s">
        <v>7633</v>
      </c>
      <c r="N95" s="1175" t="s">
        <v>7634</v>
      </c>
      <c r="O95" s="1175" t="s">
        <v>7635</v>
      </c>
      <c r="P95" s="1175" t="s">
        <v>7636</v>
      </c>
      <c r="Q95" s="1175" t="s">
        <v>7637</v>
      </c>
      <c r="R95" s="1203" t="s">
        <v>7639</v>
      </c>
      <c r="S95" s="2137">
        <f>IF(COUNTIF(Psíquicos!$C$25:$E$36,E95)=0,0,1)</f>
        <v>0</v>
      </c>
      <c r="U95" s="1175" t="str">
        <f t="shared" si="15"/>
        <v/>
      </c>
      <c r="V95" s="2491"/>
      <c r="W95" s="2491"/>
      <c r="X95" s="2491"/>
      <c r="Y95" s="2491"/>
      <c r="Z95" s="2491"/>
      <c r="AA95" s="2491"/>
      <c r="AB95" s="2491"/>
      <c r="AC95" s="2491"/>
      <c r="AD95" s="2491"/>
      <c r="AE95" s="2491"/>
      <c r="AF95" s="2491">
        <f>IF(ISNUMBER(SEARCH("&gt;",D95)),0,COUNTIF(Psíquicos!$AD$16:$AH$61,D95))</f>
        <v>0</v>
      </c>
      <c r="AG95" s="1175" t="str">
        <f>IF(AF95=0,"",VLOOKUP(D95,Psíquicos!$AD$11:$AK$64,8,FALSE))</f>
        <v/>
      </c>
      <c r="AH95" s="2606"/>
      <c r="AI95" s="2592" t="s">
        <v>206</v>
      </c>
    </row>
    <row r="96" spans="1:35" ht="12.75" customHeight="1" x14ac:dyDescent="0.2">
      <c r="A96" s="2143">
        <v>96</v>
      </c>
      <c r="B96" s="2135">
        <f>IF(OR(S96=0),0,SUM($S$6:S96))</f>
        <v>0</v>
      </c>
      <c r="C96" s="1183"/>
      <c r="D96" s="1184" t="s">
        <v>207</v>
      </c>
      <c r="E96" s="1175" t="s">
        <v>111</v>
      </c>
      <c r="F96" s="1176">
        <v>2</v>
      </c>
      <c r="G96" s="1176" t="s">
        <v>3143</v>
      </c>
      <c r="H96" s="1177" t="s">
        <v>1609</v>
      </c>
      <c r="I96" s="1175" t="s">
        <v>7653</v>
      </c>
      <c r="J96" s="1175" t="s">
        <v>7652</v>
      </c>
      <c r="K96" s="1175" t="s">
        <v>7651</v>
      </c>
      <c r="L96" s="1175" t="s">
        <v>7615</v>
      </c>
      <c r="M96" s="1175" t="s">
        <v>7977</v>
      </c>
      <c r="N96" s="1175" t="s">
        <v>7978</v>
      </c>
      <c r="O96" s="1175" t="s">
        <v>7979</v>
      </c>
      <c r="P96" s="1175" t="s">
        <v>7980</v>
      </c>
      <c r="Q96" s="1175" t="s">
        <v>7981</v>
      </c>
      <c r="R96" s="1203" t="s">
        <v>7982</v>
      </c>
      <c r="S96" s="2137">
        <f>IF(COUNTIF(Psíquicos!$C$25:$E$36,E96)=0,0,1)</f>
        <v>0</v>
      </c>
      <c r="U96" s="1175" t="str">
        <f t="shared" si="15"/>
        <v>MDF</v>
      </c>
      <c r="V96" s="2491"/>
      <c r="W96" s="2491"/>
      <c r="X96" s="2491"/>
      <c r="Y96" s="2491"/>
      <c r="Z96" s="2491"/>
      <c r="AA96" s="2491"/>
      <c r="AB96" s="2491"/>
      <c r="AC96" s="2491"/>
      <c r="AD96" s="2491"/>
      <c r="AE96" s="2491"/>
      <c r="AF96" s="2491">
        <f>IF(ISNUMBER(SEARCH("&gt;",D96)),0,COUNTIF(Psíquicos!$AD$16:$AH$61,D96))</f>
        <v>0</v>
      </c>
      <c r="AG96" s="1175" t="str">
        <f>IF(AF96=0,"",VLOOKUP(D96,Psíquicos!$AD$11:$AK$64,8,FALSE))</f>
        <v/>
      </c>
      <c r="AH96" s="2606"/>
      <c r="AI96" s="2592" t="s">
        <v>207</v>
      </c>
    </row>
    <row r="97" spans="1:35" ht="12.75" customHeight="1" x14ac:dyDescent="0.2">
      <c r="A97" s="2143">
        <v>97</v>
      </c>
      <c r="B97" s="2135">
        <f>IF(OR(S97=0),0,SUM($S$6:S97))</f>
        <v>0</v>
      </c>
      <c r="C97" s="1183"/>
      <c r="D97" s="1184" t="s">
        <v>208</v>
      </c>
      <c r="E97" s="1175" t="s">
        <v>111</v>
      </c>
      <c r="F97" s="1176">
        <v>2</v>
      </c>
      <c r="G97" s="1176" t="s">
        <v>3143</v>
      </c>
      <c r="H97" s="1177" t="s">
        <v>1609</v>
      </c>
      <c r="I97" s="1175" t="s">
        <v>7653</v>
      </c>
      <c r="J97" s="1175" t="s">
        <v>7652</v>
      </c>
      <c r="K97" s="1175" t="s">
        <v>7651</v>
      </c>
      <c r="L97" s="1175" t="s">
        <v>7615</v>
      </c>
      <c r="M97" s="1175" t="s">
        <v>7633</v>
      </c>
      <c r="N97" s="1175" t="s">
        <v>7634</v>
      </c>
      <c r="O97" s="1175" t="s">
        <v>7635</v>
      </c>
      <c r="P97" s="1175" t="s">
        <v>7636</v>
      </c>
      <c r="Q97" s="1175" t="s">
        <v>7637</v>
      </c>
      <c r="R97" s="1203" t="s">
        <v>7639</v>
      </c>
      <c r="S97" s="2137">
        <f>IF(COUNTIF(Psíquicos!$C$25:$E$36,E97)=0,0,1)</f>
        <v>0</v>
      </c>
      <c r="U97" s="1175" t="str">
        <f t="shared" si="15"/>
        <v>MDF</v>
      </c>
      <c r="V97" s="2491"/>
      <c r="W97" s="2491"/>
      <c r="X97" s="2491"/>
      <c r="Y97" s="2491"/>
      <c r="Z97" s="2491"/>
      <c r="AA97" s="2491"/>
      <c r="AB97" s="2491"/>
      <c r="AC97" s="2491"/>
      <c r="AD97" s="2491"/>
      <c r="AE97" s="2491"/>
      <c r="AF97" s="2491">
        <f>IF(ISNUMBER(SEARCH("&gt;",D97)),0,COUNTIF(Psíquicos!$AD$16:$AH$61,D97))</f>
        <v>0</v>
      </c>
      <c r="AG97" s="1175" t="str">
        <f>IF(AF97=0,"",VLOOKUP(D97,Psíquicos!$AD$11:$AK$64,8,FALSE))</f>
        <v/>
      </c>
      <c r="AH97" s="2606"/>
      <c r="AI97" s="2592" t="s">
        <v>208</v>
      </c>
    </row>
    <row r="98" spans="1:35" ht="12.75" customHeight="1" x14ac:dyDescent="0.2">
      <c r="A98" s="2143">
        <v>98</v>
      </c>
      <c r="B98" s="2135">
        <f>IF(OR(S98=0),0,SUM($S$6:S98))</f>
        <v>0</v>
      </c>
      <c r="C98" s="1183"/>
      <c r="D98" s="1184" t="s">
        <v>209</v>
      </c>
      <c r="E98" s="1175" t="s">
        <v>111</v>
      </c>
      <c r="F98" s="1176">
        <v>2</v>
      </c>
      <c r="G98" s="1176" t="s">
        <v>3143</v>
      </c>
      <c r="H98" s="1177" t="s">
        <v>1609</v>
      </c>
      <c r="I98" s="1175" t="s">
        <v>7653</v>
      </c>
      <c r="J98" s="1175" t="s">
        <v>7652</v>
      </c>
      <c r="K98" s="1175" t="s">
        <v>7651</v>
      </c>
      <c r="L98" s="1175" t="s">
        <v>7615</v>
      </c>
      <c r="M98" s="1175" t="s">
        <v>7983</v>
      </c>
      <c r="N98" s="1175" t="s">
        <v>7628</v>
      </c>
      <c r="O98" s="1175" t="s">
        <v>7984</v>
      </c>
      <c r="P98" s="1175" t="s">
        <v>7629</v>
      </c>
      <c r="Q98" s="1175" t="s">
        <v>7630</v>
      </c>
      <c r="R98" s="1203" t="s">
        <v>7632</v>
      </c>
      <c r="S98" s="2137">
        <f>IF(COUNTIF(Psíquicos!$C$25:$E$36,E98)=0,0,1)</f>
        <v>0</v>
      </c>
      <c r="U98" s="1175" t="str">
        <f t="shared" si="15"/>
        <v>MDF</v>
      </c>
      <c r="V98" s="2491"/>
      <c r="W98" s="2491"/>
      <c r="X98" s="2491"/>
      <c r="Y98" s="2491"/>
      <c r="Z98" s="2491"/>
      <c r="AA98" s="2491"/>
      <c r="AB98" s="2491"/>
      <c r="AC98" s="2491"/>
      <c r="AD98" s="2491"/>
      <c r="AE98" s="2491"/>
      <c r="AF98" s="2491">
        <f>IF(ISNUMBER(SEARCH("&gt;",D98)),0,COUNTIF(Psíquicos!$AD$16:$AH$61,D98))</f>
        <v>0</v>
      </c>
      <c r="AG98" s="1175" t="str">
        <f>IF(AF98=0,"",VLOOKUP(D98,Psíquicos!$AD$11:$AK$64,8,FALSE))</f>
        <v/>
      </c>
      <c r="AH98" s="2606"/>
      <c r="AI98" s="2592"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7667</v>
      </c>
      <c r="J99" s="1175" t="s">
        <v>7666</v>
      </c>
      <c r="K99" s="1175" t="s">
        <v>7653</v>
      </c>
      <c r="L99" s="1175" t="s">
        <v>7652</v>
      </c>
      <c r="M99" s="1175" t="s">
        <v>7651</v>
      </c>
      <c r="N99" s="1175" t="s">
        <v>7634</v>
      </c>
      <c r="O99" s="1175" t="s">
        <v>7635</v>
      </c>
      <c r="P99" s="1175" t="s">
        <v>7636</v>
      </c>
      <c r="Q99" s="1175" t="s">
        <v>7637</v>
      </c>
      <c r="R99" s="1203" t="s">
        <v>7638</v>
      </c>
      <c r="S99" s="2137">
        <f>IF(COUNTIF(Psíquicos!$C$25:$E$36,E99)=0,0,1)</f>
        <v>0</v>
      </c>
      <c r="U99" s="1175" t="str">
        <f t="shared" si="15"/>
        <v/>
      </c>
      <c r="V99" s="2491"/>
      <c r="W99" s="2491"/>
      <c r="X99" s="2491"/>
      <c r="Y99" s="2491"/>
      <c r="Z99" s="2491"/>
      <c r="AA99" s="2491"/>
      <c r="AB99" s="2491"/>
      <c r="AC99" s="2491"/>
      <c r="AD99" s="2491"/>
      <c r="AE99" s="2491"/>
      <c r="AF99" s="2491">
        <f>IF(ISNUMBER(SEARCH("&gt;",D99)),0,COUNTIF(Psíquicos!$AD$16:$AH$61,D99))</f>
        <v>0</v>
      </c>
      <c r="AG99" s="1175" t="str">
        <f>IF(AF99=0,"",VLOOKUP(D99,Psíquicos!$AD$11:$AK$64,8,FALSE))</f>
        <v/>
      </c>
      <c r="AH99" s="2606"/>
      <c r="AI99" s="2592" t="s">
        <v>210</v>
      </c>
    </row>
    <row r="100" spans="1:35" ht="12.75" customHeight="1" x14ac:dyDescent="0.2">
      <c r="A100" s="2143">
        <v>100</v>
      </c>
      <c r="B100" s="2135">
        <f>IF(OR(S100=0),0,SUM($S$6:S100))</f>
        <v>0</v>
      </c>
      <c r="C100" s="1183"/>
      <c r="D100" s="1184" t="s">
        <v>135</v>
      </c>
      <c r="E100" s="1175" t="s">
        <v>111</v>
      </c>
      <c r="F100" s="1176">
        <v>3</v>
      </c>
      <c r="G100" s="1176" t="s">
        <v>3143</v>
      </c>
      <c r="H100" s="1177" t="s">
        <v>1609</v>
      </c>
      <c r="I100" s="1175" t="s">
        <v>7667</v>
      </c>
      <c r="J100" s="1175" t="s">
        <v>7666</v>
      </c>
      <c r="K100" s="1175" t="s">
        <v>7653</v>
      </c>
      <c r="L100" s="1175" t="s">
        <v>7651</v>
      </c>
      <c r="M100" s="1175" t="s">
        <v>7668</v>
      </c>
      <c r="N100" s="1175" t="s">
        <v>7625</v>
      </c>
      <c r="O100" s="1175" t="s">
        <v>7627</v>
      </c>
      <c r="P100" s="1175" t="s">
        <v>7628</v>
      </c>
      <c r="Q100" s="1175" t="s">
        <v>7629</v>
      </c>
      <c r="R100" s="1203" t="s">
        <v>7669</v>
      </c>
      <c r="S100" s="2137">
        <f>IF(COUNTIF(Psíquicos!$C$25:$E$36,E100)=0,0,1)</f>
        <v>0</v>
      </c>
      <c r="U100" s="1175" t="str">
        <f t="shared" si="15"/>
        <v>MDF</v>
      </c>
      <c r="V100" s="2491"/>
      <c r="W100" s="2491"/>
      <c r="X100" s="2491"/>
      <c r="Y100" s="2491"/>
      <c r="Z100" s="2491"/>
      <c r="AA100" s="2491"/>
      <c r="AB100" s="2491"/>
      <c r="AC100" s="2491"/>
      <c r="AD100" s="2491"/>
      <c r="AE100" s="2491"/>
      <c r="AF100" s="2491">
        <f>IF(ISNUMBER(SEARCH("&gt;",D100)),0,COUNTIF(Psíquicos!$AD$16:$AH$61,D100))</f>
        <v>0</v>
      </c>
      <c r="AG100" s="1175" t="str">
        <f>IF(AF100=0,"",VLOOKUP(D100,Psíquicos!$AD$11:$AK$64,8,FALSE))</f>
        <v/>
      </c>
      <c r="AH100" s="2606"/>
      <c r="AI100" s="2592"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1"/>
      <c r="W101" s="2491"/>
      <c r="X101" s="2491"/>
      <c r="Y101" s="2491"/>
      <c r="Z101" s="2491"/>
      <c r="AA101" s="2491"/>
      <c r="AB101" s="2491"/>
      <c r="AC101" s="2491"/>
      <c r="AD101" s="2491"/>
      <c r="AE101" s="2491"/>
      <c r="AF101" s="2491">
        <f>IF(ISNUMBER(SEARCH("&gt;",D101)),0,COUNTIF(Psíquicos!$AD$16:$AH$61,D101))</f>
        <v>0</v>
      </c>
      <c r="AG101" s="1175" t="str">
        <f>IF(AF101=0,"",VLOOKUP(D101,Psíquicos!$AD$11:$AK$64,8,FALSE))</f>
        <v/>
      </c>
      <c r="AH101" s="2606"/>
      <c r="AI101" s="2592" t="s">
        <v>211</v>
      </c>
    </row>
    <row r="102" spans="1:35" ht="12.75" customHeight="1" x14ac:dyDescent="0.2">
      <c r="A102" s="2143">
        <v>102</v>
      </c>
      <c r="B102" s="2135">
        <f>IF(OR(S102=0),0,SUM($S$6:S102))</f>
        <v>0</v>
      </c>
      <c r="C102" s="1183"/>
      <c r="D102" s="1184" t="s">
        <v>212</v>
      </c>
      <c r="E102" s="1175" t="s">
        <v>109</v>
      </c>
      <c r="F102" s="1176">
        <v>1</v>
      </c>
      <c r="G102" s="1176" t="s">
        <v>3143</v>
      </c>
      <c r="H102" s="1177" t="s">
        <v>1609</v>
      </c>
      <c r="I102" s="1175" t="s">
        <v>7616</v>
      </c>
      <c r="J102" s="1175" t="s">
        <v>7985</v>
      </c>
      <c r="K102" s="1175" t="s">
        <v>7986</v>
      </c>
      <c r="L102" s="1175" t="s">
        <v>4901</v>
      </c>
      <c r="M102" s="1175" t="s">
        <v>7987</v>
      </c>
      <c r="N102" s="1175" t="s">
        <v>4902</v>
      </c>
      <c r="O102" s="1175" t="s">
        <v>4903</v>
      </c>
      <c r="P102" s="1175" t="s">
        <v>4889</v>
      </c>
      <c r="Q102" s="1175" t="s">
        <v>6954</v>
      </c>
      <c r="R102" s="1203" t="s">
        <v>6955</v>
      </c>
      <c r="S102" s="2137">
        <f>IF(COUNTIF(Psíquicos!$C$25:$E$36,E102)=0,0,1)</f>
        <v>0</v>
      </c>
      <c r="U102" s="1175" t="str">
        <f t="shared" si="15"/>
        <v>FAC</v>
      </c>
      <c r="V102" s="2491"/>
      <c r="W102" s="2491"/>
      <c r="X102" s="2491"/>
      <c r="Y102" s="2491"/>
      <c r="Z102" s="2491"/>
      <c r="AA102" s="2491"/>
      <c r="AB102" s="2491"/>
      <c r="AC102" s="2491"/>
      <c r="AD102" s="2491"/>
      <c r="AE102" s="2491"/>
      <c r="AF102" s="2491">
        <f>IF(ISNUMBER(SEARCH("&gt;",D102)),0,COUNTIF(Psíquicos!$AD$16:$AH$61,D102))</f>
        <v>0</v>
      </c>
      <c r="AG102" s="1175" t="str">
        <f>IF(AF102=0,"",VLOOKUP(D102,Psíquicos!$AD$11:$AK$64,8,FALSE))</f>
        <v/>
      </c>
      <c r="AH102" s="2606"/>
      <c r="AI102" s="2592"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7653</v>
      </c>
      <c r="J103" s="1175" t="s">
        <v>7652</v>
      </c>
      <c r="K103" s="1175" t="s">
        <v>7651</v>
      </c>
      <c r="L103" s="1175" t="s">
        <v>7985</v>
      </c>
      <c r="M103" s="1175" t="s">
        <v>7986</v>
      </c>
      <c r="N103" s="1175" t="s">
        <v>4901</v>
      </c>
      <c r="O103" s="1175" t="s">
        <v>7987</v>
      </c>
      <c r="P103" s="1175" t="s">
        <v>4902</v>
      </c>
      <c r="Q103" s="1175" t="s">
        <v>4903</v>
      </c>
      <c r="R103" s="1203" t="s">
        <v>4889</v>
      </c>
      <c r="S103" s="2137">
        <f>IF(COUNTIF(Psíquicos!$C$25:$E$36,E103)=0,0,1)</f>
        <v>0</v>
      </c>
      <c r="U103" s="1175" t="str">
        <f t="shared" ref="U103:U134" si="16">IF(OR(G103="No",ISNUMBER(SEARCH("&gt;",D103))),"",INDEX($I$6:$R$6,SUMPRODUCT(--(ISNUMBER(SEARCH("Fatiga",$I103:$R103))))+1))</f>
        <v/>
      </c>
      <c r="V103" s="2491"/>
      <c r="W103" s="2491"/>
      <c r="X103" s="2491"/>
      <c r="Y103" s="2491"/>
      <c r="Z103" s="2491"/>
      <c r="AA103" s="2491"/>
      <c r="AB103" s="2491"/>
      <c r="AC103" s="2491"/>
      <c r="AD103" s="2491"/>
      <c r="AE103" s="2491"/>
      <c r="AF103" s="2491">
        <f>IF(ISNUMBER(SEARCH("&gt;",D103)),0,COUNTIF(Psíquicos!$AD$16:$AH$61,D103))</f>
        <v>0</v>
      </c>
      <c r="AG103" s="1175" t="str">
        <f>IF(AF103=0,"",VLOOKUP(D103,Psíquicos!$AD$11:$AK$64,8,FALSE))</f>
        <v/>
      </c>
      <c r="AH103" s="2606"/>
      <c r="AI103" s="2592"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7652</v>
      </c>
      <c r="J104" s="1175" t="s">
        <v>7651</v>
      </c>
      <c r="K104" s="1175" t="s">
        <v>7615</v>
      </c>
      <c r="L104" s="1175" t="s">
        <v>7988</v>
      </c>
      <c r="M104" s="1175" t="s">
        <v>7989</v>
      </c>
      <c r="N104" s="1175" t="s">
        <v>7990</v>
      </c>
      <c r="O104" s="1175" t="s">
        <v>7991</v>
      </c>
      <c r="P104" s="1175" t="s">
        <v>7992</v>
      </c>
      <c r="Q104" s="1175" t="s">
        <v>7993</v>
      </c>
      <c r="R104" s="1203" t="s">
        <v>7994</v>
      </c>
      <c r="S104" s="2137">
        <f>IF(COUNTIF(Psíquicos!$C$25:$E$36,E104)=0,0,1)</f>
        <v>0</v>
      </c>
      <c r="U104" s="1175" t="str">
        <f t="shared" si="16"/>
        <v/>
      </c>
      <c r="V104" s="2491"/>
      <c r="W104" s="2491"/>
      <c r="X104" s="2491"/>
      <c r="Y104" s="2491"/>
      <c r="Z104" s="2491"/>
      <c r="AA104" s="2491"/>
      <c r="AB104" s="2491"/>
      <c r="AC104" s="2491"/>
      <c r="AD104" s="2491"/>
      <c r="AE104" s="2491"/>
      <c r="AF104" s="2491">
        <f>IF(ISNUMBER(SEARCH("&gt;",D104)),0,COUNTIF(Psíquicos!$AD$16:$AH$61,D104))</f>
        <v>0</v>
      </c>
      <c r="AG104" s="1175" t="str">
        <f>IF(AF104=0,"",VLOOKUP(D104,Psíquicos!$AD$11:$AK$64,8,FALSE))</f>
        <v/>
      </c>
      <c r="AH104" s="2606"/>
      <c r="AI104" s="2592" t="s">
        <v>214</v>
      </c>
    </row>
    <row r="105" spans="1:35" ht="12.75" customHeight="1" x14ac:dyDescent="0.2">
      <c r="A105" s="2143">
        <v>105</v>
      </c>
      <c r="B105" s="2135">
        <f>IF(OR(S105=0),0,SUM($S$6:S105))</f>
        <v>0</v>
      </c>
      <c r="C105" s="1183"/>
      <c r="D105" s="1184" t="s">
        <v>215</v>
      </c>
      <c r="E105" s="1175" t="s">
        <v>109</v>
      </c>
      <c r="F105" s="1176">
        <v>3</v>
      </c>
      <c r="G105" s="1176" t="s">
        <v>3143</v>
      </c>
      <c r="H105" s="1177" t="s">
        <v>1609</v>
      </c>
      <c r="I105" s="1175" t="s">
        <v>7667</v>
      </c>
      <c r="J105" s="1175" t="s">
        <v>7666</v>
      </c>
      <c r="K105" s="1175" t="s">
        <v>7653</v>
      </c>
      <c r="L105" s="1175" t="s">
        <v>7652</v>
      </c>
      <c r="M105" s="1175" t="s">
        <v>7651</v>
      </c>
      <c r="N105" s="1175" t="s">
        <v>4889</v>
      </c>
      <c r="O105" s="1175" t="s">
        <v>7995</v>
      </c>
      <c r="P105" s="1175" t="s">
        <v>6955</v>
      </c>
      <c r="Q105" s="1175" t="s">
        <v>7996</v>
      </c>
      <c r="R105" s="1203" t="s">
        <v>7997</v>
      </c>
      <c r="S105" s="2137">
        <f>IF(COUNTIF(Psíquicos!$C$25:$E$36,E105)=0,0,1)</f>
        <v>0</v>
      </c>
      <c r="U105" s="1175" t="str">
        <f t="shared" si="16"/>
        <v>ABS</v>
      </c>
      <c r="V105" s="2491"/>
      <c r="W105" s="2491"/>
      <c r="X105" s="2491"/>
      <c r="Y105" s="2491"/>
      <c r="Z105" s="2491"/>
      <c r="AA105" s="2491"/>
      <c r="AB105" s="2491"/>
      <c r="AC105" s="2491"/>
      <c r="AD105" s="2491"/>
      <c r="AE105" s="2491"/>
      <c r="AF105" s="2491">
        <f>IF(ISNUMBER(SEARCH("&gt;",D105)),0,COUNTIF(Psíquicos!$AD$16:$AH$61,D105))</f>
        <v>0</v>
      </c>
      <c r="AG105" s="1175" t="str">
        <f>IF(AF105=0,"",VLOOKUP(D105,Psíquicos!$AD$11:$AK$64,8,FALSE))</f>
        <v/>
      </c>
      <c r="AH105" s="2606"/>
      <c r="AI105" s="2592"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1"/>
      <c r="W106" s="2491"/>
      <c r="X106" s="2491"/>
      <c r="Y106" s="2491"/>
      <c r="Z106" s="2491"/>
      <c r="AA106" s="2491"/>
      <c r="AB106" s="2491"/>
      <c r="AC106" s="2491"/>
      <c r="AD106" s="2491"/>
      <c r="AE106" s="2491"/>
      <c r="AF106" s="2491">
        <f>IF(ISNUMBER(SEARCH("&gt;",D106)),0,COUNTIF(Psíquicos!$AD$16:$AH$61,D106))</f>
        <v>0</v>
      </c>
      <c r="AG106" s="1175" t="str">
        <f>IF(AF106=0,"",VLOOKUP(D106,Psíquicos!$AD$11:$AK$64,8,FALSE))</f>
        <v/>
      </c>
      <c r="AH106" s="2606"/>
      <c r="AI106" s="2592" t="s">
        <v>216</v>
      </c>
    </row>
    <row r="107" spans="1:35" ht="12.75" customHeight="1" x14ac:dyDescent="0.2">
      <c r="A107" s="2143">
        <v>107</v>
      </c>
      <c r="B107" s="2135">
        <f>IF(OR(S107=0),0,SUM($S$6:S107))</f>
        <v>0</v>
      </c>
      <c r="C107" s="1183"/>
      <c r="D107" s="1184" t="s">
        <v>217</v>
      </c>
      <c r="E107" s="1204" t="s">
        <v>113</v>
      </c>
      <c r="F107" s="1176">
        <v>1</v>
      </c>
      <c r="G107" s="1176" t="s">
        <v>3143</v>
      </c>
      <c r="H107" s="1177" t="s">
        <v>1609</v>
      </c>
      <c r="I107" s="1175" t="s">
        <v>7666</v>
      </c>
      <c r="J107" s="1175" t="s">
        <v>7653</v>
      </c>
      <c r="K107" s="1175" t="s">
        <v>7652</v>
      </c>
      <c r="L107" s="1175" t="s">
        <v>7651</v>
      </c>
      <c r="M107" s="1175" t="s">
        <v>7615</v>
      </c>
      <c r="N107" s="1175" t="s">
        <v>7998</v>
      </c>
      <c r="O107" s="1175" t="s">
        <v>7626</v>
      </c>
      <c r="P107" s="1175" t="s">
        <v>7983</v>
      </c>
      <c r="Q107" s="1175" t="s">
        <v>7999</v>
      </c>
      <c r="R107" s="1203" t="s">
        <v>8000</v>
      </c>
      <c r="S107" s="2137">
        <f>IF(COUNTIF(Psíquicos!$C$25:$E$36,E107)=0,0,1)</f>
        <v>0</v>
      </c>
      <c r="U107" s="1175" t="str">
        <f t="shared" si="16"/>
        <v>ABS</v>
      </c>
      <c r="V107" s="2491"/>
      <c r="W107" s="2491"/>
      <c r="X107" s="2491"/>
      <c r="Y107" s="2491"/>
      <c r="Z107" s="2491"/>
      <c r="AA107" s="2491"/>
      <c r="AB107" s="2491"/>
      <c r="AC107" s="2491"/>
      <c r="AD107" s="2491"/>
      <c r="AE107" s="2491"/>
      <c r="AF107" s="2491">
        <f>IF(ISNUMBER(SEARCH("&gt;",D107)),0,COUNTIF(Psíquicos!$AD$16:$AH$61,D107))</f>
        <v>0</v>
      </c>
      <c r="AG107" s="1175" t="str">
        <f>IF(AF107=0,"",VLOOKUP(D107,Psíquicos!$AD$11:$AK$64,8,FALSE))</f>
        <v/>
      </c>
      <c r="AH107" s="2606"/>
      <c r="AI107" s="2592" t="s">
        <v>217</v>
      </c>
    </row>
    <row r="108" spans="1:35" ht="12.75" customHeight="1" x14ac:dyDescent="0.2">
      <c r="A108" s="2143">
        <v>108</v>
      </c>
      <c r="B108" s="2135">
        <f>IF(OR(S108=0),0,SUM($S$6:S108))</f>
        <v>0</v>
      </c>
      <c r="C108" s="1183"/>
      <c r="D108" s="1184" t="s">
        <v>218</v>
      </c>
      <c r="E108" s="1204" t="s">
        <v>113</v>
      </c>
      <c r="F108" s="1176">
        <v>2</v>
      </c>
      <c r="G108" s="1176" t="s">
        <v>3143</v>
      </c>
      <c r="H108" s="1177" t="s">
        <v>1609</v>
      </c>
      <c r="I108" s="1175" t="s">
        <v>7666</v>
      </c>
      <c r="J108" s="1175" t="s">
        <v>7653</v>
      </c>
      <c r="K108" s="1175" t="s">
        <v>7652</v>
      </c>
      <c r="L108" s="1175" t="s">
        <v>7651</v>
      </c>
      <c r="M108" s="1175" t="s">
        <v>7615</v>
      </c>
      <c r="N108" s="1175" t="s">
        <v>8001</v>
      </c>
      <c r="O108" s="1175" t="s">
        <v>8002</v>
      </c>
      <c r="P108" s="1175" t="s">
        <v>8003</v>
      </c>
      <c r="Q108" s="1175" t="s">
        <v>8004</v>
      </c>
      <c r="R108" s="1175" t="s">
        <v>8005</v>
      </c>
      <c r="S108" s="2137">
        <f>IF(COUNTIF(Psíquicos!$C$25:$E$36,E108)=0,0,1)</f>
        <v>0</v>
      </c>
      <c r="U108" s="1175" t="str">
        <f t="shared" si="16"/>
        <v>ABS</v>
      </c>
      <c r="V108" s="2491"/>
      <c r="W108" s="2491"/>
      <c r="X108" s="2491"/>
      <c r="Y108" s="2491"/>
      <c r="Z108" s="2491"/>
      <c r="AA108" s="2491"/>
      <c r="AB108" s="2491"/>
      <c r="AC108" s="2491"/>
      <c r="AD108" s="2491"/>
      <c r="AE108" s="2491"/>
      <c r="AF108" s="2491">
        <f>IF(ISNUMBER(SEARCH("&gt;",D108)),0,COUNTIF(Psíquicos!$AD$16:$AH$61,D108))</f>
        <v>0</v>
      </c>
      <c r="AG108" s="1175" t="str">
        <f>IF(AF108=0,"",VLOOKUP(D108,Psíquicos!$AD$11:$AK$64,8,FALSE))</f>
        <v/>
      </c>
      <c r="AH108" s="2606"/>
      <c r="AI108" s="2592"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7652</v>
      </c>
      <c r="J109" s="1175" t="s">
        <v>7651</v>
      </c>
      <c r="K109" s="1175" t="s">
        <v>7615</v>
      </c>
      <c r="L109" s="1175" t="s">
        <v>7616</v>
      </c>
      <c r="M109" s="1175" t="s">
        <v>8006</v>
      </c>
      <c r="N109" s="1175" t="s">
        <v>8007</v>
      </c>
      <c r="O109" s="1175" t="s">
        <v>8008</v>
      </c>
      <c r="P109" s="1175" t="s">
        <v>8009</v>
      </c>
      <c r="Q109" s="1175" t="s">
        <v>8010</v>
      </c>
      <c r="R109" s="1203" t="s">
        <v>8011</v>
      </c>
      <c r="S109" s="2137">
        <f>IF(COUNTIF(Psíquicos!$C$25:$E$36,E109)=0,0,1)</f>
        <v>0</v>
      </c>
      <c r="U109" s="1175" t="str">
        <f t="shared" si="16"/>
        <v/>
      </c>
      <c r="V109" s="2491"/>
      <c r="W109" s="2491"/>
      <c r="X109" s="2492"/>
      <c r="Y109" s="2492"/>
      <c r="Z109" s="2492"/>
      <c r="AA109" s="2492"/>
      <c r="AB109" s="2491"/>
      <c r="AC109" s="2491"/>
      <c r="AD109" s="2491"/>
      <c r="AE109" s="2492"/>
      <c r="AF109" s="2491">
        <f>IF(ISNUMBER(SEARCH("&gt;",D109)),0,COUNTIF(Psíquicos!$AD$16:$AH$61,D109))</f>
        <v>0</v>
      </c>
      <c r="AG109" s="1175" t="str">
        <f>IF(AF109=0,"",VLOOKUP(D109,Psíquicos!$AD$11:$AK$64,8,FALSE))</f>
        <v/>
      </c>
      <c r="AH109" s="2606"/>
      <c r="AI109" s="2592" t="s">
        <v>219</v>
      </c>
    </row>
    <row r="110" spans="1:35" ht="12.75" customHeight="1" x14ac:dyDescent="0.2">
      <c r="A110" s="2143">
        <v>110</v>
      </c>
      <c r="B110" s="2135">
        <f>IF(OR(S110=0),0,SUM($S$6:S110))</f>
        <v>0</v>
      </c>
      <c r="C110" s="1183"/>
      <c r="D110" s="1184" t="s">
        <v>220</v>
      </c>
      <c r="E110" s="1204" t="s">
        <v>113</v>
      </c>
      <c r="F110" s="1176">
        <v>3</v>
      </c>
      <c r="G110" s="1176" t="s">
        <v>3143</v>
      </c>
      <c r="H110" s="1177" t="s">
        <v>1609</v>
      </c>
      <c r="I110" s="1175" t="s">
        <v>7666</v>
      </c>
      <c r="J110" s="1175" t="s">
        <v>7653</v>
      </c>
      <c r="K110" s="1175" t="s">
        <v>7652</v>
      </c>
      <c r="L110" s="1175" t="s">
        <v>7651</v>
      </c>
      <c r="M110" s="1175" t="s">
        <v>7615</v>
      </c>
      <c r="N110" s="1175" t="s">
        <v>7998</v>
      </c>
      <c r="O110" s="1175" t="s">
        <v>7626</v>
      </c>
      <c r="P110" s="1175" t="s">
        <v>8012</v>
      </c>
      <c r="Q110" s="1175" t="s">
        <v>8013</v>
      </c>
      <c r="R110" s="1175" t="s">
        <v>8014</v>
      </c>
      <c r="S110" s="2137">
        <f>IF(COUNTIF(Psíquicos!$C$25:$E$36,E110)=0,0,1)</f>
        <v>0</v>
      </c>
      <c r="U110" s="1175" t="str">
        <f t="shared" si="16"/>
        <v>ABS</v>
      </c>
      <c r="V110" s="2491"/>
      <c r="W110" s="2491"/>
      <c r="X110" s="2491"/>
      <c r="Y110" s="2491"/>
      <c r="Z110" s="2491"/>
      <c r="AA110" s="2491"/>
      <c r="AB110" s="2491"/>
      <c r="AC110" s="2491"/>
      <c r="AD110" s="2491"/>
      <c r="AE110" s="2491"/>
      <c r="AF110" s="2491">
        <f>IF(ISNUMBER(SEARCH("&gt;",D110)),0,COUNTIF(Psíquicos!$AD$16:$AH$61,D110))</f>
        <v>0</v>
      </c>
      <c r="AG110" s="1175" t="str">
        <f>IF(AF110=0,"",VLOOKUP(D110,Psíquicos!$AD$11:$AK$64,8,FALSE))</f>
        <v/>
      </c>
      <c r="AH110" s="2606"/>
      <c r="AI110" s="2592"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7667</v>
      </c>
      <c r="J111" s="1175" t="s">
        <v>7666</v>
      </c>
      <c r="K111" s="1175" t="s">
        <v>7653</v>
      </c>
      <c r="L111" s="1175" t="s">
        <v>7652</v>
      </c>
      <c r="M111" s="1175" t="s">
        <v>7651</v>
      </c>
      <c r="N111" s="1175" t="s">
        <v>7615</v>
      </c>
      <c r="O111" s="1175" t="s">
        <v>8015</v>
      </c>
      <c r="P111" s="1175" t="s">
        <v>8016</v>
      </c>
      <c r="Q111" s="1175" t="s">
        <v>8017</v>
      </c>
      <c r="R111" s="1203" t="s">
        <v>8018</v>
      </c>
      <c r="S111" s="2137">
        <f>IF(COUNTIF(Psíquicos!$C$25:$E$36,E111)=0,0,1)</f>
        <v>0</v>
      </c>
      <c r="U111" s="1175" t="str">
        <f t="shared" si="16"/>
        <v/>
      </c>
      <c r="V111" s="2491"/>
      <c r="W111" s="2491"/>
      <c r="X111" s="2491"/>
      <c r="Y111" s="2491"/>
      <c r="Z111" s="2491"/>
      <c r="AA111" s="2491"/>
      <c r="AB111" s="2491"/>
      <c r="AC111" s="2491"/>
      <c r="AD111" s="2491"/>
      <c r="AE111" s="2491"/>
      <c r="AF111" s="2491">
        <f>IF(ISNUMBER(SEARCH("&gt;",D111)),0,COUNTIF(Psíquicos!$AD$16:$AH$61,D111))</f>
        <v>0</v>
      </c>
      <c r="AG111" s="1175" t="str">
        <f>IF(AF111=0,"",VLOOKUP(D111,Psíquicos!$AD$11:$AK$64,8,FALSE))</f>
        <v/>
      </c>
      <c r="AH111" s="2606"/>
      <c r="AI111" s="2592"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1"/>
      <c r="W112" s="2491"/>
      <c r="X112" s="2491"/>
      <c r="Y112" s="2491"/>
      <c r="Z112" s="2491"/>
      <c r="AA112" s="2491"/>
      <c r="AB112" s="2491"/>
      <c r="AC112" s="2491"/>
      <c r="AD112" s="2491"/>
      <c r="AE112" s="2491"/>
      <c r="AF112" s="2491">
        <f>IF(ISNUMBER(SEARCH("&gt;",D112)),0,COUNTIF(Psíquicos!$AD$16:$AH$61,D112))</f>
        <v>0</v>
      </c>
      <c r="AG112" s="1175" t="str">
        <f>IF(AF112=0,"",VLOOKUP(D112,Psíquicos!$AD$11:$AK$64,8,FALSE))</f>
        <v/>
      </c>
      <c r="AH112" s="2606"/>
      <c r="AI112" s="2592"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7651</v>
      </c>
      <c r="J113" s="1175" t="s">
        <v>7615</v>
      </c>
      <c r="K113" s="1175" t="s">
        <v>7616</v>
      </c>
      <c r="L113" s="1175" t="s">
        <v>7800</v>
      </c>
      <c r="M113" s="1175" t="s">
        <v>8019</v>
      </c>
      <c r="N113" s="1175" t="s">
        <v>7801</v>
      </c>
      <c r="O113" s="1175" t="s">
        <v>8020</v>
      </c>
      <c r="P113" s="1175" t="s">
        <v>8021</v>
      </c>
      <c r="Q113" s="1175" t="s">
        <v>8022</v>
      </c>
      <c r="R113" s="1203" t="s">
        <v>8023</v>
      </c>
      <c r="S113" s="2137">
        <f>IF(COUNTIF(Psíquicos!$C$25:$E$36,E113)=0,0,1)</f>
        <v>0</v>
      </c>
      <c r="U113" s="1175" t="str">
        <f t="shared" si="16"/>
        <v/>
      </c>
      <c r="V113" s="2491"/>
      <c r="W113" s="2491"/>
      <c r="X113" s="2491"/>
      <c r="Y113" s="2491"/>
      <c r="Z113" s="2491"/>
      <c r="AA113" s="2491"/>
      <c r="AB113" s="2491"/>
      <c r="AC113" s="2491"/>
      <c r="AD113" s="2491"/>
      <c r="AE113" s="2491"/>
      <c r="AF113" s="2491">
        <f>IF(ISNUMBER(SEARCH("&gt;",D113)),0,COUNTIF(Psíquicos!$AD$16:$AH$61,D113))</f>
        <v>0</v>
      </c>
      <c r="AG113" s="1175" t="str">
        <f>IF(AF113=0,"",VLOOKUP(D113,Psíquicos!$AD$11:$AK$64,8,FALSE))</f>
        <v/>
      </c>
      <c r="AH113" s="2606"/>
      <c r="AI113" s="2592" t="s">
        <v>223</v>
      </c>
    </row>
    <row r="114" spans="1:35" ht="12.75" customHeight="1" x14ac:dyDescent="0.2">
      <c r="A114" s="2143">
        <v>114</v>
      </c>
      <c r="B114" s="2135">
        <f>IF(OR(S114=0),0,SUM($S$6:S114))</f>
        <v>0</v>
      </c>
      <c r="C114" s="1183"/>
      <c r="D114" s="1184" t="s">
        <v>224</v>
      </c>
      <c r="E114" s="1204" t="s">
        <v>114</v>
      </c>
      <c r="F114" s="1176">
        <v>1</v>
      </c>
      <c r="G114" s="1176" t="s">
        <v>3143</v>
      </c>
      <c r="H114" s="1177" t="s">
        <v>1609</v>
      </c>
      <c r="I114" s="1175" t="s">
        <v>7615</v>
      </c>
      <c r="J114" s="1175" t="s">
        <v>7616</v>
      </c>
      <c r="K114" s="1175" t="s">
        <v>5089</v>
      </c>
      <c r="L114" s="1175" t="s">
        <v>6537</v>
      </c>
      <c r="M114" s="1175" t="s">
        <v>5090</v>
      </c>
      <c r="N114" s="1175" t="s">
        <v>7749</v>
      </c>
      <c r="O114" s="1175" t="s">
        <v>5091</v>
      </c>
      <c r="P114" s="1175" t="s">
        <v>7750</v>
      </c>
      <c r="Q114" s="1175" t="s">
        <v>7751</v>
      </c>
      <c r="R114" s="1175" t="s">
        <v>5092</v>
      </c>
      <c r="S114" s="2137">
        <f>IF(COUNTIF(Psíquicos!$C$25:$E$36,E114)=0,0,1)</f>
        <v>0</v>
      </c>
      <c r="U114" s="1175" t="str">
        <f t="shared" si="16"/>
        <v>MED</v>
      </c>
      <c r="V114" s="2491"/>
      <c r="W114" s="2491"/>
      <c r="X114" s="2491"/>
      <c r="Y114" s="2491"/>
      <c r="Z114" s="2491"/>
      <c r="AA114" s="2491"/>
      <c r="AB114" s="2491"/>
      <c r="AC114" s="2491"/>
      <c r="AD114" s="2491"/>
      <c r="AE114" s="2491"/>
      <c r="AF114" s="2491">
        <f>IF(ISNUMBER(SEARCH("&gt;",D114)),0,COUNTIF(Psíquicos!$AD$16:$AH$61,D114))</f>
        <v>0</v>
      </c>
      <c r="AG114" s="1175" t="str">
        <f>IF(AF114=0,"",VLOOKUP(D114,Psíquicos!$AD$11:$AK$64,8,FALSE))</f>
        <v/>
      </c>
      <c r="AH114" s="2606"/>
      <c r="AI114" s="2592" t="s">
        <v>224</v>
      </c>
    </row>
    <row r="115" spans="1:35" ht="12.75" customHeight="1" x14ac:dyDescent="0.2">
      <c r="A115" s="2143">
        <v>115</v>
      </c>
      <c r="B115" s="2135">
        <f>IF(OR(S115=0),0,SUM($S$6:S115))</f>
        <v>0</v>
      </c>
      <c r="C115" s="1183"/>
      <c r="D115" s="1184" t="s">
        <v>225</v>
      </c>
      <c r="E115" s="1204" t="s">
        <v>114</v>
      </c>
      <c r="F115" s="1176">
        <v>1</v>
      </c>
      <c r="G115" s="1176" t="s">
        <v>3143</v>
      </c>
      <c r="H115" s="1177" t="s">
        <v>1609</v>
      </c>
      <c r="I115" s="1175" t="s">
        <v>7615</v>
      </c>
      <c r="J115" s="1175" t="s">
        <v>7616</v>
      </c>
      <c r="K115" s="1175" t="s">
        <v>8024</v>
      </c>
      <c r="L115" s="1175" t="s">
        <v>8025</v>
      </c>
      <c r="M115" s="1175" t="s">
        <v>8026</v>
      </c>
      <c r="N115" s="1175" t="s">
        <v>8027</v>
      </c>
      <c r="O115" s="1175" t="s">
        <v>8028</v>
      </c>
      <c r="P115" s="1175" t="s">
        <v>8029</v>
      </c>
      <c r="Q115" s="1175" t="s">
        <v>8030</v>
      </c>
      <c r="R115" s="1175" t="s">
        <v>8031</v>
      </c>
      <c r="S115" s="2137">
        <f>IF(COUNTIF(Psíquicos!$C$25:$E$36,E115)=0,0,1)</f>
        <v>0</v>
      </c>
      <c r="U115" s="1175" t="str">
        <f t="shared" si="16"/>
        <v>MED</v>
      </c>
      <c r="V115" s="2491"/>
      <c r="W115" s="2491"/>
      <c r="X115" s="2491"/>
      <c r="Y115" s="2491"/>
      <c r="Z115" s="2491"/>
      <c r="AA115" s="2491"/>
      <c r="AB115" s="2491"/>
      <c r="AC115" s="2491"/>
      <c r="AD115" s="2491"/>
      <c r="AE115" s="2491"/>
      <c r="AF115" s="2491">
        <f>IF(ISNUMBER(SEARCH("&gt;",D115)),0,COUNTIF(Psíquicos!$AD$16:$AH$61,D115))</f>
        <v>0</v>
      </c>
      <c r="AG115" s="1175" t="str">
        <f>IF(AF115=0,"",VLOOKUP(D115,Psíquicos!$AD$11:$AK$64,8,FALSE))</f>
        <v/>
      </c>
      <c r="AH115" s="2606"/>
      <c r="AI115" s="2592" t="s">
        <v>225</v>
      </c>
    </row>
    <row r="116" spans="1:35" ht="12.75" customHeight="1" x14ac:dyDescent="0.2">
      <c r="A116" s="2143">
        <v>116</v>
      </c>
      <c r="B116" s="2135">
        <f>IF(OR(S116=0),0,SUM($S$6:S116))</f>
        <v>0</v>
      </c>
      <c r="C116" s="1183"/>
      <c r="D116" s="1184" t="s">
        <v>226</v>
      </c>
      <c r="E116" s="1204" t="s">
        <v>114</v>
      </c>
      <c r="F116" s="1176">
        <v>1</v>
      </c>
      <c r="G116" s="1176" t="s">
        <v>3143</v>
      </c>
      <c r="H116" s="1177" t="s">
        <v>1609</v>
      </c>
      <c r="I116" s="1175" t="s">
        <v>7651</v>
      </c>
      <c r="J116" s="1175" t="s">
        <v>7615</v>
      </c>
      <c r="K116" s="1175" t="s">
        <v>7616</v>
      </c>
      <c r="L116" s="1175" t="s">
        <v>8032</v>
      </c>
      <c r="M116" s="1175" t="s">
        <v>8033</v>
      </c>
      <c r="N116" s="1175" t="s">
        <v>8034</v>
      </c>
      <c r="O116" s="1175" t="s">
        <v>8035</v>
      </c>
      <c r="P116" s="1175" t="s">
        <v>8036</v>
      </c>
      <c r="Q116" s="1175" t="s">
        <v>8037</v>
      </c>
      <c r="R116" s="1203" t="s">
        <v>8038</v>
      </c>
      <c r="S116" s="2139">
        <f>S117</f>
        <v>0</v>
      </c>
      <c r="U116" s="1175" t="str">
        <f t="shared" si="16"/>
        <v>DIF</v>
      </c>
      <c r="V116" s="2491"/>
      <c r="W116" s="2491"/>
      <c r="X116" s="2491"/>
      <c r="Y116" s="2491"/>
      <c r="Z116" s="2491"/>
      <c r="AA116" s="2491"/>
      <c r="AB116" s="2491"/>
      <c r="AC116" s="2491"/>
      <c r="AD116" s="2491"/>
      <c r="AE116" s="2491"/>
      <c r="AF116" s="2491">
        <f>IF(ISNUMBER(SEARCH("&gt;",D116)),0,COUNTIF(Psíquicos!$AD$16:$AH$61,D116))</f>
        <v>0</v>
      </c>
      <c r="AG116" s="1175" t="str">
        <f>IF(AF116=0,"",VLOOKUP(D116,Psíquicos!$AD$11:$AK$64,8,FALSE))</f>
        <v/>
      </c>
      <c r="AH116" s="2606"/>
      <c r="AI116" s="2592" t="s">
        <v>226</v>
      </c>
    </row>
    <row r="117" spans="1:35" ht="12.75" customHeight="1" x14ac:dyDescent="0.2">
      <c r="A117" s="2143">
        <v>117</v>
      </c>
      <c r="B117" s="2135">
        <f>IF(OR(S117=0),0,SUM($S$6:S117))</f>
        <v>0</v>
      </c>
      <c r="C117" s="1183"/>
      <c r="D117" s="1184" t="s">
        <v>227</v>
      </c>
      <c r="E117" s="1204" t="s">
        <v>114</v>
      </c>
      <c r="F117" s="1176">
        <v>2</v>
      </c>
      <c r="G117" s="1176" t="s">
        <v>3143</v>
      </c>
      <c r="H117" s="1177" t="s">
        <v>1610</v>
      </c>
      <c r="I117" s="1175" t="s">
        <v>7651</v>
      </c>
      <c r="J117" s="1175" t="s">
        <v>7615</v>
      </c>
      <c r="K117" s="1175" t="s">
        <v>7616</v>
      </c>
      <c r="L117" s="1175" t="s">
        <v>7813</v>
      </c>
      <c r="M117" s="1175" t="s">
        <v>7814</v>
      </c>
      <c r="N117" s="1175" t="s">
        <v>7815</v>
      </c>
      <c r="O117" s="1175" t="s">
        <v>8039</v>
      </c>
      <c r="P117" s="1175" t="s">
        <v>8040</v>
      </c>
      <c r="Q117" s="1175" t="s">
        <v>8041</v>
      </c>
      <c r="R117" s="1175" t="s">
        <v>8042</v>
      </c>
      <c r="S117" s="2137">
        <f>IF(COUNTIF(Psíquicos!$C$25:$E$36,E117)=0,0,1)</f>
        <v>0</v>
      </c>
      <c r="U117" s="1175" t="str">
        <f t="shared" si="16"/>
        <v>DIF</v>
      </c>
      <c r="V117" s="2491"/>
      <c r="W117" s="2491"/>
      <c r="X117" s="2491"/>
      <c r="Y117" s="2491"/>
      <c r="Z117" s="2491"/>
      <c r="AA117" s="2491"/>
      <c r="AB117" s="2491"/>
      <c r="AC117" s="2491"/>
      <c r="AD117" s="2491"/>
      <c r="AE117" s="2491"/>
      <c r="AF117" s="2491">
        <f>IF(ISNUMBER(SEARCH("&gt;",D117)),0,COUNTIF(Psíquicos!$AD$16:$AH$61,D117))</f>
        <v>0</v>
      </c>
      <c r="AG117" s="1175" t="str">
        <f>IF(AF117=0,"",VLOOKUP(D117,Psíquicos!$AD$11:$AK$64,8,FALSE))</f>
        <v/>
      </c>
      <c r="AH117" s="2606"/>
      <c r="AI117" s="2592" t="s">
        <v>227</v>
      </c>
    </row>
    <row r="118" spans="1:35" ht="12.75" customHeight="1" x14ac:dyDescent="0.2">
      <c r="A118" s="2143">
        <v>118</v>
      </c>
      <c r="B118" s="2135">
        <f>IF(OR(S118=0),0,SUM($S$6:S118))</f>
        <v>0</v>
      </c>
      <c r="C118" s="1183"/>
      <c r="D118" s="1184" t="s">
        <v>228</v>
      </c>
      <c r="E118" s="1204" t="s">
        <v>114</v>
      </c>
      <c r="F118" s="1176">
        <v>2</v>
      </c>
      <c r="G118" s="1176" t="s">
        <v>3143</v>
      </c>
      <c r="H118" s="1177" t="s">
        <v>1609</v>
      </c>
      <c r="I118" s="1175" t="s">
        <v>7651</v>
      </c>
      <c r="J118" s="1175" t="s">
        <v>7615</v>
      </c>
      <c r="K118" s="1175" t="s">
        <v>7616</v>
      </c>
      <c r="L118" s="1175" t="s">
        <v>8043</v>
      </c>
      <c r="M118" s="1175" t="s">
        <v>8044</v>
      </c>
      <c r="N118" s="1175" t="s">
        <v>8045</v>
      </c>
      <c r="O118" s="1175" t="s">
        <v>8046</v>
      </c>
      <c r="P118" s="1175" t="s">
        <v>8047</v>
      </c>
      <c r="Q118" s="1175" t="s">
        <v>8048</v>
      </c>
      <c r="R118" s="1175" t="s">
        <v>8049</v>
      </c>
      <c r="S118" s="2137">
        <f>IF(COUNTIF(Psíquicos!$C$25:$E$36,E118)=0,0,1)</f>
        <v>0</v>
      </c>
      <c r="U118" s="1175" t="str">
        <f t="shared" si="16"/>
        <v>DIF</v>
      </c>
      <c r="V118" s="2491"/>
      <c r="W118" s="2491"/>
      <c r="X118" s="2491"/>
      <c r="Y118" s="2491"/>
      <c r="Z118" s="2491"/>
      <c r="AA118" s="2491"/>
      <c r="AB118" s="2491"/>
      <c r="AC118" s="2491"/>
      <c r="AD118" s="2491"/>
      <c r="AE118" s="2491"/>
      <c r="AF118" s="2491">
        <f>IF(ISNUMBER(SEARCH("&gt;",D118)),0,COUNTIF(Psíquicos!$AD$16:$AH$61,D118))</f>
        <v>0</v>
      </c>
      <c r="AG118" s="1175" t="str">
        <f>IF(AF118=0,"",VLOOKUP(D118,Psíquicos!$AD$11:$AK$64,8,FALSE))</f>
        <v/>
      </c>
      <c r="AH118" s="2606"/>
      <c r="AI118" s="2592"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7651</v>
      </c>
      <c r="J119" s="1175" t="s">
        <v>7615</v>
      </c>
      <c r="K119" s="1175" t="s">
        <v>7616</v>
      </c>
      <c r="L119" s="1175" t="s">
        <v>6683</v>
      </c>
      <c r="M119" s="1175" t="s">
        <v>6405</v>
      </c>
      <c r="N119" s="1175" t="s">
        <v>4957</v>
      </c>
      <c r="O119" s="1175" t="s">
        <v>6406</v>
      </c>
      <c r="P119" s="1175" t="s">
        <v>8050</v>
      </c>
      <c r="Q119" s="1175" t="s">
        <v>6407</v>
      </c>
      <c r="R119" s="1175" t="s">
        <v>5342</v>
      </c>
      <c r="S119" s="2137">
        <f>IF(COUNTIF(Psíquicos!$C$25:$E$36,E119)=0,0,1)</f>
        <v>0</v>
      </c>
      <c r="U119" s="1175" t="str">
        <f t="shared" si="16"/>
        <v/>
      </c>
      <c r="V119" s="2491"/>
      <c r="W119" s="2491"/>
      <c r="X119" s="2491"/>
      <c r="Y119" s="2491"/>
      <c r="Z119" s="2491"/>
      <c r="AA119" s="2491"/>
      <c r="AB119" s="2491"/>
      <c r="AC119" s="2491"/>
      <c r="AD119" s="2491"/>
      <c r="AE119" s="2491"/>
      <c r="AF119" s="2491">
        <f>IF(ISNUMBER(SEARCH("&gt;",D119)),0,COUNTIF(Psíquicos!$AD$16:$AH$61,D119))</f>
        <v>0</v>
      </c>
      <c r="AG119" s="1175" t="str">
        <f>IF(AF119=0,"",VLOOKUP(D119,Psíquicos!$AD$11:$AK$64,8,FALSE))</f>
        <v/>
      </c>
      <c r="AH119" s="2606"/>
      <c r="AI119" s="2592"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7666</v>
      </c>
      <c r="J120" s="1175" t="s">
        <v>8051</v>
      </c>
      <c r="K120" s="1175" t="s">
        <v>7653</v>
      </c>
      <c r="L120" s="1175" t="s">
        <v>7652</v>
      </c>
      <c r="M120" s="1175" t="s">
        <v>7651</v>
      </c>
      <c r="N120" s="1175" t="s">
        <v>7615</v>
      </c>
      <c r="O120" s="1187" t="s">
        <v>8052</v>
      </c>
      <c r="P120" s="1187" t="s">
        <v>8053</v>
      </c>
      <c r="Q120" s="1187" t="s">
        <v>8054</v>
      </c>
      <c r="R120" s="1187" t="s">
        <v>8055</v>
      </c>
      <c r="S120" s="2137">
        <f>IF(COUNTIF(Psíquicos!$C$25:$E$36,E120)=0,0,1)</f>
        <v>0</v>
      </c>
      <c r="U120" s="1175" t="str">
        <f t="shared" si="16"/>
        <v/>
      </c>
      <c r="V120" s="2491"/>
      <c r="W120" s="2491"/>
      <c r="X120" s="2491"/>
      <c r="Y120" s="2491"/>
      <c r="Z120" s="2491"/>
      <c r="AA120" s="2491"/>
      <c r="AB120" s="2491"/>
      <c r="AC120" s="2491"/>
      <c r="AD120" s="2491"/>
      <c r="AE120" s="2491"/>
      <c r="AF120" s="2491">
        <f>IF(ISNUMBER(SEARCH("&gt;",D120)),0,COUNTIF(Psíquicos!$AD$16:$AH$61,D120))</f>
        <v>0</v>
      </c>
      <c r="AG120" s="1175" t="str">
        <f>IF(AF120=0,"",VLOOKUP(D120,Psíquicos!$AD$11:$AK$64,8,FALSE))</f>
        <v/>
      </c>
      <c r="AH120" s="2606"/>
      <c r="AI120" s="2592"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7666</v>
      </c>
      <c r="J121" s="1175" t="s">
        <v>8051</v>
      </c>
      <c r="K121" s="1175" t="s">
        <v>7653</v>
      </c>
      <c r="L121" s="1175" t="s">
        <v>7652</v>
      </c>
      <c r="M121" s="1175" t="s">
        <v>7651</v>
      </c>
      <c r="N121" s="1175" t="s">
        <v>7615</v>
      </c>
      <c r="O121" s="1187" t="s">
        <v>8056</v>
      </c>
      <c r="P121" s="1187" t="s">
        <v>8057</v>
      </c>
      <c r="Q121" s="1175" t="s">
        <v>8058</v>
      </c>
      <c r="R121" s="1175" t="s">
        <v>8059</v>
      </c>
      <c r="S121" s="2137">
        <f>IF(COUNTIF(Psíquicos!$C$25:$E$36,E121)=0,0,1)</f>
        <v>0</v>
      </c>
      <c r="U121" s="1175" t="str">
        <f t="shared" si="16"/>
        <v/>
      </c>
      <c r="V121" s="2491"/>
      <c r="W121" s="2491"/>
      <c r="X121" s="2491"/>
      <c r="Y121" s="2491"/>
      <c r="Z121" s="2491"/>
      <c r="AA121" s="2491"/>
      <c r="AB121" s="2491"/>
      <c r="AC121" s="2491"/>
      <c r="AD121" s="2491"/>
      <c r="AE121" s="2491"/>
      <c r="AF121" s="2491">
        <f>IF(ISNUMBER(SEARCH("&gt;",D121)),0,COUNTIF(Psíquicos!$AD$16:$AH$61,D121))</f>
        <v>0</v>
      </c>
      <c r="AG121" s="1175" t="str">
        <f>IF(AF121=0,"",VLOOKUP(D121,Psíquicos!$AD$11:$AK$64,8,FALSE))</f>
        <v/>
      </c>
      <c r="AH121" s="2606"/>
      <c r="AI121" s="2592"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1"/>
      <c r="W122" s="2491"/>
      <c r="X122" s="2491"/>
      <c r="Y122" s="2491"/>
      <c r="Z122" s="2491"/>
      <c r="AA122" s="2491"/>
      <c r="AB122" s="2491"/>
      <c r="AC122" s="2491"/>
      <c r="AD122" s="2491"/>
      <c r="AE122" s="2491"/>
      <c r="AF122" s="2491">
        <f>IF(ISNUMBER(SEARCH("&gt;",D122)),0,COUNTIF(Psíquicos!$AD$16:$AH$61,D122))</f>
        <v>0</v>
      </c>
      <c r="AG122" s="1175" t="str">
        <f>IF(AF122=0,"",VLOOKUP(D122,Psíquicos!$AD$11:$AK$64,8,FALSE))</f>
        <v/>
      </c>
      <c r="AH122" s="2606"/>
      <c r="AI122" s="2592"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7615</v>
      </c>
      <c r="J123" s="1175" t="s">
        <v>7616</v>
      </c>
      <c r="K123" s="1175" t="s">
        <v>8060</v>
      </c>
      <c r="L123" s="1175" t="s">
        <v>8061</v>
      </c>
      <c r="M123" s="1175" t="s">
        <v>8062</v>
      </c>
      <c r="N123" s="1175" t="s">
        <v>8063</v>
      </c>
      <c r="O123" s="1175" t="s">
        <v>8064</v>
      </c>
      <c r="P123" s="1175" t="s">
        <v>8065</v>
      </c>
      <c r="Q123" s="1175" t="s">
        <v>8066</v>
      </c>
      <c r="R123" s="1175" t="s">
        <v>8067</v>
      </c>
      <c r="S123" s="2137">
        <f>IF(COUNTIF(Psíquicos!$C$25:$E$36,E123)=0,0,1)</f>
        <v>0</v>
      </c>
      <c r="U123" s="1175" t="str">
        <f t="shared" si="16"/>
        <v/>
      </c>
      <c r="V123" s="2491"/>
      <c r="W123" s="2491"/>
      <c r="X123" s="2491"/>
      <c r="Y123" s="2491"/>
      <c r="Z123" s="2491"/>
      <c r="AA123" s="2491"/>
      <c r="AB123" s="2491"/>
      <c r="AC123" s="2491"/>
      <c r="AD123" s="2491"/>
      <c r="AE123" s="2491"/>
      <c r="AF123" s="2491">
        <f>IF(ISNUMBER(SEARCH("&gt;",D123)),0,COUNTIF(Psíquicos!$AD$16:$AH$61,D123))</f>
        <v>0</v>
      </c>
      <c r="AG123" s="1175" t="str">
        <f>IF(AF123=0,"",VLOOKUP(D123,Psíquicos!$AD$11:$AK$64,8,FALSE))</f>
        <v/>
      </c>
      <c r="AH123" s="2606"/>
      <c r="AI123" s="2592"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7652</v>
      </c>
      <c r="J124" s="1175" t="s">
        <v>7651</v>
      </c>
      <c r="K124" s="1175" t="s">
        <v>7615</v>
      </c>
      <c r="L124" s="1175" t="s">
        <v>8068</v>
      </c>
      <c r="M124" s="1175" t="s">
        <v>8069</v>
      </c>
      <c r="N124" s="1175" t="s">
        <v>7668</v>
      </c>
      <c r="O124" s="1175" t="s">
        <v>8070</v>
      </c>
      <c r="P124" s="1175" t="s">
        <v>7998</v>
      </c>
      <c r="Q124" s="1175" t="s">
        <v>7625</v>
      </c>
      <c r="R124" s="1175" t="s">
        <v>8071</v>
      </c>
      <c r="S124" s="2137">
        <f>IF(COUNTIF(Psíquicos!$C$25:$E$36,E124)=0,0,1)</f>
        <v>0</v>
      </c>
      <c r="U124" s="1175" t="str">
        <f t="shared" si="16"/>
        <v/>
      </c>
      <c r="V124" s="2491"/>
      <c r="W124" s="2491"/>
      <c r="X124" s="2491"/>
      <c r="Y124" s="2491"/>
      <c r="Z124" s="2491"/>
      <c r="AA124" s="2491"/>
      <c r="AB124" s="2491"/>
      <c r="AC124" s="2491"/>
      <c r="AD124" s="2491"/>
      <c r="AE124" s="2491"/>
      <c r="AF124" s="2491">
        <f>IF(ISNUMBER(SEARCH("&gt;",D124)),0,COUNTIF(Psíquicos!$AD$16:$AH$61,D124))</f>
        <v>0</v>
      </c>
      <c r="AG124" s="1175" t="str">
        <f>IF(AF124=0,"",VLOOKUP(D124,Psíquicos!$AD$11:$AK$64,8,FALSE))</f>
        <v/>
      </c>
      <c r="AH124" s="2606"/>
      <c r="AI124" s="2592" t="s">
        <v>234</v>
      </c>
    </row>
    <row r="125" spans="1:35" ht="12.75" customHeight="1" x14ac:dyDescent="0.2">
      <c r="A125" s="2143">
        <v>125</v>
      </c>
      <c r="B125" s="2135">
        <f>IF(OR(S125=0),0,SUM($S$6:S125))</f>
        <v>0</v>
      </c>
      <c r="C125" s="1183"/>
      <c r="D125" s="1184" t="s">
        <v>235</v>
      </c>
      <c r="E125" s="1204" t="s">
        <v>116</v>
      </c>
      <c r="F125" s="1176">
        <v>1</v>
      </c>
      <c r="G125" s="1176" t="s">
        <v>3143</v>
      </c>
      <c r="H125" s="1177" t="s">
        <v>1610</v>
      </c>
      <c r="I125" s="1175" t="s">
        <v>7652</v>
      </c>
      <c r="J125" s="1175" t="s">
        <v>7651</v>
      </c>
      <c r="K125" s="1175" t="s">
        <v>7615</v>
      </c>
      <c r="L125" s="1175" t="s">
        <v>8072</v>
      </c>
      <c r="M125" s="1175" t="s">
        <v>8073</v>
      </c>
      <c r="N125" s="1175" t="s">
        <v>8074</v>
      </c>
      <c r="O125" s="1175" t="s">
        <v>8075</v>
      </c>
      <c r="P125" s="1175" t="s">
        <v>8076</v>
      </c>
      <c r="Q125" s="1175" t="s">
        <v>8077</v>
      </c>
      <c r="R125" s="1175" t="s">
        <v>8078</v>
      </c>
      <c r="S125" s="2137">
        <f>IF(COUNTIF(Psíquicos!$C$25:$E$36,E125)=0,0,1)</f>
        <v>0</v>
      </c>
      <c r="U125" s="1175" t="str">
        <f t="shared" si="16"/>
        <v>DIF</v>
      </c>
      <c r="V125" s="2491"/>
      <c r="W125" s="2491"/>
      <c r="X125" s="2491"/>
      <c r="Y125" s="2491"/>
      <c r="Z125" s="2491"/>
      <c r="AA125" s="2491"/>
      <c r="AB125" s="2491"/>
      <c r="AC125" s="2491"/>
      <c r="AD125" s="2491"/>
      <c r="AE125" s="2491"/>
      <c r="AF125" s="2491">
        <f>IF(ISNUMBER(SEARCH("&gt;",D125)),0,COUNTIF(Psíquicos!$AD$16:$AH$61,D125))</f>
        <v>0</v>
      </c>
      <c r="AG125" s="1175" t="str">
        <f>IF(AF125=0,"",VLOOKUP(D125,Psíquicos!$AD$11:$AK$64,8,FALSE))</f>
        <v/>
      </c>
      <c r="AH125" s="2606"/>
      <c r="AI125" s="2592"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7666</v>
      </c>
      <c r="J126" s="1175" t="s">
        <v>7653</v>
      </c>
      <c r="K126" s="1175" t="s">
        <v>7652</v>
      </c>
      <c r="L126" s="1175" t="s">
        <v>7651</v>
      </c>
      <c r="M126" s="1175" t="s">
        <v>7615</v>
      </c>
      <c r="N126" s="1175" t="s">
        <v>7983</v>
      </c>
      <c r="O126" s="1175" t="s">
        <v>7628</v>
      </c>
      <c r="P126" s="1175" t="s">
        <v>7629</v>
      </c>
      <c r="Q126" s="1175" t="s">
        <v>7630</v>
      </c>
      <c r="R126" s="1203" t="s">
        <v>7632</v>
      </c>
      <c r="S126" s="2137">
        <f>IF(COUNTIF(Psíquicos!$C$25:$E$36,E126)=0,0,1)</f>
        <v>0</v>
      </c>
      <c r="U126" s="1175" t="str">
        <f t="shared" si="16"/>
        <v/>
      </c>
      <c r="V126" s="2491"/>
      <c r="W126" s="2491"/>
      <c r="X126" s="2491"/>
      <c r="Y126" s="2491"/>
      <c r="Z126" s="2491"/>
      <c r="AA126" s="2491"/>
      <c r="AB126" s="2491"/>
      <c r="AC126" s="2491"/>
      <c r="AD126" s="2491"/>
      <c r="AE126" s="2491"/>
      <c r="AF126" s="2491">
        <f>IF(ISNUMBER(SEARCH("&gt;",D126)),0,COUNTIF(Psíquicos!$AD$16:$AH$61,D126))</f>
        <v>0</v>
      </c>
      <c r="AG126" s="1175" t="str">
        <f>IF(AF126=0,"",VLOOKUP(D126,Psíquicos!$AD$11:$AK$64,8,FALSE))</f>
        <v/>
      </c>
      <c r="AH126" s="2606"/>
      <c r="AI126" s="2592" t="s">
        <v>236</v>
      </c>
    </row>
    <row r="127" spans="1:35" ht="12.75" customHeight="1" x14ac:dyDescent="0.2">
      <c r="A127" s="2143">
        <v>127</v>
      </c>
      <c r="B127" s="2135">
        <f>IF(OR(S127=0),0,SUM($S$6:S127))</f>
        <v>0</v>
      </c>
      <c r="C127" s="1183"/>
      <c r="D127" s="1184" t="s">
        <v>237</v>
      </c>
      <c r="E127" s="1204" t="s">
        <v>116</v>
      </c>
      <c r="F127" s="1176">
        <v>3</v>
      </c>
      <c r="G127" s="1176" t="s">
        <v>3143</v>
      </c>
      <c r="H127" s="1177" t="s">
        <v>1609</v>
      </c>
      <c r="I127" s="1175" t="s">
        <v>7667</v>
      </c>
      <c r="J127" s="1175" t="s">
        <v>7666</v>
      </c>
      <c r="K127" s="1175" t="s">
        <v>7653</v>
      </c>
      <c r="L127" s="1175" t="s">
        <v>7652</v>
      </c>
      <c r="M127" s="1175" t="s">
        <v>7651</v>
      </c>
      <c r="N127" s="1175" t="s">
        <v>8079</v>
      </c>
      <c r="O127" s="1175" t="s">
        <v>8080</v>
      </c>
      <c r="P127" s="1175" t="s">
        <v>8081</v>
      </c>
      <c r="Q127" s="1175" t="s">
        <v>8082</v>
      </c>
      <c r="R127" s="1175" t="s">
        <v>8083</v>
      </c>
      <c r="S127" s="2137">
        <f>IF(COUNTIF(Psíquicos!$C$25:$E$36,E127)=0,0,1)</f>
        <v>0</v>
      </c>
      <c r="U127" s="1175" t="str">
        <f t="shared" si="16"/>
        <v>ABS</v>
      </c>
      <c r="V127" s="2491"/>
      <c r="W127" s="2491"/>
      <c r="X127" s="2491"/>
      <c r="Y127" s="2491"/>
      <c r="Z127" s="2491"/>
      <c r="AA127" s="2491"/>
      <c r="AB127" s="2491"/>
      <c r="AC127" s="2491"/>
      <c r="AD127" s="2491"/>
      <c r="AE127" s="2491"/>
      <c r="AF127" s="2491">
        <f>IF(ISNUMBER(SEARCH("&gt;",D127)),0,COUNTIF(Psíquicos!$AD$16:$AH$61,D127))</f>
        <v>0</v>
      </c>
      <c r="AG127" s="1175" t="str">
        <f>IF(AF127=0,"",VLOOKUP(D127,Psíquicos!$AD$11:$AK$64,8,FALSE))</f>
        <v/>
      </c>
      <c r="AH127" s="2606"/>
      <c r="AI127" s="2592"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7740</v>
      </c>
      <c r="J128" s="1175" t="s">
        <v>7741</v>
      </c>
      <c r="K128" s="1175" t="s">
        <v>7667</v>
      </c>
      <c r="L128" s="1175" t="s">
        <v>7666</v>
      </c>
      <c r="M128" s="1175" t="s">
        <v>7653</v>
      </c>
      <c r="N128" s="1175" t="s">
        <v>7651</v>
      </c>
      <c r="O128" s="1175" t="s">
        <v>8084</v>
      </c>
      <c r="P128" s="1175" t="s">
        <v>8085</v>
      </c>
      <c r="Q128" s="1175" t="s">
        <v>8086</v>
      </c>
      <c r="R128" s="1175" t="s">
        <v>8087</v>
      </c>
      <c r="S128" s="2137">
        <f>IF(COUNTIF(Psíquicos!$C$25:$E$36,E128)=0,0,1)</f>
        <v>0</v>
      </c>
      <c r="U128" s="1175" t="str">
        <f t="shared" si="16"/>
        <v/>
      </c>
      <c r="V128" s="2491"/>
      <c r="W128" s="2491"/>
      <c r="X128" s="2491"/>
      <c r="Y128" s="2491"/>
      <c r="Z128" s="2491"/>
      <c r="AA128" s="2491"/>
      <c r="AB128" s="2491"/>
      <c r="AC128" s="2491"/>
      <c r="AD128" s="2491"/>
      <c r="AE128" s="2491"/>
      <c r="AF128" s="2491">
        <f>IF(ISNUMBER(SEARCH("&gt;",D128)),0,COUNTIF(Psíquicos!$AD$16:$AH$61,D128))</f>
        <v>0</v>
      </c>
      <c r="AG128" s="1175" t="str">
        <f>IF(AF128=0,"",VLOOKUP(D128,Psíquicos!$AD$11:$AK$64,8,FALSE))</f>
        <v/>
      </c>
      <c r="AH128" s="2606"/>
      <c r="AI128" s="2592"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7666</v>
      </c>
      <c r="J129" s="1175" t="s">
        <v>7653</v>
      </c>
      <c r="K129" s="1175" t="s">
        <v>7652</v>
      </c>
      <c r="L129" s="1175" t="s">
        <v>7651</v>
      </c>
      <c r="M129" s="1175" t="s">
        <v>7615</v>
      </c>
      <c r="N129" s="1175" t="s">
        <v>8088</v>
      </c>
      <c r="O129" s="1175" t="s">
        <v>8089</v>
      </c>
      <c r="P129" s="1175" t="s">
        <v>8090</v>
      </c>
      <c r="Q129" s="1175" t="s">
        <v>8091</v>
      </c>
      <c r="R129" s="1175" t="s">
        <v>8092</v>
      </c>
      <c r="S129" s="2137">
        <f>IF(COUNTIF(Psíquicos!$C$25:$E$36,E129)=0,0,1)</f>
        <v>0</v>
      </c>
      <c r="U129" s="1175" t="str">
        <f t="shared" si="16"/>
        <v/>
      </c>
      <c r="V129" s="2491"/>
      <c r="W129" s="2491"/>
      <c r="X129" s="2491"/>
      <c r="Y129" s="2491"/>
      <c r="Z129" s="2491"/>
      <c r="AA129" s="2491"/>
      <c r="AB129" s="2491"/>
      <c r="AC129" s="2491"/>
      <c r="AD129" s="2491"/>
      <c r="AE129" s="2491"/>
      <c r="AF129" s="2491">
        <f>IF(ISNUMBER(SEARCH("&gt;",D129)),0,COUNTIF(Psíquicos!$AD$16:$AH$61,D129))</f>
        <v>0</v>
      </c>
      <c r="AG129" s="1175" t="str">
        <f>IF(AF129=0,"",VLOOKUP(D129,Psíquicos!$AD$11:$AK$64,8,FALSE))</f>
        <v/>
      </c>
      <c r="AH129" s="2606"/>
      <c r="AI129" s="2592"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1"/>
      <c r="W130" s="2491"/>
      <c r="X130" s="2491"/>
      <c r="Y130" s="2491"/>
      <c r="Z130" s="2491"/>
      <c r="AA130" s="2491"/>
      <c r="AB130" s="2491"/>
      <c r="AC130" s="2491"/>
      <c r="AD130" s="2491"/>
      <c r="AE130" s="2491"/>
      <c r="AF130" s="2491">
        <f>IF(ISNUMBER(SEARCH("&gt;",D130)),0,COUNTIF(Psíquicos!$AD$16:$AH$61,D130))</f>
        <v>0</v>
      </c>
      <c r="AG130" s="1175" t="str">
        <f>IF(AF130=0,"",VLOOKUP(D130,Psíquicos!$AD$11:$AK$64,8,FALSE))</f>
        <v/>
      </c>
      <c r="AH130" s="2606"/>
      <c r="AI130" s="2592" t="s">
        <v>239</v>
      </c>
    </row>
    <row r="131" spans="1:35" ht="12.75" customHeight="1" x14ac:dyDescent="0.2">
      <c r="A131" s="2143">
        <v>131</v>
      </c>
      <c r="B131" s="2135">
        <f>IF(OR(S131=0),0,SUM($S$6:S131))</f>
        <v>0</v>
      </c>
      <c r="C131" s="1183"/>
      <c r="D131" s="1184" t="s">
        <v>240</v>
      </c>
      <c r="E131" s="1204" t="s">
        <v>2029</v>
      </c>
      <c r="F131" s="1176">
        <v>1</v>
      </c>
      <c r="G131" s="1176" t="s">
        <v>3143</v>
      </c>
      <c r="H131" s="1177" t="s">
        <v>1609</v>
      </c>
      <c r="I131" s="1175" t="s">
        <v>7651</v>
      </c>
      <c r="J131" s="1175" t="s">
        <v>7615</v>
      </c>
      <c r="K131" s="1175" t="s">
        <v>7616</v>
      </c>
      <c r="L131" s="1175" t="s">
        <v>8093</v>
      </c>
      <c r="M131" s="1175" t="s">
        <v>8094</v>
      </c>
      <c r="N131" s="1175" t="s">
        <v>8095</v>
      </c>
      <c r="O131" s="1175" t="s">
        <v>8096</v>
      </c>
      <c r="P131" s="1175" t="s">
        <v>8097</v>
      </c>
      <c r="Q131" s="1175" t="s">
        <v>8098</v>
      </c>
      <c r="R131" s="1175" t="s">
        <v>8099</v>
      </c>
      <c r="S131" s="2137">
        <f>IF(COUNTIF(Psíquicos!$C$25:$E$36,E131)=0,0,1)</f>
        <v>0</v>
      </c>
      <c r="U131" s="1175" t="str">
        <f t="shared" si="16"/>
        <v>DIF</v>
      </c>
      <c r="V131" s="2491"/>
      <c r="W131" s="2491"/>
      <c r="X131" s="2491"/>
      <c r="Y131" s="2491"/>
      <c r="Z131" s="2491"/>
      <c r="AA131" s="2491"/>
      <c r="AB131" s="2491"/>
      <c r="AC131" s="2491"/>
      <c r="AD131" s="2491"/>
      <c r="AE131" s="2491"/>
      <c r="AF131" s="2491">
        <f>IF(ISNUMBER(SEARCH("&gt;",D131)),0,COUNTIF(Psíquicos!$AD$16:$AH$61,D131))</f>
        <v>0</v>
      </c>
      <c r="AG131" s="1175" t="str">
        <f>IF(AF131=0,"",VLOOKUP(D131,Psíquicos!$AD$11:$AK$64,8,FALSE))</f>
        <v/>
      </c>
      <c r="AH131" s="2606"/>
      <c r="AI131" s="2592" t="s">
        <v>240</v>
      </c>
    </row>
    <row r="132" spans="1:35" ht="12.75" customHeight="1" x14ac:dyDescent="0.2">
      <c r="A132" s="2143">
        <v>132</v>
      </c>
      <c r="B132" s="2135">
        <f>IF(OR(S132=0),0,SUM($S$6:S132))</f>
        <v>0</v>
      </c>
      <c r="C132" s="1183"/>
      <c r="D132" s="1184" t="s">
        <v>241</v>
      </c>
      <c r="E132" s="1204" t="s">
        <v>2029</v>
      </c>
      <c r="F132" s="1176">
        <v>1</v>
      </c>
      <c r="G132" s="1176" t="s">
        <v>3143</v>
      </c>
      <c r="H132" s="1177" t="s">
        <v>1609</v>
      </c>
      <c r="I132" s="1175" t="s">
        <v>7615</v>
      </c>
      <c r="J132" s="1175" t="s">
        <v>7616</v>
      </c>
      <c r="K132" s="1175" t="s">
        <v>8100</v>
      </c>
      <c r="L132" s="1175" t="s">
        <v>8101</v>
      </c>
      <c r="M132" s="1175" t="s">
        <v>7800</v>
      </c>
      <c r="N132" s="1175" t="s">
        <v>8019</v>
      </c>
      <c r="O132" s="1175" t="s">
        <v>7801</v>
      </c>
      <c r="P132" s="1175" t="s">
        <v>7802</v>
      </c>
      <c r="Q132" s="1175" t="s">
        <v>7920</v>
      </c>
      <c r="R132" s="1175" t="s">
        <v>7803</v>
      </c>
      <c r="S132" s="2137">
        <f>IF(COUNTIF(Psíquicos!$C$25:$E$36,E132)=0,0,1)</f>
        <v>0</v>
      </c>
      <c r="U132" s="1175" t="str">
        <f t="shared" si="16"/>
        <v>MED</v>
      </c>
      <c r="V132" s="2491"/>
      <c r="W132" s="2491"/>
      <c r="X132" s="2491"/>
      <c r="Y132" s="2491"/>
      <c r="Z132" s="2491"/>
      <c r="AA132" s="2491"/>
      <c r="AB132" s="2491"/>
      <c r="AC132" s="2491"/>
      <c r="AD132" s="2491"/>
      <c r="AE132" s="2491"/>
      <c r="AF132" s="2491">
        <f>IF(ISNUMBER(SEARCH("&gt;",D132)),0,COUNTIF(Psíquicos!$AD$16:$AH$61,D132))</f>
        <v>0</v>
      </c>
      <c r="AG132" s="1175" t="str">
        <f>IF(AF132=0,"",VLOOKUP(D132,Psíquicos!$AD$11:$AK$64,8,FALSE))</f>
        <v/>
      </c>
      <c r="AH132" s="2606"/>
      <c r="AI132" s="2592" t="s">
        <v>241</v>
      </c>
    </row>
    <row r="133" spans="1:35" ht="12.75" customHeight="1" x14ac:dyDescent="0.2">
      <c r="A133" s="2143">
        <v>133</v>
      </c>
      <c r="B133" s="2135">
        <f>IF(OR(S133=0),0,SUM($S$6:S133))</f>
        <v>0</v>
      </c>
      <c r="C133" s="1183"/>
      <c r="D133" s="1184" t="s">
        <v>242</v>
      </c>
      <c r="E133" s="1204" t="s">
        <v>2029</v>
      </c>
      <c r="F133" s="1176">
        <v>1</v>
      </c>
      <c r="G133" s="1176" t="s">
        <v>1693</v>
      </c>
      <c r="H133" s="1177" t="s">
        <v>1609</v>
      </c>
      <c r="I133" s="1175" t="s">
        <v>7615</v>
      </c>
      <c r="J133" s="1175" t="s">
        <v>7616</v>
      </c>
      <c r="K133" s="1175" t="s">
        <v>8102</v>
      </c>
      <c r="L133" s="1175" t="s">
        <v>8103</v>
      </c>
      <c r="M133" s="1175" t="s">
        <v>8104</v>
      </c>
      <c r="N133" s="1175" t="s">
        <v>8105</v>
      </c>
      <c r="O133" s="1175" t="s">
        <v>8106</v>
      </c>
      <c r="P133" s="1175" t="s">
        <v>8107</v>
      </c>
      <c r="Q133" s="1175" t="s">
        <v>8108</v>
      </c>
      <c r="R133" s="1175" t="s">
        <v>8109</v>
      </c>
      <c r="S133" s="2137">
        <f>IF(COUNTIF(Psíquicos!$C$25:$E$36,E133)=0,0,1)</f>
        <v>0</v>
      </c>
      <c r="U133" s="1175" t="str">
        <f t="shared" si="16"/>
        <v/>
      </c>
      <c r="V133" s="2491"/>
      <c r="W133" s="2491"/>
      <c r="X133" s="2491"/>
      <c r="Y133" s="2491"/>
      <c r="Z133" s="2491"/>
      <c r="AA133" s="2491"/>
      <c r="AB133" s="2491"/>
      <c r="AC133" s="2491"/>
      <c r="AD133" s="2491"/>
      <c r="AE133" s="2491"/>
      <c r="AF133" s="2491">
        <f>IF(ISNUMBER(SEARCH("&gt;",D133)),0,COUNTIF(Psíquicos!$AD$16:$AH$61,D133))</f>
        <v>0</v>
      </c>
      <c r="AG133" s="1175" t="str">
        <f>IF(AF133=0,"",VLOOKUP(D133,Psíquicos!$AD$11:$AK$64,8,FALSE))</f>
        <v/>
      </c>
      <c r="AH133" s="2606"/>
      <c r="AI133" s="2592" t="s">
        <v>242</v>
      </c>
    </row>
    <row r="134" spans="1:35" ht="12.75" customHeight="1" x14ac:dyDescent="0.2">
      <c r="A134" s="2143">
        <v>134</v>
      </c>
      <c r="B134" s="2135">
        <f>IF(OR(S134=0),0,SUM($S$6:S134))</f>
        <v>0</v>
      </c>
      <c r="C134" s="1183"/>
      <c r="D134" s="1184" t="s">
        <v>243</v>
      </c>
      <c r="E134" s="1204" t="s">
        <v>2029</v>
      </c>
      <c r="F134" s="1176">
        <v>2</v>
      </c>
      <c r="G134" s="1176" t="s">
        <v>3143</v>
      </c>
      <c r="H134" s="1177" t="s">
        <v>1610</v>
      </c>
      <c r="I134" s="1175" t="s">
        <v>7652</v>
      </c>
      <c r="J134" s="1175" t="s">
        <v>7651</v>
      </c>
      <c r="K134" s="1175" t="s">
        <v>7615</v>
      </c>
      <c r="L134" s="1175" t="s">
        <v>7616</v>
      </c>
      <c r="M134" s="1175" t="s">
        <v>7688</v>
      </c>
      <c r="N134" s="1175" t="s">
        <v>7814</v>
      </c>
      <c r="O134" s="1175" t="s">
        <v>7690</v>
      </c>
      <c r="P134" s="1175" t="s">
        <v>8110</v>
      </c>
      <c r="Q134" s="1175" t="s">
        <v>7929</v>
      </c>
      <c r="R134" s="1203" t="s">
        <v>7930</v>
      </c>
      <c r="S134" s="2137">
        <f>IF(COUNTIF(Psíquicos!$C$25:$E$36,E134)=0,0,1)</f>
        <v>0</v>
      </c>
      <c r="U134" s="1175" t="str">
        <f t="shared" si="16"/>
        <v>MDF</v>
      </c>
      <c r="V134" s="2491"/>
      <c r="W134" s="2491"/>
      <c r="X134" s="2491"/>
      <c r="Y134" s="2491"/>
      <c r="Z134" s="2491"/>
      <c r="AA134" s="2491"/>
      <c r="AB134" s="2491"/>
      <c r="AC134" s="2491"/>
      <c r="AD134" s="2491"/>
      <c r="AE134" s="2491"/>
      <c r="AF134" s="2491">
        <f>IF(ISNUMBER(SEARCH("&gt;",D134)),0,COUNTIF(Psíquicos!$AD$16:$AH$61,D134))</f>
        <v>0</v>
      </c>
      <c r="AG134" s="1175" t="str">
        <f>IF(AF134=0,"",VLOOKUP(D134,Psíquicos!$AD$11:$AK$64,8,FALSE))</f>
        <v/>
      </c>
      <c r="AH134" s="2606"/>
      <c r="AI134" s="2592" t="s">
        <v>243</v>
      </c>
    </row>
    <row r="135" spans="1:35" ht="12.75" customHeight="1" x14ac:dyDescent="0.2">
      <c r="A135" s="2143">
        <v>135</v>
      </c>
      <c r="B135" s="2135">
        <f>IF(OR(S135=0),0,SUM($S$6:S135))</f>
        <v>0</v>
      </c>
      <c r="C135" s="1183"/>
      <c r="D135" s="1184" t="s">
        <v>244</v>
      </c>
      <c r="E135" s="1204" t="s">
        <v>2029</v>
      </c>
      <c r="F135" s="1176">
        <v>2</v>
      </c>
      <c r="G135" s="1176" t="s">
        <v>3143</v>
      </c>
      <c r="H135" s="1177" t="s">
        <v>1609</v>
      </c>
      <c r="I135" s="1175" t="s">
        <v>7653</v>
      </c>
      <c r="J135" s="1175" t="s">
        <v>7652</v>
      </c>
      <c r="K135" s="1175" t="s">
        <v>7651</v>
      </c>
      <c r="L135" s="1175" t="s">
        <v>7615</v>
      </c>
      <c r="M135" s="1175" t="s">
        <v>7616</v>
      </c>
      <c r="N135" s="1175" t="s">
        <v>8111</v>
      </c>
      <c r="O135" s="1175" t="s">
        <v>8112</v>
      </c>
      <c r="P135" s="1175" t="s">
        <v>8113</v>
      </c>
      <c r="Q135" s="1175" t="s">
        <v>8114</v>
      </c>
      <c r="R135" s="1203" t="s">
        <v>8115</v>
      </c>
      <c r="S135" s="2137">
        <f>IF(COUNTIF(Psíquicos!$C$25:$E$36,E135)=0,0,1)</f>
        <v>0</v>
      </c>
      <c r="U135" s="1175" t="str">
        <f t="shared" ref="U135:U145" si="17">IF(OR(G135="No",ISNUMBER(SEARCH("&gt;",D135))),"",INDEX($I$6:$R$6,SUMPRODUCT(--(ISNUMBER(SEARCH("Fatiga",$I135:$R135))))+1))</f>
        <v>ABS</v>
      </c>
      <c r="V135" s="2491"/>
      <c r="W135" s="2491"/>
      <c r="X135" s="2491"/>
      <c r="Y135" s="2491"/>
      <c r="Z135" s="2491"/>
      <c r="AA135" s="2491"/>
      <c r="AB135" s="2491"/>
      <c r="AC135" s="2491"/>
      <c r="AD135" s="2491"/>
      <c r="AE135" s="2491"/>
      <c r="AF135" s="2491">
        <f>IF(ISNUMBER(SEARCH("&gt;",D135)),0,COUNTIF(Psíquicos!$AD$16:$AH$61,D135))</f>
        <v>0</v>
      </c>
      <c r="AG135" s="1175" t="str">
        <f>IF(AF135=0,"",VLOOKUP(D135,Psíquicos!$AD$11:$AK$64,8,FALSE))</f>
        <v/>
      </c>
      <c r="AH135" s="2606"/>
      <c r="AI135" s="2592" t="s">
        <v>244</v>
      </c>
    </row>
    <row r="136" spans="1:35" ht="12.75" customHeight="1" x14ac:dyDescent="0.2">
      <c r="A136" s="2143">
        <v>136</v>
      </c>
      <c r="B136" s="2135">
        <f>IF(OR(S136=0),0,SUM($S$6:S136))</f>
        <v>0</v>
      </c>
      <c r="C136" s="1183"/>
      <c r="D136" s="1184" t="s">
        <v>245</v>
      </c>
      <c r="E136" s="1204" t="s">
        <v>2029</v>
      </c>
      <c r="F136" s="1176">
        <v>3</v>
      </c>
      <c r="G136" s="1176" t="s">
        <v>1693</v>
      </c>
      <c r="H136" s="1177" t="s">
        <v>1609</v>
      </c>
      <c r="I136" s="1175" t="s">
        <v>7667</v>
      </c>
      <c r="J136" s="1175" t="s">
        <v>7666</v>
      </c>
      <c r="K136" s="1175" t="s">
        <v>7653</v>
      </c>
      <c r="L136" s="1175" t="s">
        <v>7652</v>
      </c>
      <c r="M136" s="1175" t="s">
        <v>7651</v>
      </c>
      <c r="N136" s="1175" t="s">
        <v>8116</v>
      </c>
      <c r="O136" s="1175" t="s">
        <v>8117</v>
      </c>
      <c r="P136" s="1175" t="s">
        <v>8118</v>
      </c>
      <c r="Q136" s="1175" t="s">
        <v>8119</v>
      </c>
      <c r="R136" s="1175" t="s">
        <v>8120</v>
      </c>
      <c r="S136" s="2137">
        <f>IF(COUNTIF(Psíquicos!$C$25:$E$36,E136)=0,0,1)</f>
        <v>0</v>
      </c>
      <c r="U136" s="1175" t="str">
        <f t="shared" si="17"/>
        <v/>
      </c>
      <c r="V136" s="2491"/>
      <c r="W136" s="2491"/>
      <c r="X136" s="2492"/>
      <c r="Y136" s="2492"/>
      <c r="Z136" s="2492"/>
      <c r="AA136" s="2492"/>
      <c r="AB136" s="2491"/>
      <c r="AC136" s="2491"/>
      <c r="AD136" s="2491"/>
      <c r="AE136" s="2492"/>
      <c r="AF136" s="2491">
        <f>IF(ISNUMBER(SEARCH("&gt;",D136)),0,COUNTIF(Psíquicos!$AD$16:$AH$61,D136))</f>
        <v>0</v>
      </c>
      <c r="AG136" s="1175" t="str">
        <f>IF(AF136=0,"",VLOOKUP(D136,Psíquicos!$AD$11:$AK$64,8,FALSE))</f>
        <v/>
      </c>
      <c r="AH136" s="2606"/>
      <c r="AI136" s="2592"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1"/>
      <c r="W137" s="2491"/>
      <c r="X137" s="2491"/>
      <c r="Y137" s="2491"/>
      <c r="Z137" s="2491"/>
      <c r="AA137" s="2491"/>
      <c r="AB137" s="2491"/>
      <c r="AC137" s="2491"/>
      <c r="AD137" s="2491"/>
      <c r="AE137" s="2491"/>
      <c r="AF137" s="2491">
        <f>IF(ISNUMBER(SEARCH("&gt;",D137)),0,COUNTIF(Psíquicos!$AD$16:$AH$61,D137))</f>
        <v>0</v>
      </c>
      <c r="AG137" s="1175" t="str">
        <f>IF(AF137=0,"",VLOOKUP(D137,Psíquicos!$AD$11:$AK$64,8,FALSE))</f>
        <v/>
      </c>
      <c r="AH137" s="2606"/>
      <c r="AI137" s="2592" t="s">
        <v>246</v>
      </c>
    </row>
    <row r="138" spans="1:35" ht="12.75" customHeight="1" x14ac:dyDescent="0.2">
      <c r="A138" s="2143">
        <v>138</v>
      </c>
      <c r="B138" s="2135">
        <f>IF(OR(S138=0),0,SUM($S$6:S138))</f>
        <v>0</v>
      </c>
      <c r="C138" s="1183"/>
      <c r="D138" s="1184" t="s">
        <v>247</v>
      </c>
      <c r="E138" s="1204" t="s">
        <v>117</v>
      </c>
      <c r="F138" s="1176">
        <v>1</v>
      </c>
      <c r="G138" s="1176" t="s">
        <v>3143</v>
      </c>
      <c r="H138" s="1177" t="s">
        <v>1610</v>
      </c>
      <c r="I138" s="1175" t="s">
        <v>7616</v>
      </c>
      <c r="J138" s="1175" t="s">
        <v>8121</v>
      </c>
      <c r="K138" s="1175" t="s">
        <v>8122</v>
      </c>
      <c r="L138" s="1175" t="s">
        <v>8123</v>
      </c>
      <c r="M138" s="1175" t="s">
        <v>8124</v>
      </c>
      <c r="N138" s="1175" t="s">
        <v>8125</v>
      </c>
      <c r="O138" s="1175" t="s">
        <v>8126</v>
      </c>
      <c r="P138" s="1175" t="s">
        <v>8127</v>
      </c>
      <c r="Q138" s="1175" t="s">
        <v>8128</v>
      </c>
      <c r="R138" s="1175" t="s">
        <v>8129</v>
      </c>
      <c r="S138" s="2137">
        <f>IF(COUNTIF(Psíquicos!$C$25:$E$36,E138)=0,0,1)</f>
        <v>0</v>
      </c>
      <c r="U138" s="1175" t="str">
        <f t="shared" si="17"/>
        <v>FAC</v>
      </c>
      <c r="V138" s="2491"/>
      <c r="W138" s="2491"/>
      <c r="X138" s="2491"/>
      <c r="Y138" s="2491"/>
      <c r="Z138" s="2491"/>
      <c r="AA138" s="2491"/>
      <c r="AB138" s="2491"/>
      <c r="AC138" s="2491"/>
      <c r="AD138" s="2491"/>
      <c r="AE138" s="2491"/>
      <c r="AF138" s="2491">
        <f>IF(ISNUMBER(SEARCH("&gt;",D138)),0,COUNTIF(Psíquicos!$AD$16:$AH$61,D138))</f>
        <v>0</v>
      </c>
      <c r="AG138" s="1175" t="str">
        <f>IF(AF138=0,"",VLOOKUP(D138,Psíquicos!$AD$11:$AK$64,8,FALSE))</f>
        <v/>
      </c>
      <c r="AH138" s="2606"/>
      <c r="AI138" s="2592" t="s">
        <v>247</v>
      </c>
    </row>
    <row r="139" spans="1:35" ht="12.75" customHeight="1" x14ac:dyDescent="0.2">
      <c r="A139" s="2143">
        <v>139</v>
      </c>
      <c r="B139" s="2135">
        <f>IF(OR(S139=0),0,SUM($S$6:S139))</f>
        <v>0</v>
      </c>
      <c r="C139" s="1183"/>
      <c r="D139" s="1184" t="s">
        <v>248</v>
      </c>
      <c r="E139" s="1204" t="s">
        <v>117</v>
      </c>
      <c r="F139" s="1176">
        <v>2</v>
      </c>
      <c r="G139" s="1176" t="s">
        <v>3143</v>
      </c>
      <c r="H139" s="1177" t="s">
        <v>1609</v>
      </c>
      <c r="I139" s="1175" t="s">
        <v>7651</v>
      </c>
      <c r="J139" s="1175" t="s">
        <v>7615</v>
      </c>
      <c r="K139" s="1175" t="s">
        <v>8068</v>
      </c>
      <c r="L139" s="1175" t="s">
        <v>8069</v>
      </c>
      <c r="M139" s="1175" t="s">
        <v>7668</v>
      </c>
      <c r="N139" s="1175" t="s">
        <v>8070</v>
      </c>
      <c r="O139" s="1175" t="s">
        <v>7998</v>
      </c>
      <c r="P139" s="1175" t="s">
        <v>7625</v>
      </c>
      <c r="Q139" s="1175" t="s">
        <v>8071</v>
      </c>
      <c r="R139" s="1203" t="s">
        <v>7626</v>
      </c>
      <c r="S139" s="2137">
        <f>IF(COUNTIF(Psíquicos!$C$25:$E$36,E139)=0,0,1)</f>
        <v>0</v>
      </c>
      <c r="U139" s="1175" t="str">
        <f t="shared" si="17"/>
        <v>MED</v>
      </c>
      <c r="V139" s="2491"/>
      <c r="W139" s="2491"/>
      <c r="X139" s="2491"/>
      <c r="Y139" s="2491"/>
      <c r="Z139" s="2491"/>
      <c r="AA139" s="2491"/>
      <c r="AB139" s="2491"/>
      <c r="AC139" s="2491"/>
      <c r="AD139" s="2491"/>
      <c r="AE139" s="2491"/>
      <c r="AF139" s="2491">
        <f>IF(ISNUMBER(SEARCH("&gt;",D139)),0,COUNTIF(Psíquicos!$AD$16:$AH$61,D139))</f>
        <v>0</v>
      </c>
      <c r="AG139" s="1175" t="str">
        <f>IF(AF139=0,"",VLOOKUP(D139,Psíquicos!$AD$11:$AK$64,8,FALSE))</f>
        <v/>
      </c>
      <c r="AH139" s="2606"/>
      <c r="AI139" s="2592" t="s">
        <v>248</v>
      </c>
    </row>
    <row r="140" spans="1:35" ht="12.75" customHeight="1" x14ac:dyDescent="0.2">
      <c r="A140" s="2143">
        <v>140</v>
      </c>
      <c r="B140" s="2135">
        <f>IF(OR(S140=0),0,SUM($S$6:S140))</f>
        <v>0</v>
      </c>
      <c r="C140" s="1183"/>
      <c r="D140" s="1184" t="s">
        <v>249</v>
      </c>
      <c r="E140" s="1204" t="s">
        <v>117</v>
      </c>
      <c r="F140" s="1176">
        <v>3</v>
      </c>
      <c r="G140" s="1176" t="s">
        <v>3143</v>
      </c>
      <c r="H140" s="1177" t="s">
        <v>1609</v>
      </c>
      <c r="I140" s="1175" t="s">
        <v>7666</v>
      </c>
      <c r="J140" s="1175" t="s">
        <v>8051</v>
      </c>
      <c r="K140" s="1175" t="s">
        <v>7653</v>
      </c>
      <c r="L140" s="1175" t="s">
        <v>7652</v>
      </c>
      <c r="M140" s="1175" t="s">
        <v>7651</v>
      </c>
      <c r="N140" s="1175" t="s">
        <v>8130</v>
      </c>
      <c r="O140" s="1175" t="s">
        <v>252</v>
      </c>
      <c r="P140" s="1175" t="s">
        <v>8131</v>
      </c>
      <c r="Q140" s="1175" t="s">
        <v>8132</v>
      </c>
      <c r="R140" s="1203" t="s">
        <v>8133</v>
      </c>
      <c r="S140" s="2137">
        <f>IF(COUNTIF(Psíquicos!$C$25:$E$36,E140)=0,0,1)</f>
        <v>0</v>
      </c>
      <c r="U140" s="1175" t="str">
        <f t="shared" si="17"/>
        <v>ABS</v>
      </c>
      <c r="V140" s="2491"/>
      <c r="W140" s="2491"/>
      <c r="X140" s="2491"/>
      <c r="Y140" s="2491"/>
      <c r="Z140" s="2491"/>
      <c r="AA140" s="2491"/>
      <c r="AB140" s="2491"/>
      <c r="AC140" s="2491"/>
      <c r="AD140" s="2491"/>
      <c r="AE140" s="2491"/>
      <c r="AF140" s="2491">
        <f>IF(ISNUMBER(SEARCH("&gt;",D140)),0,COUNTIF(Psíquicos!$AD$16:$AH$61,D140))</f>
        <v>0</v>
      </c>
      <c r="AG140" s="1175" t="str">
        <f>IF(AF140=0,"",VLOOKUP(D140,Psíquicos!$AD$11:$AK$64,8,FALSE))</f>
        <v/>
      </c>
      <c r="AH140" s="2606"/>
      <c r="AI140" s="2592"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1"/>
      <c r="W141" s="2491"/>
      <c r="X141" s="2491"/>
      <c r="Y141" s="2491"/>
      <c r="Z141" s="2491"/>
      <c r="AA141" s="2491"/>
      <c r="AB141" s="2491"/>
      <c r="AC141" s="2491"/>
      <c r="AD141" s="2491"/>
      <c r="AE141" s="2491"/>
      <c r="AF141" s="2491">
        <f>IF(ISNUMBER(SEARCH("&gt;",D141)),0,COUNTIF(Psíquicos!$AD$16:$AH$61,D141))</f>
        <v>0</v>
      </c>
      <c r="AG141" s="1175" t="str">
        <f>IF(AF141=0,"",VLOOKUP(D141,Psíquicos!$AD$11:$AK$64,8,FALSE))</f>
        <v/>
      </c>
      <c r="AH141" s="2606"/>
      <c r="AI141" s="2592" t="s">
        <v>250</v>
      </c>
    </row>
    <row r="142" spans="1:35" ht="12.75" customHeight="1" x14ac:dyDescent="0.2">
      <c r="A142" s="2143">
        <v>142</v>
      </c>
      <c r="B142" s="2135">
        <f>IF(OR(S142=0),0,SUM($S$6:S142))</f>
        <v>2</v>
      </c>
      <c r="C142" s="1183"/>
      <c r="D142" s="1184" t="s">
        <v>251</v>
      </c>
      <c r="E142" s="1175" t="s">
        <v>8134</v>
      </c>
      <c r="F142" s="1176" t="s">
        <v>1769</v>
      </c>
      <c r="G142" s="1176" t="s">
        <v>3143</v>
      </c>
      <c r="H142" s="1177" t="s">
        <v>1609</v>
      </c>
      <c r="I142" s="1175" t="s">
        <v>7652</v>
      </c>
      <c r="J142" s="1175" t="s">
        <v>7651</v>
      </c>
      <c r="K142" s="1175" t="s">
        <v>7615</v>
      </c>
      <c r="L142" s="1175" t="s">
        <v>8135</v>
      </c>
      <c r="M142" s="1175" t="s">
        <v>8136</v>
      </c>
      <c r="N142" s="1175" t="s">
        <v>7915</v>
      </c>
      <c r="O142" s="1175" t="s">
        <v>7916</v>
      </c>
      <c r="P142" s="1175" t="s">
        <v>7917</v>
      </c>
      <c r="Q142" s="1175" t="s">
        <v>7918</v>
      </c>
      <c r="R142" s="1203" t="s">
        <v>7919</v>
      </c>
      <c r="S142" s="2137">
        <v>1</v>
      </c>
      <c r="U142" s="1175" t="str">
        <f t="shared" si="17"/>
        <v>DIF</v>
      </c>
      <c r="V142" s="2491"/>
      <c r="W142" s="2491"/>
      <c r="X142" s="2491"/>
      <c r="Y142" s="2491"/>
      <c r="Z142" s="2491"/>
      <c r="AA142" s="2491"/>
      <c r="AB142" s="2491"/>
      <c r="AC142" s="2491"/>
      <c r="AD142" s="2491"/>
      <c r="AE142" s="2491"/>
      <c r="AF142" s="2491">
        <f>IF(ISNUMBER(SEARCH("&gt;",D142)),0,COUNTIF(Psíquicos!$AD$16:$AH$61,D142))</f>
        <v>0</v>
      </c>
      <c r="AG142" s="1175" t="str">
        <f>IF(AF142=0,"",VLOOKUP(D142,Psíquicos!$AD$11:$AK$64,8,FALSE))</f>
        <v/>
      </c>
      <c r="AH142" s="2606"/>
      <c r="AI142" s="2592" t="s">
        <v>251</v>
      </c>
    </row>
    <row r="143" spans="1:35" ht="12.75" customHeight="1" x14ac:dyDescent="0.2">
      <c r="A143" s="2143">
        <v>143</v>
      </c>
      <c r="B143" s="2135">
        <f>IF(OR(S143=0),0,SUM($S$6:S143))</f>
        <v>3</v>
      </c>
      <c r="C143" s="1183"/>
      <c r="D143" s="1184" t="s">
        <v>252</v>
      </c>
      <c r="E143" s="1175" t="s">
        <v>8134</v>
      </c>
      <c r="F143" s="1176" t="s">
        <v>1769</v>
      </c>
      <c r="G143" s="1176" t="s">
        <v>3143</v>
      </c>
      <c r="H143" s="1177" t="s">
        <v>1609</v>
      </c>
      <c r="I143" s="1175" t="s">
        <v>7616</v>
      </c>
      <c r="J143" s="1175" t="s">
        <v>8137</v>
      </c>
      <c r="K143" s="1175" t="s">
        <v>8138</v>
      </c>
      <c r="L143" s="1175" t="s">
        <v>8139</v>
      </c>
      <c r="M143" s="1175" t="s">
        <v>7625</v>
      </c>
      <c r="N143" s="1175" t="s">
        <v>8140</v>
      </c>
      <c r="O143" s="1175" t="s">
        <v>8141</v>
      </c>
      <c r="P143" s="1175" t="s">
        <v>8142</v>
      </c>
      <c r="Q143" s="1175" t="s">
        <v>8143</v>
      </c>
      <c r="R143" s="1203" t="s">
        <v>8144</v>
      </c>
      <c r="S143" s="2137">
        <v>1</v>
      </c>
      <c r="U143" s="1175" t="str">
        <f t="shared" si="17"/>
        <v>FAC</v>
      </c>
      <c r="V143" s="2491"/>
      <c r="W143" s="2491"/>
      <c r="X143" s="2491"/>
      <c r="Y143" s="2491"/>
      <c r="Z143" s="2491"/>
      <c r="AA143" s="2491"/>
      <c r="AB143" s="2491"/>
      <c r="AC143" s="2491"/>
      <c r="AD143" s="2491"/>
      <c r="AE143" s="2491"/>
      <c r="AF143" s="2491">
        <f>IF(ISNUMBER(SEARCH("&gt;",D143)),0,COUNTIF(Psíquicos!$AD$16:$AH$61,D143))</f>
        <v>0</v>
      </c>
      <c r="AG143" s="1175" t="str">
        <f>IF(AF143=0,"",VLOOKUP(D143,Psíquicos!$AD$11:$AK$64,8,FALSE))</f>
        <v/>
      </c>
      <c r="AH143" s="2606"/>
      <c r="AI143" s="2592" t="s">
        <v>252</v>
      </c>
    </row>
    <row r="144" spans="1:35" ht="12.75" customHeight="1" x14ac:dyDescent="0.2">
      <c r="A144" s="2143">
        <v>144</v>
      </c>
      <c r="B144" s="2135">
        <f>IF(OR(S144=0),0,SUM($S$6:S144))</f>
        <v>4</v>
      </c>
      <c r="C144" s="1183"/>
      <c r="D144" s="1184" t="s">
        <v>253</v>
      </c>
      <c r="E144" s="1175" t="s">
        <v>8134</v>
      </c>
      <c r="F144" s="1176" t="s">
        <v>1769</v>
      </c>
      <c r="G144" s="1176" t="s">
        <v>3143</v>
      </c>
      <c r="H144" s="1177" t="s">
        <v>1610</v>
      </c>
      <c r="I144" s="1175" t="s">
        <v>7615</v>
      </c>
      <c r="J144" s="1175" t="s">
        <v>7616</v>
      </c>
      <c r="K144" s="1175" t="s">
        <v>8145</v>
      </c>
      <c r="L144" s="1175" t="s">
        <v>8146</v>
      </c>
      <c r="M144" s="1175" t="s">
        <v>8147</v>
      </c>
      <c r="N144" s="1175" t="s">
        <v>8148</v>
      </c>
      <c r="O144" s="1175" t="s">
        <v>8149</v>
      </c>
      <c r="P144" s="1175" t="s">
        <v>8150</v>
      </c>
      <c r="Q144" s="1175" t="s">
        <v>8151</v>
      </c>
      <c r="R144" s="1203" t="s">
        <v>8152</v>
      </c>
      <c r="S144" s="2137">
        <v>1</v>
      </c>
      <c r="U144" s="1175" t="str">
        <f t="shared" si="17"/>
        <v>MED</v>
      </c>
      <c r="V144" s="2491"/>
      <c r="W144" s="2491"/>
      <c r="X144" s="2491"/>
      <c r="Y144" s="2491"/>
      <c r="Z144" s="2491"/>
      <c r="AA144" s="2491"/>
      <c r="AB144" s="2491"/>
      <c r="AC144" s="2491"/>
      <c r="AD144" s="2491"/>
      <c r="AE144" s="2491"/>
      <c r="AF144" s="2491">
        <f>IF(ISNUMBER(SEARCH("&gt;",D144)),0,COUNTIF(Psíquicos!$AD$16:$AH$61,D144))</f>
        <v>0</v>
      </c>
      <c r="AG144" s="1175" t="str">
        <f>IF(AF144=0,"",VLOOKUP(D144,Psíquicos!$AD$11:$AK$64,8,FALSE))</f>
        <v/>
      </c>
      <c r="AH144" s="2606"/>
      <c r="AI144" s="2592" t="s">
        <v>253</v>
      </c>
    </row>
    <row r="145" spans="1:35" ht="12.75" customHeight="1" thickBot="1" x14ac:dyDescent="0.25">
      <c r="A145" s="2143">
        <v>145</v>
      </c>
      <c r="B145" s="2136">
        <f>IF(OR(S145=0),0,SUM($S$6:S145))</f>
        <v>5</v>
      </c>
      <c r="C145" s="1194"/>
      <c r="D145" s="1205" t="s">
        <v>254</v>
      </c>
      <c r="E145" s="1206" t="s">
        <v>8134</v>
      </c>
      <c r="F145" s="1207" t="s">
        <v>1769</v>
      </c>
      <c r="G145" s="1207" t="s">
        <v>3143</v>
      </c>
      <c r="H145" s="1208" t="s">
        <v>1609</v>
      </c>
      <c r="I145" s="1206" t="s">
        <v>7652</v>
      </c>
      <c r="J145" s="1206" t="s">
        <v>7651</v>
      </c>
      <c r="K145" s="1206" t="s">
        <v>7615</v>
      </c>
      <c r="L145" s="1206" t="s">
        <v>8153</v>
      </c>
      <c r="M145" s="1206" t="s">
        <v>8154</v>
      </c>
      <c r="N145" s="1206" t="s">
        <v>8155</v>
      </c>
      <c r="O145" s="1206" t="s">
        <v>8156</v>
      </c>
      <c r="P145" s="1206" t="s">
        <v>8157</v>
      </c>
      <c r="Q145" s="1206" t="s">
        <v>8158</v>
      </c>
      <c r="R145" s="1209" t="s">
        <v>8159</v>
      </c>
      <c r="S145" s="2138">
        <v>1</v>
      </c>
      <c r="U145" s="1175" t="str">
        <f t="shared" si="17"/>
        <v>DIF</v>
      </c>
      <c r="V145" s="2491"/>
      <c r="W145" s="2491"/>
      <c r="X145" s="2491"/>
      <c r="Y145" s="2491"/>
      <c r="Z145" s="2491"/>
      <c r="AA145" s="2491"/>
      <c r="AB145" s="2491"/>
      <c r="AC145" s="2491"/>
      <c r="AD145" s="2491"/>
      <c r="AE145" s="2491"/>
      <c r="AF145" s="2491">
        <f>IF(ISNUMBER(SEARCH("&gt;",D145)),0,COUNTIF(Psíquicos!$AD$16:$AH$61,D145))</f>
        <v>0</v>
      </c>
      <c r="AG145" s="1175" t="str">
        <f>IF(AF145=0,"",VLOOKUP(D145,Psíquicos!$AD$11:$AK$64,8,FALSE))</f>
        <v/>
      </c>
      <c r="AH145" s="2607"/>
      <c r="AI145" s="2593" t="s">
        <v>254</v>
      </c>
    </row>
    <row r="146" spans="1:35" ht="12.75" customHeight="1" x14ac:dyDescent="0.2">
      <c r="A146" s="2143">
        <v>146</v>
      </c>
      <c r="AH146" s="2589"/>
    </row>
    <row r="147" spans="1:35" ht="12.75" customHeight="1" x14ac:dyDescent="0.2">
      <c r="A147" s="2143">
        <v>147</v>
      </c>
      <c r="AH147" s="2589"/>
    </row>
    <row r="148" spans="1:35" ht="12.75" customHeight="1" x14ac:dyDescent="0.2">
      <c r="C148" s="5295" t="s">
        <v>9285</v>
      </c>
      <c r="D148" s="5296"/>
      <c r="G148" s="5295" t="s">
        <v>9285</v>
      </c>
      <c r="H148" s="5296"/>
    </row>
    <row r="149" spans="1:35" ht="12.75" customHeight="1" thickBot="1" x14ac:dyDescent="0.25">
      <c r="C149" s="5297" t="e">
        <f>Poderes_Psi_Disponibles</f>
        <v>#VALUE!</v>
      </c>
      <c r="D149" s="5297"/>
      <c r="G149" s="5297" t="e">
        <f>Pod_Psi_Innatos_Disponibles</f>
        <v>#VALUE!</v>
      </c>
      <c r="H149" s="5297"/>
    </row>
    <row r="150" spans="1:35" ht="12.75" customHeight="1" thickBot="1" x14ac:dyDescent="0.25">
      <c r="C150" s="4324" t="s">
        <v>9018</v>
      </c>
      <c r="D150" s="4326"/>
      <c r="G150" s="4324" t="s">
        <v>9283</v>
      </c>
      <c r="H150" s="4326"/>
    </row>
    <row r="151" spans="1:35" ht="12.75" customHeight="1" x14ac:dyDescent="0.2">
      <c r="C151" s="4371"/>
      <c r="D151" s="4373"/>
      <c r="F151" s="5293" t="s">
        <v>9284</v>
      </c>
      <c r="G151" s="4371"/>
      <c r="H151" s="4373"/>
    </row>
    <row r="152" spans="1:35" ht="12.75" customHeight="1" thickBot="1" x14ac:dyDescent="0.25">
      <c r="C152" s="4371"/>
      <c r="D152" s="4373"/>
      <c r="F152" s="5294"/>
      <c r="G152" s="4371"/>
      <c r="H152" s="4373"/>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9019</v>
      </c>
    </row>
    <row r="293" spans="3:8" x14ac:dyDescent="0.2">
      <c r="D293" s="2144"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3425</v>
      </c>
      <c r="Z1" s="763" t="s">
        <v>3426</v>
      </c>
      <c r="AB1" s="5298" t="s">
        <v>3427</v>
      </c>
      <c r="AC1" s="5298"/>
      <c r="AD1" s="5298"/>
      <c r="AE1" s="5298"/>
      <c r="AF1" s="5298"/>
      <c r="AG1" s="5298"/>
      <c r="AH1" s="5298"/>
      <c r="AI1" s="5298"/>
      <c r="AJ1" s="5298"/>
      <c r="AK1" s="5298"/>
      <c r="AM1" s="815"/>
      <c r="AN1" s="815"/>
      <c r="AO1" s="1379"/>
      <c r="AP1" s="1379"/>
      <c r="AQ1" s="815"/>
      <c r="AR1" s="815"/>
      <c r="AS1" s="815"/>
      <c r="AT1" s="815"/>
      <c r="AU1" s="815"/>
      <c r="AV1" s="815"/>
    </row>
    <row r="2" spans="1:48" ht="12.75" customHeight="1" x14ac:dyDescent="0.2">
      <c r="A2" s="765" t="s">
        <v>3429</v>
      </c>
      <c r="B2" s="766"/>
      <c r="C2" s="767" t="s">
        <v>3430</v>
      </c>
      <c r="E2" s="5302" t="s">
        <v>3431</v>
      </c>
      <c r="F2" s="5303"/>
      <c r="G2" s="768"/>
      <c r="H2" s="5302" t="s">
        <v>641</v>
      </c>
      <c r="I2" s="5304"/>
      <c r="J2" s="5303"/>
      <c r="L2" s="5302" t="s">
        <v>3432</v>
      </c>
      <c r="M2" s="5304"/>
      <c r="N2" s="5303"/>
      <c r="P2" s="5305" t="s">
        <v>3433</v>
      </c>
      <c r="Q2" s="5306"/>
      <c r="R2" s="5306"/>
      <c r="S2" s="5307"/>
      <c r="U2" s="5308" t="s">
        <v>3434</v>
      </c>
      <c r="V2" s="5309"/>
      <c r="X2" s="769" t="s">
        <v>3435</v>
      </c>
      <c r="Z2" s="770" t="s">
        <v>3436</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2549</v>
      </c>
      <c r="E3" s="776" t="s">
        <v>3437</v>
      </c>
      <c r="F3" s="777" t="s">
        <v>1815</v>
      </c>
      <c r="G3" s="768"/>
      <c r="H3" s="776" t="s">
        <v>1711</v>
      </c>
      <c r="I3" s="778" t="s">
        <v>3437</v>
      </c>
      <c r="J3" s="777" t="s">
        <v>1815</v>
      </c>
      <c r="L3" s="776" t="s">
        <v>3437</v>
      </c>
      <c r="M3" s="778" t="s">
        <v>3438</v>
      </c>
      <c r="N3" s="777" t="s">
        <v>1815</v>
      </c>
      <c r="P3" s="779"/>
      <c r="Q3" s="5310" t="s">
        <v>1815</v>
      </c>
      <c r="R3" s="5310"/>
      <c r="S3" s="780"/>
      <c r="U3" s="781" t="s">
        <v>3437</v>
      </c>
      <c r="V3" s="782" t="s">
        <v>3439</v>
      </c>
      <c r="X3" s="769" t="s">
        <v>3440</v>
      </c>
      <c r="Z3" s="783" t="s">
        <v>3441</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3442</v>
      </c>
      <c r="I4" s="793">
        <v>1</v>
      </c>
      <c r="J4" s="791">
        <v>0</v>
      </c>
      <c r="L4" s="790">
        <v>0</v>
      </c>
      <c r="M4" s="793">
        <v>0</v>
      </c>
      <c r="N4" s="791">
        <v>0</v>
      </c>
      <c r="P4" s="794" t="s">
        <v>3437</v>
      </c>
      <c r="Q4" s="795" t="s">
        <v>3443</v>
      </c>
      <c r="R4" s="795" t="s">
        <v>3444</v>
      </c>
      <c r="S4" s="796"/>
      <c r="U4" s="797">
        <v>1</v>
      </c>
      <c r="V4" s="798">
        <v>1</v>
      </c>
      <c r="X4" s="769" t="s">
        <v>3445</v>
      </c>
      <c r="Z4" s="783" t="s">
        <v>3446</v>
      </c>
      <c r="AB4" s="785" t="s">
        <v>8172</v>
      </c>
      <c r="AC4" s="1432"/>
      <c r="AD4" s="1433" t="s">
        <v>8177</v>
      </c>
      <c r="AE4" s="1434" t="s">
        <v>1715</v>
      </c>
      <c r="AF4" s="1434" t="s">
        <v>3447</v>
      </c>
      <c r="AG4" s="1435" t="s">
        <v>1804</v>
      </c>
      <c r="AH4" s="1436" t="s">
        <v>3448</v>
      </c>
      <c r="AI4" s="1437" t="s">
        <v>3434</v>
      </c>
      <c r="AJ4" s="5311" t="s">
        <v>3472</v>
      </c>
      <c r="AK4" s="5299" t="s">
        <v>3428</v>
      </c>
      <c r="AM4" s="815"/>
      <c r="AN4" s="815"/>
      <c r="AO4" s="1379"/>
      <c r="AP4" s="1379"/>
      <c r="AQ4" s="815"/>
      <c r="AR4" s="815"/>
      <c r="AS4" s="815"/>
      <c r="AT4" s="815"/>
      <c r="AU4" s="815"/>
      <c r="AV4" s="815"/>
    </row>
    <row r="5" spans="1:48" ht="13.5" customHeight="1" thickBot="1" x14ac:dyDescent="0.25">
      <c r="A5" s="774" t="s">
        <v>1690</v>
      </c>
      <c r="E5" s="790">
        <v>2</v>
      </c>
      <c r="F5" s="791">
        <v>20</v>
      </c>
      <c r="H5" s="792" t="s">
        <v>3442</v>
      </c>
      <c r="I5" s="793">
        <v>2</v>
      </c>
      <c r="J5" s="791">
        <v>40</v>
      </c>
      <c r="L5" s="790">
        <v>1</v>
      </c>
      <c r="M5" s="793">
        <v>3</v>
      </c>
      <c r="N5" s="791">
        <v>10</v>
      </c>
      <c r="P5" s="790">
        <f>0</f>
        <v>0</v>
      </c>
      <c r="Q5" s="793">
        <v>0</v>
      </c>
      <c r="R5" s="793">
        <v>0</v>
      </c>
      <c r="S5" s="791"/>
      <c r="U5" s="797">
        <v>2</v>
      </c>
      <c r="V5" s="798">
        <v>2</v>
      </c>
      <c r="X5" s="769" t="s">
        <v>3449</v>
      </c>
      <c r="Z5" s="783" t="s">
        <v>3450</v>
      </c>
      <c r="AB5" s="785"/>
      <c r="AC5" s="805"/>
      <c r="AD5" s="806" t="s">
        <v>3451</v>
      </c>
      <c r="AE5" s="807"/>
      <c r="AF5" s="808"/>
      <c r="AG5" s="809"/>
      <c r="AH5" s="810"/>
      <c r="AI5" s="811"/>
      <c r="AJ5" s="5312"/>
      <c r="AK5" s="5300"/>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3442</v>
      </c>
      <c r="I6" s="819">
        <v>3</v>
      </c>
      <c r="J6" s="820">
        <v>60</v>
      </c>
      <c r="L6" s="821">
        <v>2</v>
      </c>
      <c r="M6" s="819">
        <v>6</v>
      </c>
      <c r="N6" s="820">
        <v>20</v>
      </c>
      <c r="P6" s="821">
        <f>1</f>
        <v>1</v>
      </c>
      <c r="Q6" s="819">
        <v>20</v>
      </c>
      <c r="R6" s="819">
        <v>50</v>
      </c>
      <c r="S6" s="820"/>
      <c r="U6" s="822">
        <v>3</v>
      </c>
      <c r="V6" s="823">
        <v>3</v>
      </c>
      <c r="X6" s="824" t="s">
        <v>3453</v>
      </c>
      <c r="Z6" s="825" t="s">
        <v>3454</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3455</v>
      </c>
      <c r="I7" s="819">
        <v>1</v>
      </c>
      <c r="J7" s="820">
        <v>0</v>
      </c>
      <c r="L7" s="816">
        <v>3</v>
      </c>
      <c r="M7" s="831">
        <v>9</v>
      </c>
      <c r="N7" s="817">
        <v>30</v>
      </c>
      <c r="P7" s="821">
        <f>2</f>
        <v>2</v>
      </c>
      <c r="Q7" s="819">
        <v>40</v>
      </c>
      <c r="R7" s="819">
        <v>100</v>
      </c>
      <c r="S7" s="820"/>
      <c r="U7" s="832" t="s">
        <v>3456</v>
      </c>
      <c r="X7" s="824" t="s">
        <v>3457</v>
      </c>
      <c r="Z7" s="825" t="s">
        <v>3458</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3455</v>
      </c>
      <c r="I8" s="819">
        <v>2</v>
      </c>
      <c r="J8" s="820">
        <v>60</v>
      </c>
      <c r="L8" s="836"/>
      <c r="P8" s="816">
        <f>3</f>
        <v>3</v>
      </c>
      <c r="Q8" s="831">
        <v>60</v>
      </c>
      <c r="R8" s="831">
        <v>200</v>
      </c>
      <c r="S8" s="817"/>
      <c r="X8" s="824" t="s">
        <v>3460</v>
      </c>
      <c r="Z8" s="825" t="s">
        <v>3461</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3455</v>
      </c>
      <c r="I9" s="831">
        <v>3</v>
      </c>
      <c r="J9" s="817">
        <v>90</v>
      </c>
      <c r="L9" s="836"/>
      <c r="X9" s="824" t="s">
        <v>3462</v>
      </c>
      <c r="Z9" s="825" t="s">
        <v>3463</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3464</v>
      </c>
      <c r="Z10" s="825" t="s">
        <v>3465</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3466</v>
      </c>
      <c r="B11" s="853" t="s">
        <v>1792</v>
      </c>
      <c r="C11" s="853" t="s">
        <v>1793</v>
      </c>
      <c r="D11" s="853" t="s">
        <v>1815</v>
      </c>
      <c r="E11" s="853" t="s">
        <v>3467</v>
      </c>
      <c r="F11" s="853" t="s">
        <v>3468</v>
      </c>
      <c r="G11" s="853" t="s">
        <v>3469</v>
      </c>
      <c r="H11" s="853" t="s">
        <v>3437</v>
      </c>
      <c r="I11" s="2321" t="s">
        <v>1711</v>
      </c>
      <c r="J11" s="2321" t="s">
        <v>1682</v>
      </c>
      <c r="K11" s="2321" t="s">
        <v>3470</v>
      </c>
      <c r="L11" s="5301" t="s">
        <v>3471</v>
      </c>
      <c r="M11" s="5301"/>
      <c r="N11" s="5301"/>
      <c r="O11" s="5301"/>
      <c r="P11" s="5301"/>
      <c r="Q11" s="5301"/>
      <c r="R11" s="5301"/>
      <c r="S11" s="5301"/>
      <c r="T11" s="5301" t="s">
        <v>3472</v>
      </c>
      <c r="U11" s="5301"/>
      <c r="V11" s="5301"/>
      <c r="X11" s="824" t="s">
        <v>3473</v>
      </c>
      <c r="Z11" s="825" t="s">
        <v>3474</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3475</v>
      </c>
      <c r="B12" s="856"/>
      <c r="C12" s="856"/>
      <c r="D12" s="856"/>
      <c r="E12" s="856"/>
      <c r="F12" s="856"/>
      <c r="G12" s="856"/>
      <c r="H12" s="856"/>
      <c r="I12" s="856"/>
      <c r="J12" s="856"/>
      <c r="K12" s="856"/>
      <c r="L12" s="857"/>
      <c r="M12" s="856"/>
      <c r="N12" s="856"/>
      <c r="O12" s="856"/>
      <c r="P12" s="856"/>
      <c r="Q12" s="856"/>
      <c r="R12" s="856"/>
      <c r="S12" s="856"/>
      <c r="T12" s="856"/>
      <c r="U12" s="856"/>
      <c r="V12" s="856"/>
      <c r="X12" s="824" t="s">
        <v>3476</v>
      </c>
      <c r="Z12" s="825" t="s">
        <v>3477</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3425</v>
      </c>
      <c r="B13" s="860"/>
      <c r="C13" s="860"/>
      <c r="D13" s="860"/>
      <c r="E13" s="860"/>
      <c r="F13" s="860"/>
      <c r="G13" s="860"/>
      <c r="H13" s="860"/>
      <c r="I13" s="860"/>
      <c r="J13" s="860"/>
      <c r="K13" s="860"/>
      <c r="L13" s="861"/>
      <c r="M13" s="860"/>
      <c r="N13" s="860"/>
      <c r="O13" s="860"/>
      <c r="P13" s="860"/>
      <c r="Q13" s="860"/>
      <c r="R13" s="860"/>
      <c r="S13" s="860"/>
      <c r="T13" s="860"/>
      <c r="U13" s="860"/>
      <c r="V13" s="860"/>
      <c r="X13" s="824" t="s">
        <v>3478</v>
      </c>
      <c r="Z13" s="863" t="s">
        <v>3479</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3435</v>
      </c>
      <c r="B14" s="867"/>
      <c r="C14" s="867"/>
      <c r="D14" s="867"/>
      <c r="E14" s="867"/>
      <c r="F14" s="867"/>
      <c r="G14" s="867"/>
      <c r="H14" s="867"/>
      <c r="I14" s="867"/>
      <c r="J14" s="867"/>
      <c r="K14" s="867"/>
      <c r="L14" s="868"/>
      <c r="M14" s="867"/>
      <c r="N14" s="867"/>
      <c r="O14" s="867"/>
      <c r="P14" s="867"/>
      <c r="Q14" s="867"/>
      <c r="R14" s="867"/>
      <c r="S14" s="867"/>
      <c r="T14" s="867"/>
      <c r="U14" s="867"/>
      <c r="V14" s="867"/>
      <c r="X14" s="824" t="s">
        <v>3481</v>
      </c>
      <c r="Z14" s="869" t="s">
        <v>3482</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3483</v>
      </c>
      <c r="B15" s="873">
        <v>2</v>
      </c>
      <c r="C15" s="873">
        <v>4</v>
      </c>
      <c r="D15" s="873">
        <v>5</v>
      </c>
      <c r="E15" s="873">
        <v>1</v>
      </c>
      <c r="F15" s="873">
        <v>2</v>
      </c>
      <c r="G15" s="873">
        <v>4</v>
      </c>
      <c r="H15" s="873">
        <v>1</v>
      </c>
      <c r="I15" s="874" t="s">
        <v>3436</v>
      </c>
      <c r="J15" s="874" t="s">
        <v>1537</v>
      </c>
      <c r="K15" s="873" t="s">
        <v>1690</v>
      </c>
      <c r="L15" s="875" t="s">
        <v>1685</v>
      </c>
      <c r="M15" s="872" t="s">
        <v>3484</v>
      </c>
      <c r="N15" s="875" t="s">
        <v>1695</v>
      </c>
      <c r="O15" s="872" t="s">
        <v>3484</v>
      </c>
      <c r="P15" s="875" t="s">
        <v>1703</v>
      </c>
      <c r="Q15" s="872" t="s">
        <v>3484</v>
      </c>
      <c r="R15" s="875" t="s">
        <v>1704</v>
      </c>
      <c r="S15" s="872" t="s">
        <v>3485</v>
      </c>
      <c r="T15" s="876" t="s">
        <v>1931</v>
      </c>
      <c r="U15" s="876" t="s">
        <v>1938</v>
      </c>
      <c r="V15" s="876" t="s">
        <v>2030</v>
      </c>
      <c r="W15" s="873"/>
      <c r="X15" s="824" t="s">
        <v>3486</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3487</v>
      </c>
      <c r="B16" s="873">
        <v>3</v>
      </c>
      <c r="C16" s="873">
        <v>5</v>
      </c>
      <c r="D16" s="873">
        <v>5</v>
      </c>
      <c r="E16" s="873">
        <v>2</v>
      </c>
      <c r="F16" s="873">
        <v>4</v>
      </c>
      <c r="G16" s="873">
        <v>7</v>
      </c>
      <c r="H16" s="873">
        <v>1</v>
      </c>
      <c r="I16" s="874" t="s">
        <v>3436</v>
      </c>
      <c r="J16" s="874" t="s">
        <v>1537</v>
      </c>
      <c r="K16" s="873" t="s">
        <v>1690</v>
      </c>
      <c r="L16" s="875" t="s">
        <v>1685</v>
      </c>
      <c r="M16" s="872" t="s">
        <v>3484</v>
      </c>
      <c r="N16" s="875" t="s">
        <v>1695</v>
      </c>
      <c r="O16" s="872" t="s">
        <v>3484</v>
      </c>
      <c r="P16" s="875" t="s">
        <v>1703</v>
      </c>
      <c r="Q16" s="872" t="s">
        <v>3484</v>
      </c>
      <c r="R16" s="875" t="s">
        <v>1704</v>
      </c>
      <c r="S16" s="872" t="s">
        <v>3485</v>
      </c>
      <c r="T16" s="876" t="s">
        <v>1931</v>
      </c>
      <c r="U16" s="876" t="s">
        <v>1938</v>
      </c>
      <c r="V16" s="876" t="s">
        <v>2030</v>
      </c>
      <c r="W16" s="873"/>
      <c r="X16" s="824" t="s">
        <v>3488</v>
      </c>
      <c r="Z16" s="1340" t="s">
        <v>8178</v>
      </c>
      <c r="AB16" s="826"/>
      <c r="AC16" s="881"/>
      <c r="AD16" s="882" t="s">
        <v>3489</v>
      </c>
      <c r="AE16" s="883"/>
      <c r="AF16" s="883"/>
      <c r="AG16" s="884"/>
      <c r="AH16" s="885"/>
      <c r="AI16" s="886"/>
      <c r="AJ16" s="887"/>
      <c r="AK16" s="826"/>
      <c r="AO16" s="1379"/>
      <c r="AP16" s="1379"/>
    </row>
    <row r="17" spans="1:42" s="815" customFormat="1" ht="18" customHeight="1" x14ac:dyDescent="0.2">
      <c r="A17" s="872" t="s">
        <v>3490</v>
      </c>
      <c r="B17" s="873">
        <v>4</v>
      </c>
      <c r="C17" s="873">
        <v>6</v>
      </c>
      <c r="D17" s="873">
        <v>10</v>
      </c>
      <c r="E17" s="873">
        <v>3</v>
      </c>
      <c r="F17" s="873">
        <v>6</v>
      </c>
      <c r="G17" s="873">
        <v>11</v>
      </c>
      <c r="H17" s="873">
        <v>1</v>
      </c>
      <c r="I17" s="874" t="s">
        <v>3436</v>
      </c>
      <c r="J17" s="874" t="s">
        <v>1537</v>
      </c>
      <c r="K17" s="873" t="s">
        <v>1690</v>
      </c>
      <c r="L17" s="875" t="s">
        <v>1685</v>
      </c>
      <c r="M17" s="872" t="s">
        <v>3484</v>
      </c>
      <c r="N17" s="875" t="s">
        <v>1695</v>
      </c>
      <c r="O17" s="872" t="s">
        <v>3484</v>
      </c>
      <c r="P17" s="875" t="s">
        <v>1703</v>
      </c>
      <c r="Q17" s="872" t="s">
        <v>3484</v>
      </c>
      <c r="R17" s="875" t="s">
        <v>1704</v>
      </c>
      <c r="S17" s="872" t="s">
        <v>3485</v>
      </c>
      <c r="T17" s="876" t="s">
        <v>1931</v>
      </c>
      <c r="U17" s="876" t="s">
        <v>1938</v>
      </c>
      <c r="V17" s="876" t="s">
        <v>2030</v>
      </c>
      <c r="W17" s="873"/>
      <c r="X17" s="824" t="s">
        <v>3491</v>
      </c>
      <c r="Z17" s="888" t="s">
        <v>1931</v>
      </c>
      <c r="AB17" s="826"/>
      <c r="AC17" s="827"/>
      <c r="AD17" s="889" t="s">
        <v>3492</v>
      </c>
      <c r="AE17" s="828">
        <v>1</v>
      </c>
      <c r="AF17" s="828">
        <v>25</v>
      </c>
      <c r="AG17" s="890" t="s">
        <v>3493</v>
      </c>
      <c r="AH17" s="891" t="s">
        <v>3494</v>
      </c>
      <c r="AI17" s="892"/>
      <c r="AJ17" s="887"/>
      <c r="AO17" s="1379"/>
      <c r="AP17" s="1379"/>
    </row>
    <row r="18" spans="1:42" s="815" customFormat="1" ht="18" customHeight="1" x14ac:dyDescent="0.2">
      <c r="A18" s="872" t="s">
        <v>3495</v>
      </c>
      <c r="B18" s="873">
        <v>5</v>
      </c>
      <c r="C18" s="873">
        <v>8</v>
      </c>
      <c r="D18" s="873">
        <v>15</v>
      </c>
      <c r="E18" s="873">
        <v>4</v>
      </c>
      <c r="F18" s="873">
        <v>8</v>
      </c>
      <c r="G18" s="873">
        <v>14</v>
      </c>
      <c r="H18" s="873">
        <v>1</v>
      </c>
      <c r="I18" s="874" t="s">
        <v>3436</v>
      </c>
      <c r="J18" s="874" t="s">
        <v>1537</v>
      </c>
      <c r="K18" s="873" t="s">
        <v>1690</v>
      </c>
      <c r="L18" s="875" t="s">
        <v>1685</v>
      </c>
      <c r="M18" s="872" t="s">
        <v>3484</v>
      </c>
      <c r="N18" s="875" t="s">
        <v>1695</v>
      </c>
      <c r="O18" s="872" t="s">
        <v>3484</v>
      </c>
      <c r="P18" s="875" t="s">
        <v>1703</v>
      </c>
      <c r="Q18" s="872" t="s">
        <v>3484</v>
      </c>
      <c r="R18" s="875" t="s">
        <v>1704</v>
      </c>
      <c r="S18" s="872" t="s">
        <v>3485</v>
      </c>
      <c r="T18" s="876" t="s">
        <v>1931</v>
      </c>
      <c r="U18" s="876" t="s">
        <v>1938</v>
      </c>
      <c r="V18" s="876" t="s">
        <v>2030</v>
      </c>
      <c r="W18" s="873"/>
      <c r="X18" s="824" t="s">
        <v>3496</v>
      </c>
      <c r="Z18" s="888" t="s">
        <v>1934</v>
      </c>
      <c r="AB18" s="826"/>
      <c r="AC18" s="827"/>
      <c r="AD18" s="889" t="s">
        <v>3497</v>
      </c>
      <c r="AE18" s="828">
        <v>1</v>
      </c>
      <c r="AF18" s="828">
        <v>25</v>
      </c>
      <c r="AG18" s="890" t="s">
        <v>3498</v>
      </c>
      <c r="AH18" s="891" t="s">
        <v>3499</v>
      </c>
      <c r="AI18" s="892"/>
      <c r="AJ18" s="887"/>
      <c r="AO18" s="1379"/>
      <c r="AP18" s="1379"/>
    </row>
    <row r="19" spans="1:42" s="815" customFormat="1" ht="18" customHeight="1" x14ac:dyDescent="0.2">
      <c r="A19" s="872" t="s">
        <v>3501</v>
      </c>
      <c r="B19" s="873">
        <v>9</v>
      </c>
      <c r="C19" s="873">
        <v>12</v>
      </c>
      <c r="D19" s="873">
        <v>20</v>
      </c>
      <c r="E19" s="873">
        <v>6</v>
      </c>
      <c r="F19" s="873">
        <v>12</v>
      </c>
      <c r="G19" s="873">
        <v>21</v>
      </c>
      <c r="H19" s="873">
        <v>1</v>
      </c>
      <c r="I19" s="874" t="s">
        <v>3436</v>
      </c>
      <c r="J19" s="874" t="s">
        <v>1537</v>
      </c>
      <c r="K19" s="873" t="s">
        <v>1690</v>
      </c>
      <c r="L19" s="875" t="s">
        <v>1685</v>
      </c>
      <c r="M19" s="872" t="s">
        <v>3484</v>
      </c>
      <c r="N19" s="875" t="s">
        <v>1695</v>
      </c>
      <c r="O19" s="872" t="s">
        <v>3484</v>
      </c>
      <c r="P19" s="875" t="s">
        <v>1703</v>
      </c>
      <c r="Q19" s="872" t="s">
        <v>3484</v>
      </c>
      <c r="R19" s="875" t="s">
        <v>1704</v>
      </c>
      <c r="S19" s="872" t="s">
        <v>3485</v>
      </c>
      <c r="T19" s="876" t="s">
        <v>1931</v>
      </c>
      <c r="U19" s="876" t="s">
        <v>1938</v>
      </c>
      <c r="V19" s="876" t="s">
        <v>2030</v>
      </c>
      <c r="W19" s="873"/>
      <c r="X19" s="824" t="s">
        <v>3502</v>
      </c>
      <c r="Z19" s="888" t="s">
        <v>1938</v>
      </c>
      <c r="AB19" s="826"/>
      <c r="AC19" s="827"/>
      <c r="AD19" s="889" t="s">
        <v>3503</v>
      </c>
      <c r="AE19" s="828">
        <v>2</v>
      </c>
      <c r="AF19" s="828">
        <v>45</v>
      </c>
      <c r="AG19" s="890" t="s">
        <v>3504</v>
      </c>
      <c r="AH19" s="891" t="s">
        <v>3505</v>
      </c>
      <c r="AI19" s="892"/>
      <c r="AJ19" s="887"/>
      <c r="AO19" s="1379"/>
      <c r="AP19" s="1379"/>
    </row>
    <row r="20" spans="1:42" s="815" customFormat="1" ht="18" customHeight="1" x14ac:dyDescent="0.2">
      <c r="A20" s="872" t="s">
        <v>3506</v>
      </c>
      <c r="B20" s="873">
        <v>12</v>
      </c>
      <c r="C20" s="873">
        <v>15</v>
      </c>
      <c r="D20" s="873">
        <v>25</v>
      </c>
      <c r="E20" s="873">
        <v>8</v>
      </c>
      <c r="F20" s="873">
        <v>16</v>
      </c>
      <c r="G20" s="873">
        <v>28</v>
      </c>
      <c r="H20" s="873">
        <v>1</v>
      </c>
      <c r="I20" s="874" t="s">
        <v>3436</v>
      </c>
      <c r="J20" s="874" t="s">
        <v>1537</v>
      </c>
      <c r="K20" s="873" t="s">
        <v>1690</v>
      </c>
      <c r="L20" s="875" t="s">
        <v>1685</v>
      </c>
      <c r="M20" s="872" t="s">
        <v>3484</v>
      </c>
      <c r="N20" s="875" t="s">
        <v>1695</v>
      </c>
      <c r="O20" s="872" t="s">
        <v>3484</v>
      </c>
      <c r="P20" s="875" t="s">
        <v>1703</v>
      </c>
      <c r="Q20" s="872" t="s">
        <v>3484</v>
      </c>
      <c r="R20" s="875" t="s">
        <v>1704</v>
      </c>
      <c r="S20" s="872" t="s">
        <v>3485</v>
      </c>
      <c r="T20" s="876" t="s">
        <v>1931</v>
      </c>
      <c r="U20" s="876" t="s">
        <v>1938</v>
      </c>
      <c r="V20" s="876" t="s">
        <v>2030</v>
      </c>
      <c r="W20" s="873"/>
      <c r="X20" s="824" t="s">
        <v>3507</v>
      </c>
      <c r="Z20" s="888" t="s">
        <v>2034</v>
      </c>
      <c r="AB20" s="826"/>
      <c r="AC20" s="827"/>
      <c r="AD20" s="889" t="s">
        <v>3508</v>
      </c>
      <c r="AE20" s="828">
        <v>2</v>
      </c>
      <c r="AF20" s="828">
        <v>45</v>
      </c>
      <c r="AG20" s="890" t="s">
        <v>3509</v>
      </c>
      <c r="AH20" s="891" t="s">
        <v>3510</v>
      </c>
      <c r="AI20" s="892"/>
      <c r="AJ20" s="887"/>
      <c r="AO20" s="1379"/>
      <c r="AP20" s="1379"/>
    </row>
    <row r="21" spans="1:42" s="815" customFormat="1" ht="18" customHeight="1" x14ac:dyDescent="0.2">
      <c r="A21" s="872" t="s">
        <v>3511</v>
      </c>
      <c r="B21" s="873">
        <v>14</v>
      </c>
      <c r="C21" s="873">
        <v>18</v>
      </c>
      <c r="D21" s="873">
        <v>30</v>
      </c>
      <c r="E21" s="873">
        <v>10</v>
      </c>
      <c r="F21" s="873">
        <v>20</v>
      </c>
      <c r="G21" s="873">
        <v>35</v>
      </c>
      <c r="H21" s="873">
        <v>1</v>
      </c>
      <c r="I21" s="874" t="s">
        <v>3436</v>
      </c>
      <c r="J21" s="874" t="s">
        <v>1537</v>
      </c>
      <c r="K21" s="873" t="s">
        <v>1690</v>
      </c>
      <c r="L21" s="875" t="s">
        <v>1685</v>
      </c>
      <c r="M21" s="872" t="s">
        <v>3484</v>
      </c>
      <c r="N21" s="875" t="s">
        <v>1695</v>
      </c>
      <c r="O21" s="872" t="s">
        <v>3484</v>
      </c>
      <c r="P21" s="875" t="s">
        <v>1703</v>
      </c>
      <c r="Q21" s="872" t="s">
        <v>3484</v>
      </c>
      <c r="R21" s="875" t="s">
        <v>1704</v>
      </c>
      <c r="S21" s="872" t="s">
        <v>3485</v>
      </c>
      <c r="T21" s="876" t="s">
        <v>1931</v>
      </c>
      <c r="U21" s="876" t="s">
        <v>1938</v>
      </c>
      <c r="V21" s="876" t="s">
        <v>2030</v>
      </c>
      <c r="W21" s="873"/>
      <c r="X21" s="824" t="s">
        <v>3512</v>
      </c>
      <c r="Z21" s="888" t="s">
        <v>2029</v>
      </c>
      <c r="AB21" s="826"/>
      <c r="AC21" s="827"/>
      <c r="AD21" s="889" t="s">
        <v>3513</v>
      </c>
      <c r="AE21" s="828">
        <v>3</v>
      </c>
      <c r="AF21" s="828">
        <v>85</v>
      </c>
      <c r="AG21" s="890" t="s">
        <v>3514</v>
      </c>
      <c r="AH21" s="891" t="s">
        <v>3515</v>
      </c>
      <c r="AI21" s="892"/>
      <c r="AJ21" s="887"/>
      <c r="AO21" s="1379"/>
      <c r="AP21" s="1379"/>
    </row>
    <row r="22" spans="1:42" s="815" customFormat="1" ht="18" customHeight="1" thickBot="1" x14ac:dyDescent="0.25">
      <c r="A22" s="872" t="s">
        <v>3516</v>
      </c>
      <c r="B22" s="873">
        <v>18</v>
      </c>
      <c r="C22" s="873">
        <v>22</v>
      </c>
      <c r="D22" s="873">
        <v>35</v>
      </c>
      <c r="E22" s="873">
        <v>12</v>
      </c>
      <c r="F22" s="873">
        <v>24</v>
      </c>
      <c r="G22" s="873">
        <v>42</v>
      </c>
      <c r="H22" s="873">
        <v>2</v>
      </c>
      <c r="I22" s="874" t="s">
        <v>3436</v>
      </c>
      <c r="J22" s="874" t="s">
        <v>1537</v>
      </c>
      <c r="K22" s="873" t="s">
        <v>1690</v>
      </c>
      <c r="L22" s="875" t="s">
        <v>1685</v>
      </c>
      <c r="M22" s="872" t="s">
        <v>3484</v>
      </c>
      <c r="N22" s="875" t="s">
        <v>1695</v>
      </c>
      <c r="O22" s="872" t="s">
        <v>3484</v>
      </c>
      <c r="P22" s="875" t="s">
        <v>1703</v>
      </c>
      <c r="Q22" s="872" t="s">
        <v>3484</v>
      </c>
      <c r="R22" s="875" t="s">
        <v>1704</v>
      </c>
      <c r="S22" s="872" t="s">
        <v>3485</v>
      </c>
      <c r="T22" s="876" t="s">
        <v>1931</v>
      </c>
      <c r="U22" s="876" t="s">
        <v>1938</v>
      </c>
      <c r="V22" s="876" t="s">
        <v>2030</v>
      </c>
      <c r="W22" s="873"/>
      <c r="X22" s="824" t="s">
        <v>3517</v>
      </c>
      <c r="Z22" s="893" t="s">
        <v>2030</v>
      </c>
      <c r="AB22" s="826"/>
      <c r="AC22" s="827"/>
      <c r="AD22" s="889" t="s">
        <v>3518</v>
      </c>
      <c r="AE22" s="828"/>
      <c r="AF22" s="828"/>
      <c r="AG22" s="890"/>
      <c r="AH22" s="891"/>
      <c r="AI22" s="892"/>
      <c r="AJ22" s="887"/>
      <c r="AO22" s="1379"/>
      <c r="AP22" s="1379"/>
    </row>
    <row r="23" spans="1:42" s="815" customFormat="1" ht="18" customHeight="1" x14ac:dyDescent="0.2">
      <c r="A23" s="872" t="s">
        <v>3519</v>
      </c>
      <c r="B23" s="873">
        <v>22</v>
      </c>
      <c r="C23" s="873">
        <v>26</v>
      </c>
      <c r="D23" s="873">
        <v>40</v>
      </c>
      <c r="E23" s="873">
        <v>14</v>
      </c>
      <c r="F23" s="873">
        <v>28</v>
      </c>
      <c r="G23" s="873">
        <v>49</v>
      </c>
      <c r="H23" s="873">
        <v>2</v>
      </c>
      <c r="I23" s="874" t="s">
        <v>3436</v>
      </c>
      <c r="J23" s="874" t="s">
        <v>1537</v>
      </c>
      <c r="K23" s="873" t="s">
        <v>1690</v>
      </c>
      <c r="L23" s="875" t="s">
        <v>1685</v>
      </c>
      <c r="M23" s="872" t="s">
        <v>3484</v>
      </c>
      <c r="N23" s="875" t="s">
        <v>1695</v>
      </c>
      <c r="O23" s="872" t="s">
        <v>3484</v>
      </c>
      <c r="P23" s="875" t="s">
        <v>1703</v>
      </c>
      <c r="Q23" s="872" t="s">
        <v>3484</v>
      </c>
      <c r="R23" s="875" t="s">
        <v>1704</v>
      </c>
      <c r="S23" s="872" t="s">
        <v>3485</v>
      </c>
      <c r="T23" s="876" t="s">
        <v>1931</v>
      </c>
      <c r="U23" s="876" t="s">
        <v>1938</v>
      </c>
      <c r="V23" s="876" t="s">
        <v>2030</v>
      </c>
      <c r="W23" s="873"/>
      <c r="X23" s="824" t="s">
        <v>3520</v>
      </c>
      <c r="AB23" s="826"/>
      <c r="AC23" s="827"/>
      <c r="AD23" s="889" t="s">
        <v>3521</v>
      </c>
      <c r="AE23" s="828">
        <v>1</v>
      </c>
      <c r="AF23" s="828">
        <v>20</v>
      </c>
      <c r="AG23" s="890" t="s">
        <v>3522</v>
      </c>
      <c r="AH23" s="895" t="s">
        <v>3523</v>
      </c>
      <c r="AI23" s="896"/>
      <c r="AJ23" s="887"/>
      <c r="AO23" s="1379"/>
      <c r="AP23" s="1379"/>
    </row>
    <row r="24" spans="1:42" s="815" customFormat="1" ht="18" customHeight="1" x14ac:dyDescent="0.2">
      <c r="A24" s="872" t="s">
        <v>3524</v>
      </c>
      <c r="B24" s="873">
        <v>26</v>
      </c>
      <c r="C24" s="873">
        <v>32</v>
      </c>
      <c r="D24" s="873">
        <v>45</v>
      </c>
      <c r="E24" s="873">
        <v>16</v>
      </c>
      <c r="F24" s="873">
        <v>32</v>
      </c>
      <c r="G24" s="873">
        <v>56</v>
      </c>
      <c r="H24" s="873">
        <v>3</v>
      </c>
      <c r="I24" s="874" t="s">
        <v>3436</v>
      </c>
      <c r="J24" s="874" t="s">
        <v>1537</v>
      </c>
      <c r="K24" s="873" t="s">
        <v>1690</v>
      </c>
      <c r="L24" s="875" t="s">
        <v>1685</v>
      </c>
      <c r="M24" s="872" t="s">
        <v>3484</v>
      </c>
      <c r="N24" s="875" t="s">
        <v>1695</v>
      </c>
      <c r="O24" s="872" t="s">
        <v>3484</v>
      </c>
      <c r="P24" s="875" t="s">
        <v>1703</v>
      </c>
      <c r="Q24" s="872" t="s">
        <v>3484</v>
      </c>
      <c r="R24" s="875" t="s">
        <v>1704</v>
      </c>
      <c r="S24" s="872" t="s">
        <v>3485</v>
      </c>
      <c r="T24" s="876" t="s">
        <v>1931</v>
      </c>
      <c r="U24" s="876" t="s">
        <v>1938</v>
      </c>
      <c r="V24" s="876" t="s">
        <v>2030</v>
      </c>
      <c r="W24" s="873"/>
      <c r="X24" s="848" t="s">
        <v>3525</v>
      </c>
      <c r="AB24" s="826"/>
      <c r="AC24" s="827"/>
      <c r="AD24" s="889" t="s">
        <v>3526</v>
      </c>
      <c r="AE24" s="828">
        <v>1</v>
      </c>
      <c r="AF24" s="828">
        <v>20</v>
      </c>
      <c r="AG24" s="890" t="s">
        <v>3527</v>
      </c>
      <c r="AH24" s="895" t="s">
        <v>3528</v>
      </c>
      <c r="AI24" s="896"/>
      <c r="AJ24" s="887"/>
      <c r="AO24" s="1379"/>
      <c r="AP24" s="1379"/>
    </row>
    <row r="25" spans="1:42" s="815" customFormat="1" ht="18" customHeight="1" x14ac:dyDescent="0.2">
      <c r="A25" s="872" t="s">
        <v>3529</v>
      </c>
      <c r="B25" s="873">
        <v>30</v>
      </c>
      <c r="C25" s="873">
        <v>36</v>
      </c>
      <c r="D25" s="873">
        <v>50</v>
      </c>
      <c r="E25" s="873">
        <v>18</v>
      </c>
      <c r="F25" s="873">
        <v>36</v>
      </c>
      <c r="G25" s="873">
        <v>63</v>
      </c>
      <c r="H25" s="873">
        <v>3</v>
      </c>
      <c r="I25" s="874" t="s">
        <v>3436</v>
      </c>
      <c r="J25" s="874" t="s">
        <v>1537</v>
      </c>
      <c r="K25" s="873" t="s">
        <v>1690</v>
      </c>
      <c r="L25" s="875" t="s">
        <v>1685</v>
      </c>
      <c r="M25" s="872" t="s">
        <v>3484</v>
      </c>
      <c r="N25" s="875" t="s">
        <v>1695</v>
      </c>
      <c r="O25" s="872" t="s">
        <v>3484</v>
      </c>
      <c r="P25" s="875" t="s">
        <v>1703</v>
      </c>
      <c r="Q25" s="872" t="s">
        <v>3484</v>
      </c>
      <c r="R25" s="875" t="s">
        <v>1704</v>
      </c>
      <c r="S25" s="872" t="s">
        <v>3485</v>
      </c>
      <c r="T25" s="876" t="s">
        <v>1931</v>
      </c>
      <c r="U25" s="876" t="s">
        <v>1938</v>
      </c>
      <c r="V25" s="876" t="s">
        <v>2030</v>
      </c>
      <c r="W25" s="873"/>
      <c r="X25" s="824" t="s">
        <v>3530</v>
      </c>
      <c r="AB25" s="826"/>
      <c r="AC25" s="827"/>
      <c r="AD25" s="889" t="s">
        <v>3531</v>
      </c>
      <c r="AE25" s="828">
        <v>2</v>
      </c>
      <c r="AF25" s="828">
        <v>40</v>
      </c>
      <c r="AG25" s="890" t="s">
        <v>3532</v>
      </c>
      <c r="AH25" s="891" t="s">
        <v>3533</v>
      </c>
      <c r="AI25" s="892" t="s">
        <v>3534</v>
      </c>
      <c r="AJ25" s="887"/>
      <c r="AO25" s="1379"/>
      <c r="AP25" s="1379"/>
    </row>
    <row r="26" spans="1:42" s="815" customFormat="1" ht="18" customHeight="1" x14ac:dyDescent="0.2">
      <c r="A26" s="824" t="s">
        <v>3440</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3535</v>
      </c>
      <c r="AB26" s="826"/>
      <c r="AC26" s="827"/>
      <c r="AD26" s="889" t="s">
        <v>3536</v>
      </c>
      <c r="AE26" s="828">
        <v>2</v>
      </c>
      <c r="AF26" s="828">
        <v>40</v>
      </c>
      <c r="AG26" s="890" t="s">
        <v>3537</v>
      </c>
      <c r="AH26" s="891" t="s">
        <v>3538</v>
      </c>
      <c r="AI26" s="892" t="s">
        <v>3534</v>
      </c>
      <c r="AJ26" s="887"/>
      <c r="AO26" s="1379"/>
      <c r="AP26" s="1379"/>
    </row>
    <row r="27" spans="1:42" s="815" customFormat="1" ht="18" customHeight="1" x14ac:dyDescent="0.2">
      <c r="A27" s="872" t="s">
        <v>3539</v>
      </c>
      <c r="B27" s="873">
        <v>4</v>
      </c>
      <c r="C27" s="873">
        <v>6</v>
      </c>
      <c r="D27" s="873">
        <v>10</v>
      </c>
      <c r="E27" s="873">
        <v>2</v>
      </c>
      <c r="F27" s="873">
        <v>4</v>
      </c>
      <c r="G27" s="873">
        <v>7</v>
      </c>
      <c r="H27" s="873">
        <v>1</v>
      </c>
      <c r="I27" s="874" t="s">
        <v>3441</v>
      </c>
      <c r="J27" s="874" t="s">
        <v>1537</v>
      </c>
      <c r="K27" s="873" t="s">
        <v>1690</v>
      </c>
      <c r="L27" s="875" t="s">
        <v>1685</v>
      </c>
      <c r="M27" s="872" t="s">
        <v>3484</v>
      </c>
      <c r="N27" s="876" t="s">
        <v>1695</v>
      </c>
      <c r="O27" s="872" t="s">
        <v>3484</v>
      </c>
      <c r="P27" s="876" t="s">
        <v>1703</v>
      </c>
      <c r="Q27" s="872" t="s">
        <v>3484</v>
      </c>
      <c r="R27" s="876" t="s">
        <v>1704</v>
      </c>
      <c r="S27" s="872" t="s">
        <v>3485</v>
      </c>
      <c r="T27" s="876" t="s">
        <v>1931</v>
      </c>
      <c r="U27" s="876" t="s">
        <v>1938</v>
      </c>
      <c r="V27" s="876" t="s">
        <v>2030</v>
      </c>
      <c r="W27" s="873"/>
      <c r="X27" s="824" t="s">
        <v>3540</v>
      </c>
      <c r="AB27" s="826"/>
      <c r="AC27" s="827"/>
      <c r="AD27" s="889" t="s">
        <v>3541</v>
      </c>
      <c r="AE27" s="828">
        <v>3</v>
      </c>
      <c r="AF27" s="828">
        <v>60</v>
      </c>
      <c r="AG27" s="890" t="s">
        <v>3542</v>
      </c>
      <c r="AH27" s="891" t="s">
        <v>3543</v>
      </c>
      <c r="AI27" s="892" t="s">
        <v>3534</v>
      </c>
      <c r="AJ27" s="887"/>
      <c r="AO27" s="1379"/>
      <c r="AP27" s="1379"/>
    </row>
    <row r="28" spans="1:42" s="815" customFormat="1" ht="18" customHeight="1" x14ac:dyDescent="0.2">
      <c r="A28" s="872" t="s">
        <v>3544</v>
      </c>
      <c r="B28" s="873">
        <v>8</v>
      </c>
      <c r="C28" s="873">
        <v>11</v>
      </c>
      <c r="D28" s="873">
        <v>15</v>
      </c>
      <c r="E28" s="873">
        <v>5</v>
      </c>
      <c r="F28" s="873">
        <v>10</v>
      </c>
      <c r="G28" s="873">
        <v>18</v>
      </c>
      <c r="H28" s="873">
        <v>1</v>
      </c>
      <c r="I28" s="874" t="s">
        <v>3441</v>
      </c>
      <c r="J28" s="874" t="s">
        <v>1537</v>
      </c>
      <c r="K28" s="873" t="s">
        <v>1690</v>
      </c>
      <c r="L28" s="875" t="s">
        <v>1685</v>
      </c>
      <c r="M28" s="872" t="s">
        <v>3484</v>
      </c>
      <c r="N28" s="876" t="s">
        <v>1695</v>
      </c>
      <c r="O28" s="872" t="s">
        <v>3484</v>
      </c>
      <c r="P28" s="876" t="s">
        <v>1703</v>
      </c>
      <c r="Q28" s="872" t="s">
        <v>3484</v>
      </c>
      <c r="R28" s="876" t="s">
        <v>1704</v>
      </c>
      <c r="S28" s="872" t="s">
        <v>3485</v>
      </c>
      <c r="T28" s="876" t="s">
        <v>1931</v>
      </c>
      <c r="U28" s="876" t="s">
        <v>1938</v>
      </c>
      <c r="V28" s="876" t="s">
        <v>2030</v>
      </c>
      <c r="W28" s="873"/>
      <c r="X28" s="824" t="s">
        <v>3545</v>
      </c>
      <c r="AB28" s="826"/>
      <c r="AC28" s="881"/>
      <c r="AD28" s="882" t="s">
        <v>3546</v>
      </c>
      <c r="AE28" s="883"/>
      <c r="AF28" s="883"/>
      <c r="AG28" s="884"/>
      <c r="AH28" s="885"/>
      <c r="AI28" s="886"/>
      <c r="AJ28" s="887"/>
      <c r="AO28" s="1379"/>
      <c r="AP28" s="1379"/>
    </row>
    <row r="29" spans="1:42" s="815" customFormat="1" ht="18" customHeight="1" x14ac:dyDescent="0.2">
      <c r="A29" s="872" t="s">
        <v>3547</v>
      </c>
      <c r="B29" s="873">
        <v>10</v>
      </c>
      <c r="C29" s="873">
        <v>13</v>
      </c>
      <c r="D29" s="873">
        <v>20</v>
      </c>
      <c r="E29" s="873">
        <v>8</v>
      </c>
      <c r="F29" s="873">
        <v>16</v>
      </c>
      <c r="G29" s="873">
        <v>28</v>
      </c>
      <c r="H29" s="873">
        <v>1</v>
      </c>
      <c r="I29" s="874" t="s">
        <v>3441</v>
      </c>
      <c r="J29" s="874" t="s">
        <v>1537</v>
      </c>
      <c r="K29" s="873" t="s">
        <v>1690</v>
      </c>
      <c r="L29" s="875" t="s">
        <v>1685</v>
      </c>
      <c r="M29" s="872" t="s">
        <v>3484</v>
      </c>
      <c r="N29" s="876" t="s">
        <v>1695</v>
      </c>
      <c r="O29" s="872" t="s">
        <v>3484</v>
      </c>
      <c r="P29" s="876" t="s">
        <v>1703</v>
      </c>
      <c r="Q29" s="872" t="s">
        <v>3484</v>
      </c>
      <c r="R29" s="876" t="s">
        <v>1704</v>
      </c>
      <c r="S29" s="872" t="s">
        <v>3485</v>
      </c>
      <c r="T29" s="876" t="s">
        <v>1931</v>
      </c>
      <c r="U29" s="876" t="s">
        <v>1938</v>
      </c>
      <c r="V29" s="876" t="s">
        <v>2030</v>
      </c>
      <c r="W29" s="873"/>
      <c r="X29" s="848" t="s">
        <v>3548</v>
      </c>
      <c r="AB29" s="826"/>
      <c r="AC29" s="827"/>
      <c r="AD29" s="889" t="s">
        <v>3549</v>
      </c>
      <c r="AE29" s="828">
        <v>1</v>
      </c>
      <c r="AF29" s="828">
        <v>20</v>
      </c>
      <c r="AG29" s="890" t="s">
        <v>3550</v>
      </c>
      <c r="AH29" s="891" t="s">
        <v>3551</v>
      </c>
      <c r="AI29" s="892"/>
      <c r="AJ29" s="887"/>
      <c r="AO29" s="1379"/>
      <c r="AP29" s="1379"/>
    </row>
    <row r="30" spans="1:42" s="815" customFormat="1" ht="18" customHeight="1" x14ac:dyDescent="0.2">
      <c r="A30" s="872" t="s">
        <v>3552</v>
      </c>
      <c r="B30" s="873">
        <v>12</v>
      </c>
      <c r="C30" s="873">
        <v>15</v>
      </c>
      <c r="D30" s="873">
        <v>30</v>
      </c>
      <c r="E30" s="873">
        <v>10</v>
      </c>
      <c r="F30" s="873">
        <v>20</v>
      </c>
      <c r="G30" s="873">
        <v>35</v>
      </c>
      <c r="H30" s="873">
        <v>2</v>
      </c>
      <c r="I30" s="874" t="s">
        <v>3441</v>
      </c>
      <c r="J30" s="874" t="s">
        <v>1537</v>
      </c>
      <c r="K30" s="873" t="s">
        <v>1690</v>
      </c>
      <c r="L30" s="875" t="s">
        <v>1685</v>
      </c>
      <c r="M30" s="872" t="s">
        <v>3484</v>
      </c>
      <c r="N30" s="876" t="s">
        <v>1695</v>
      </c>
      <c r="O30" s="872" t="s">
        <v>3484</v>
      </c>
      <c r="P30" s="876" t="s">
        <v>1703</v>
      </c>
      <c r="Q30" s="872" t="s">
        <v>3484</v>
      </c>
      <c r="R30" s="876" t="s">
        <v>1704</v>
      </c>
      <c r="S30" s="872" t="s">
        <v>3485</v>
      </c>
      <c r="T30" s="876" t="s">
        <v>1931</v>
      </c>
      <c r="U30" s="876" t="s">
        <v>1938</v>
      </c>
      <c r="V30" s="876" t="s">
        <v>2030</v>
      </c>
      <c r="W30" s="873"/>
      <c r="X30" s="824" t="s">
        <v>3553</v>
      </c>
      <c r="AB30" s="826"/>
      <c r="AC30" s="827"/>
      <c r="AD30" s="889" t="s">
        <v>3554</v>
      </c>
      <c r="AE30" s="828">
        <v>1</v>
      </c>
      <c r="AF30" s="828">
        <v>30</v>
      </c>
      <c r="AG30" s="890" t="s">
        <v>3555</v>
      </c>
      <c r="AH30" s="891" t="s">
        <v>3556</v>
      </c>
      <c r="AI30" s="892"/>
      <c r="AJ30" s="887"/>
      <c r="AO30" s="1379"/>
      <c r="AP30" s="1379"/>
    </row>
    <row r="31" spans="1:42" s="815" customFormat="1" ht="18" customHeight="1" x14ac:dyDescent="0.2">
      <c r="A31" s="872" t="s">
        <v>3557</v>
      </c>
      <c r="B31" s="873">
        <v>18</v>
      </c>
      <c r="C31" s="873">
        <v>22</v>
      </c>
      <c r="D31" s="873">
        <v>50</v>
      </c>
      <c r="E31" s="873">
        <v>14</v>
      </c>
      <c r="F31" s="873">
        <v>28</v>
      </c>
      <c r="G31" s="873">
        <v>49</v>
      </c>
      <c r="H31" s="873">
        <v>2</v>
      </c>
      <c r="I31" s="874" t="s">
        <v>3441</v>
      </c>
      <c r="J31" s="874" t="s">
        <v>1537</v>
      </c>
      <c r="K31" s="873" t="s">
        <v>1690</v>
      </c>
      <c r="L31" s="875" t="s">
        <v>1685</v>
      </c>
      <c r="M31" s="872" t="s">
        <v>3484</v>
      </c>
      <c r="N31" s="876" t="s">
        <v>1695</v>
      </c>
      <c r="O31" s="872" t="s">
        <v>3484</v>
      </c>
      <c r="P31" s="876" t="s">
        <v>1703</v>
      </c>
      <c r="Q31" s="872" t="s">
        <v>3484</v>
      </c>
      <c r="R31" s="876" t="s">
        <v>1704</v>
      </c>
      <c r="S31" s="872" t="s">
        <v>3485</v>
      </c>
      <c r="T31" s="876" t="s">
        <v>1931</v>
      </c>
      <c r="U31" s="876" t="s">
        <v>1938</v>
      </c>
      <c r="V31" s="876" t="s">
        <v>2030</v>
      </c>
      <c r="W31" s="873"/>
      <c r="X31" s="824" t="s">
        <v>3558</v>
      </c>
      <c r="AB31" s="826"/>
      <c r="AC31" s="827"/>
      <c r="AD31" s="889" t="s">
        <v>3559</v>
      </c>
      <c r="AE31" s="828">
        <v>2</v>
      </c>
      <c r="AF31" s="828">
        <v>45</v>
      </c>
      <c r="AG31" s="890" t="s">
        <v>3560</v>
      </c>
      <c r="AH31" s="897" t="s">
        <v>3561</v>
      </c>
      <c r="AI31" s="892"/>
      <c r="AJ31" s="887"/>
      <c r="AO31" s="1379"/>
      <c r="AP31" s="1379"/>
    </row>
    <row r="32" spans="1:42" s="815" customFormat="1" ht="18" customHeight="1" x14ac:dyDescent="0.2">
      <c r="A32" s="872" t="s">
        <v>3562</v>
      </c>
      <c r="B32" s="873">
        <v>24</v>
      </c>
      <c r="C32" s="873">
        <v>29</v>
      </c>
      <c r="D32" s="873">
        <v>60</v>
      </c>
      <c r="E32" s="873">
        <v>18</v>
      </c>
      <c r="F32" s="873">
        <v>36</v>
      </c>
      <c r="G32" s="873">
        <v>63</v>
      </c>
      <c r="H32" s="873">
        <v>3</v>
      </c>
      <c r="I32" s="874" t="s">
        <v>3441</v>
      </c>
      <c r="J32" s="874" t="s">
        <v>1537</v>
      </c>
      <c r="K32" s="873" t="s">
        <v>1690</v>
      </c>
      <c r="L32" s="875" t="s">
        <v>1685</v>
      </c>
      <c r="M32" s="872" t="s">
        <v>3484</v>
      </c>
      <c r="N32" s="876" t="s">
        <v>1695</v>
      </c>
      <c r="O32" s="872" t="s">
        <v>3484</v>
      </c>
      <c r="P32" s="876" t="s">
        <v>1703</v>
      </c>
      <c r="Q32" s="872" t="s">
        <v>3484</v>
      </c>
      <c r="R32" s="876" t="s">
        <v>1704</v>
      </c>
      <c r="S32" s="872" t="s">
        <v>3485</v>
      </c>
      <c r="T32" s="876" t="s">
        <v>1931</v>
      </c>
      <c r="U32" s="876" t="s">
        <v>1938</v>
      </c>
      <c r="V32" s="876" t="s">
        <v>2030</v>
      </c>
      <c r="W32" s="873"/>
      <c r="X32" s="824" t="s">
        <v>3563</v>
      </c>
      <c r="AB32" s="826"/>
      <c r="AC32" s="827"/>
      <c r="AD32" s="889" t="s">
        <v>3564</v>
      </c>
      <c r="AE32" s="828">
        <v>2</v>
      </c>
      <c r="AF32" s="828">
        <v>55</v>
      </c>
      <c r="AG32" s="890" t="s">
        <v>3565</v>
      </c>
      <c r="AH32" s="897" t="s">
        <v>3566</v>
      </c>
      <c r="AI32" s="892"/>
      <c r="AJ32" s="887"/>
      <c r="AO32" s="1379"/>
      <c r="AP32" s="1379"/>
    </row>
    <row r="33" spans="1:42" s="815" customFormat="1" ht="18" customHeight="1" x14ac:dyDescent="0.2">
      <c r="A33" s="872" t="s">
        <v>3567</v>
      </c>
      <c r="B33" s="873">
        <v>28</v>
      </c>
      <c r="C33" s="873">
        <v>32</v>
      </c>
      <c r="D33" s="873">
        <v>70</v>
      </c>
      <c r="E33" s="873">
        <v>20</v>
      </c>
      <c r="F33" s="873">
        <v>40</v>
      </c>
      <c r="G33" s="873">
        <v>70</v>
      </c>
      <c r="H33" s="873">
        <v>3</v>
      </c>
      <c r="I33" s="874" t="s">
        <v>3441</v>
      </c>
      <c r="J33" s="874" t="s">
        <v>1537</v>
      </c>
      <c r="K33" s="873" t="s">
        <v>1690</v>
      </c>
      <c r="L33" s="875" t="s">
        <v>1685</v>
      </c>
      <c r="M33" s="872" t="s">
        <v>3484</v>
      </c>
      <c r="N33" s="876" t="s">
        <v>1695</v>
      </c>
      <c r="O33" s="872" t="s">
        <v>3484</v>
      </c>
      <c r="P33" s="876" t="s">
        <v>1703</v>
      </c>
      <c r="Q33" s="872" t="s">
        <v>3484</v>
      </c>
      <c r="R33" s="876" t="s">
        <v>1704</v>
      </c>
      <c r="S33" s="872" t="s">
        <v>3485</v>
      </c>
      <c r="T33" s="876" t="s">
        <v>1931</v>
      </c>
      <c r="U33" s="876" t="s">
        <v>1938</v>
      </c>
      <c r="V33" s="876" t="s">
        <v>2030</v>
      </c>
      <c r="W33" s="873"/>
      <c r="X33" s="848" t="s">
        <v>3568</v>
      </c>
      <c r="AB33" s="826"/>
      <c r="AC33" s="827"/>
      <c r="AD33" s="889" t="s">
        <v>3569</v>
      </c>
      <c r="AE33" s="828">
        <v>3</v>
      </c>
      <c r="AF33" s="828">
        <v>80</v>
      </c>
      <c r="AG33" s="890" t="s">
        <v>3570</v>
      </c>
      <c r="AH33" s="891" t="s">
        <v>3571</v>
      </c>
      <c r="AI33" s="892" t="s">
        <v>3572</v>
      </c>
      <c r="AJ33" s="887"/>
      <c r="AO33" s="1379"/>
      <c r="AP33" s="1379"/>
    </row>
    <row r="34" spans="1:42" s="815" customFormat="1" ht="18" customHeight="1" x14ac:dyDescent="0.2">
      <c r="A34" s="824" t="s">
        <v>3445</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3573</v>
      </c>
      <c r="AB34" s="826"/>
      <c r="AC34" s="881"/>
      <c r="AD34" s="882" t="s">
        <v>8181</v>
      </c>
      <c r="AE34" s="883"/>
      <c r="AF34" s="883"/>
      <c r="AG34" s="884"/>
      <c r="AH34" s="885"/>
      <c r="AI34" s="886"/>
      <c r="AJ34" s="887"/>
      <c r="AO34" s="1379"/>
      <c r="AP34" s="1379"/>
    </row>
    <row r="35" spans="1:42" s="815" customFormat="1" ht="18" customHeight="1" x14ac:dyDescent="0.2">
      <c r="A35" s="872" t="s">
        <v>3574</v>
      </c>
      <c r="B35" s="873">
        <v>2</v>
      </c>
      <c r="C35" s="873">
        <v>4</v>
      </c>
      <c r="D35" s="873">
        <v>5</v>
      </c>
      <c r="E35" s="873">
        <v>1</v>
      </c>
      <c r="F35" s="873">
        <v>2</v>
      </c>
      <c r="G35" s="873">
        <v>4</v>
      </c>
      <c r="H35" s="873">
        <v>1</v>
      </c>
      <c r="I35" s="874" t="s">
        <v>3436</v>
      </c>
      <c r="J35" s="874" t="s">
        <v>1537</v>
      </c>
      <c r="K35" s="873" t="s">
        <v>1703</v>
      </c>
      <c r="L35" s="875" t="s">
        <v>1685</v>
      </c>
      <c r="M35" s="872" t="s">
        <v>3484</v>
      </c>
      <c r="N35" s="876" t="s">
        <v>1690</v>
      </c>
      <c r="O35" s="872" t="s">
        <v>3484</v>
      </c>
      <c r="P35" s="876" t="s">
        <v>1695</v>
      </c>
      <c r="Q35" s="872" t="s">
        <v>3485</v>
      </c>
      <c r="R35" s="876" t="s">
        <v>1704</v>
      </c>
      <c r="S35" s="872" t="s">
        <v>3575</v>
      </c>
      <c r="T35" s="876" t="s">
        <v>2029</v>
      </c>
      <c r="U35" s="876" t="s">
        <v>2030</v>
      </c>
      <c r="V35" s="876" t="s">
        <v>2034</v>
      </c>
      <c r="W35" s="873"/>
      <c r="X35" s="824" t="s">
        <v>3576</v>
      </c>
      <c r="AB35" s="826"/>
      <c r="AC35" s="827"/>
      <c r="AD35" s="889" t="s">
        <v>8182</v>
      </c>
      <c r="AE35" s="828">
        <v>1</v>
      </c>
      <c r="AF35" s="828">
        <v>35</v>
      </c>
      <c r="AG35" s="890" t="s">
        <v>8187</v>
      </c>
      <c r="AH35" s="897" t="s">
        <v>8188</v>
      </c>
      <c r="AI35" s="892"/>
      <c r="AJ35" s="887"/>
      <c r="AO35" s="1379"/>
      <c r="AP35" s="1379"/>
    </row>
    <row r="36" spans="1:42" s="815" customFormat="1" ht="18" customHeight="1" x14ac:dyDescent="0.2">
      <c r="A36" s="872" t="s">
        <v>3580</v>
      </c>
      <c r="B36" s="873">
        <v>4</v>
      </c>
      <c r="C36" s="873">
        <v>6</v>
      </c>
      <c r="D36" s="873">
        <v>5</v>
      </c>
      <c r="E36" s="873">
        <v>2</v>
      </c>
      <c r="F36" s="873">
        <v>4</v>
      </c>
      <c r="G36" s="873">
        <v>7</v>
      </c>
      <c r="H36" s="873">
        <v>1</v>
      </c>
      <c r="I36" s="874" t="s">
        <v>3436</v>
      </c>
      <c r="J36" s="874" t="s">
        <v>1537</v>
      </c>
      <c r="K36" s="873" t="s">
        <v>1703</v>
      </c>
      <c r="L36" s="875" t="s">
        <v>1685</v>
      </c>
      <c r="M36" s="872" t="s">
        <v>3484</v>
      </c>
      <c r="N36" s="876" t="s">
        <v>1690</v>
      </c>
      <c r="O36" s="872" t="s">
        <v>3484</v>
      </c>
      <c r="P36" s="876" t="s">
        <v>1695</v>
      </c>
      <c r="Q36" s="872" t="s">
        <v>3485</v>
      </c>
      <c r="R36" s="876" t="s">
        <v>1704</v>
      </c>
      <c r="S36" s="872" t="s">
        <v>3575</v>
      </c>
      <c r="T36" s="876" t="s">
        <v>2029</v>
      </c>
      <c r="U36" s="876" t="s">
        <v>2030</v>
      </c>
      <c r="V36" s="876" t="s">
        <v>2034</v>
      </c>
      <c r="W36" s="873"/>
      <c r="X36" s="824" t="s">
        <v>3581</v>
      </c>
      <c r="AB36" s="826"/>
      <c r="AC36" s="827"/>
      <c r="AD36" s="889" t="s">
        <v>8183</v>
      </c>
      <c r="AE36" s="828">
        <v>1</v>
      </c>
      <c r="AF36" s="828">
        <v>50</v>
      </c>
      <c r="AG36" s="890" t="s">
        <v>8189</v>
      </c>
      <c r="AH36" s="897" t="s">
        <v>8193</v>
      </c>
      <c r="AI36" s="892"/>
      <c r="AJ36" s="887"/>
      <c r="AO36" s="1379"/>
      <c r="AP36" s="1379"/>
    </row>
    <row r="37" spans="1:42" s="815" customFormat="1" ht="18" customHeight="1" x14ac:dyDescent="0.2">
      <c r="A37" s="872" t="s">
        <v>3585</v>
      </c>
      <c r="B37" s="873">
        <v>6</v>
      </c>
      <c r="C37" s="873">
        <v>9</v>
      </c>
      <c r="D37" s="873">
        <v>5</v>
      </c>
      <c r="E37" s="873">
        <v>3</v>
      </c>
      <c r="F37" s="873">
        <v>6</v>
      </c>
      <c r="G37" s="873">
        <v>11</v>
      </c>
      <c r="H37" s="873">
        <v>1</v>
      </c>
      <c r="I37" s="874" t="s">
        <v>3436</v>
      </c>
      <c r="J37" s="874" t="s">
        <v>1537</v>
      </c>
      <c r="K37" s="873" t="s">
        <v>1703</v>
      </c>
      <c r="L37" s="875" t="s">
        <v>1685</v>
      </c>
      <c r="M37" s="872" t="s">
        <v>3484</v>
      </c>
      <c r="N37" s="876" t="s">
        <v>1690</v>
      </c>
      <c r="O37" s="872" t="s">
        <v>3484</v>
      </c>
      <c r="P37" s="876" t="s">
        <v>1695</v>
      </c>
      <c r="Q37" s="872" t="s">
        <v>3485</v>
      </c>
      <c r="R37" s="876" t="s">
        <v>1704</v>
      </c>
      <c r="S37" s="872" t="s">
        <v>3575</v>
      </c>
      <c r="T37" s="876" t="s">
        <v>2029</v>
      </c>
      <c r="U37" s="876" t="s">
        <v>2030</v>
      </c>
      <c r="V37" s="876" t="s">
        <v>2034</v>
      </c>
      <c r="W37" s="873"/>
      <c r="X37" s="824" t="s">
        <v>3586</v>
      </c>
      <c r="AB37" s="826"/>
      <c r="AC37" s="827"/>
      <c r="AD37" s="889" t="s">
        <v>8184</v>
      </c>
      <c r="AE37" s="828">
        <v>2</v>
      </c>
      <c r="AF37" s="828">
        <v>60</v>
      </c>
      <c r="AG37" s="890" t="s">
        <v>8190</v>
      </c>
      <c r="AH37" s="897" t="s">
        <v>8194</v>
      </c>
      <c r="AI37" s="892"/>
      <c r="AJ37" s="887"/>
      <c r="AO37" s="1379"/>
      <c r="AP37" s="1379"/>
    </row>
    <row r="38" spans="1:42" s="815" customFormat="1" ht="18" customHeight="1" x14ac:dyDescent="0.2">
      <c r="A38" s="872" t="s">
        <v>3590</v>
      </c>
      <c r="B38" s="873">
        <v>8</v>
      </c>
      <c r="C38" s="873">
        <v>11</v>
      </c>
      <c r="D38" s="873">
        <v>10</v>
      </c>
      <c r="E38" s="873">
        <v>4</v>
      </c>
      <c r="F38" s="873">
        <v>8</v>
      </c>
      <c r="G38" s="873">
        <v>14</v>
      </c>
      <c r="H38" s="873">
        <v>1</v>
      </c>
      <c r="I38" s="874" t="s">
        <v>3436</v>
      </c>
      <c r="J38" s="874" t="s">
        <v>1537</v>
      </c>
      <c r="K38" s="873" t="s">
        <v>1703</v>
      </c>
      <c r="L38" s="875" t="s">
        <v>1685</v>
      </c>
      <c r="M38" s="872" t="s">
        <v>3484</v>
      </c>
      <c r="N38" s="876" t="s">
        <v>1690</v>
      </c>
      <c r="O38" s="872" t="s">
        <v>3484</v>
      </c>
      <c r="P38" s="876" t="s">
        <v>1695</v>
      </c>
      <c r="Q38" s="872" t="s">
        <v>3485</v>
      </c>
      <c r="R38" s="876" t="s">
        <v>1704</v>
      </c>
      <c r="S38" s="872" t="s">
        <v>3575</v>
      </c>
      <c r="T38" s="876" t="s">
        <v>2029</v>
      </c>
      <c r="U38" s="876" t="s">
        <v>2030</v>
      </c>
      <c r="V38" s="876" t="s">
        <v>2034</v>
      </c>
      <c r="W38" s="873"/>
      <c r="X38" s="824" t="s">
        <v>3591</v>
      </c>
      <c r="AB38" s="826"/>
      <c r="AC38" s="827"/>
      <c r="AD38" s="889" t="s">
        <v>8185</v>
      </c>
      <c r="AE38" s="828">
        <v>2</v>
      </c>
      <c r="AF38" s="828">
        <v>70</v>
      </c>
      <c r="AG38" s="890" t="s">
        <v>8191</v>
      </c>
      <c r="AH38" s="897" t="s">
        <v>8195</v>
      </c>
      <c r="AI38" s="892"/>
      <c r="AJ38" s="887"/>
      <c r="AO38" s="1379"/>
      <c r="AP38" s="1379"/>
    </row>
    <row r="39" spans="1:42" s="815" customFormat="1" ht="18" customHeight="1" x14ac:dyDescent="0.2">
      <c r="A39" s="872" t="s">
        <v>3595</v>
      </c>
      <c r="B39" s="873">
        <v>12</v>
      </c>
      <c r="C39" s="873">
        <v>15</v>
      </c>
      <c r="D39" s="873">
        <v>15</v>
      </c>
      <c r="E39" s="873">
        <v>6</v>
      </c>
      <c r="F39" s="873">
        <v>12</v>
      </c>
      <c r="G39" s="873">
        <v>21</v>
      </c>
      <c r="H39" s="873">
        <v>1</v>
      </c>
      <c r="I39" s="874" t="s">
        <v>3436</v>
      </c>
      <c r="J39" s="874" t="s">
        <v>1537</v>
      </c>
      <c r="K39" s="873" t="s">
        <v>1703</v>
      </c>
      <c r="L39" s="875" t="s">
        <v>1685</v>
      </c>
      <c r="M39" s="872" t="s">
        <v>3484</v>
      </c>
      <c r="N39" s="876" t="s">
        <v>1690</v>
      </c>
      <c r="O39" s="872" t="s">
        <v>3484</v>
      </c>
      <c r="P39" s="876" t="s">
        <v>1695</v>
      </c>
      <c r="Q39" s="872" t="s">
        <v>3485</v>
      </c>
      <c r="R39" s="876" t="s">
        <v>1704</v>
      </c>
      <c r="S39" s="872" t="s">
        <v>3575</v>
      </c>
      <c r="T39" s="876" t="s">
        <v>2029</v>
      </c>
      <c r="U39" s="876" t="s">
        <v>2030</v>
      </c>
      <c r="V39" s="876" t="s">
        <v>2034</v>
      </c>
      <c r="W39" s="873"/>
      <c r="X39" s="824" t="s">
        <v>3596</v>
      </c>
      <c r="AB39" s="826"/>
      <c r="AC39" s="827"/>
      <c r="AD39" s="889" t="s">
        <v>8186</v>
      </c>
      <c r="AE39" s="828">
        <v>3</v>
      </c>
      <c r="AF39" s="828">
        <v>90</v>
      </c>
      <c r="AG39" s="890" t="s">
        <v>8192</v>
      </c>
      <c r="AH39" s="897" t="s">
        <v>8196</v>
      </c>
      <c r="AI39" s="892"/>
      <c r="AJ39" s="887"/>
      <c r="AO39" s="1379"/>
      <c r="AP39" s="1379"/>
    </row>
    <row r="40" spans="1:42" s="815" customFormat="1" ht="18" customHeight="1" x14ac:dyDescent="0.2">
      <c r="A40" s="872" t="s">
        <v>3600</v>
      </c>
      <c r="B40" s="873">
        <v>16</v>
      </c>
      <c r="C40" s="873">
        <v>20</v>
      </c>
      <c r="D40" s="873">
        <v>25</v>
      </c>
      <c r="E40" s="873">
        <v>8</v>
      </c>
      <c r="F40" s="873">
        <v>16</v>
      </c>
      <c r="G40" s="873">
        <v>28</v>
      </c>
      <c r="H40" s="873">
        <v>2</v>
      </c>
      <c r="I40" s="874" t="s">
        <v>3436</v>
      </c>
      <c r="J40" s="874" t="s">
        <v>1537</v>
      </c>
      <c r="K40" s="873" t="s">
        <v>1703</v>
      </c>
      <c r="L40" s="875" t="s">
        <v>1685</v>
      </c>
      <c r="M40" s="872" t="s">
        <v>3484</v>
      </c>
      <c r="N40" s="876" t="s">
        <v>1690</v>
      </c>
      <c r="O40" s="872" t="s">
        <v>3484</v>
      </c>
      <c r="P40" s="876" t="s">
        <v>1695</v>
      </c>
      <c r="Q40" s="872" t="s">
        <v>3485</v>
      </c>
      <c r="R40" s="876" t="s">
        <v>1704</v>
      </c>
      <c r="S40" s="872" t="s">
        <v>3575</v>
      </c>
      <c r="T40" s="876" t="s">
        <v>2029</v>
      </c>
      <c r="U40" s="876" t="s">
        <v>2030</v>
      </c>
      <c r="V40" s="876" t="s">
        <v>2034</v>
      </c>
      <c r="W40" s="873"/>
      <c r="X40" s="848" t="s">
        <v>3601</v>
      </c>
      <c r="AB40" s="826"/>
      <c r="AC40" s="881"/>
      <c r="AD40" s="882" t="s">
        <v>8197</v>
      </c>
      <c r="AE40" s="883"/>
      <c r="AF40" s="883"/>
      <c r="AG40" s="884"/>
      <c r="AH40" s="885"/>
      <c r="AI40" s="886"/>
      <c r="AJ40" s="887"/>
      <c r="AO40" s="1379"/>
      <c r="AP40" s="1379"/>
    </row>
    <row r="41" spans="1:42" s="815" customFormat="1" ht="18" customHeight="1" x14ac:dyDescent="0.2">
      <c r="A41" s="872" t="s">
        <v>3603</v>
      </c>
      <c r="B41" s="873">
        <v>20</v>
      </c>
      <c r="C41" s="873">
        <v>24</v>
      </c>
      <c r="D41" s="873">
        <v>35</v>
      </c>
      <c r="E41" s="873">
        <v>10</v>
      </c>
      <c r="F41" s="873">
        <v>20</v>
      </c>
      <c r="G41" s="873">
        <v>35</v>
      </c>
      <c r="H41" s="873">
        <v>2</v>
      </c>
      <c r="I41" s="874" t="s">
        <v>3436</v>
      </c>
      <c r="J41" s="874" t="s">
        <v>1537</v>
      </c>
      <c r="K41" s="873" t="s">
        <v>1703</v>
      </c>
      <c r="L41" s="875" t="s">
        <v>1685</v>
      </c>
      <c r="M41" s="872" t="s">
        <v>3484</v>
      </c>
      <c r="N41" s="876" t="s">
        <v>1690</v>
      </c>
      <c r="O41" s="872" t="s">
        <v>3484</v>
      </c>
      <c r="P41" s="876" t="s">
        <v>1695</v>
      </c>
      <c r="Q41" s="872" t="s">
        <v>3485</v>
      </c>
      <c r="R41" s="876" t="s">
        <v>1704</v>
      </c>
      <c r="S41" s="872" t="s">
        <v>3575</v>
      </c>
      <c r="T41" s="876" t="s">
        <v>2029</v>
      </c>
      <c r="U41" s="876" t="s">
        <v>2030</v>
      </c>
      <c r="V41" s="876" t="s">
        <v>2034</v>
      </c>
      <c r="W41" s="873"/>
      <c r="X41" s="824" t="s">
        <v>3604</v>
      </c>
      <c r="AB41" s="826"/>
      <c r="AC41" s="827"/>
      <c r="AD41" s="889" t="s">
        <v>8199</v>
      </c>
      <c r="AE41" s="828">
        <v>1</v>
      </c>
      <c r="AF41" s="828">
        <v>30</v>
      </c>
      <c r="AG41" s="890" t="s">
        <v>8204</v>
      </c>
      <c r="AH41" s="897" t="s">
        <v>8210</v>
      </c>
      <c r="AI41" s="892" t="s">
        <v>8209</v>
      </c>
      <c r="AJ41" s="887"/>
      <c r="AO41" s="1379"/>
      <c r="AP41" s="1379"/>
    </row>
    <row r="42" spans="1:42" s="815" customFormat="1" ht="18" customHeight="1" x14ac:dyDescent="0.2">
      <c r="A42" s="872" t="s">
        <v>3608</v>
      </c>
      <c r="B42" s="873">
        <v>26</v>
      </c>
      <c r="C42" s="873">
        <v>32</v>
      </c>
      <c r="D42" s="873">
        <v>45</v>
      </c>
      <c r="E42" s="873">
        <v>12</v>
      </c>
      <c r="F42" s="873">
        <v>24</v>
      </c>
      <c r="G42" s="873">
        <v>42</v>
      </c>
      <c r="H42" s="873">
        <v>3</v>
      </c>
      <c r="I42" s="874" t="s">
        <v>3436</v>
      </c>
      <c r="J42" s="874" t="s">
        <v>1537</v>
      </c>
      <c r="K42" s="873" t="s">
        <v>1703</v>
      </c>
      <c r="L42" s="875" t="s">
        <v>1685</v>
      </c>
      <c r="M42" s="872" t="s">
        <v>3484</v>
      </c>
      <c r="N42" s="876" t="s">
        <v>1690</v>
      </c>
      <c r="O42" s="872" t="s">
        <v>3484</v>
      </c>
      <c r="P42" s="876" t="s">
        <v>1695</v>
      </c>
      <c r="Q42" s="872" t="s">
        <v>3485</v>
      </c>
      <c r="R42" s="876" t="s">
        <v>1704</v>
      </c>
      <c r="S42" s="872" t="s">
        <v>3575</v>
      </c>
      <c r="T42" s="876" t="s">
        <v>2029</v>
      </c>
      <c r="U42" s="876" t="s">
        <v>2030</v>
      </c>
      <c r="V42" s="876" t="s">
        <v>2034</v>
      </c>
      <c r="W42" s="873"/>
      <c r="X42" s="824" t="s">
        <v>3609</v>
      </c>
      <c r="AB42" s="826"/>
      <c r="AC42" s="827"/>
      <c r="AD42" s="889" t="s">
        <v>8200</v>
      </c>
      <c r="AE42" s="828">
        <v>1</v>
      </c>
      <c r="AF42" s="828">
        <v>30</v>
      </c>
      <c r="AG42" s="890" t="s">
        <v>8205</v>
      </c>
      <c r="AH42" s="897" t="s">
        <v>8211</v>
      </c>
      <c r="AI42" s="892"/>
      <c r="AJ42" s="887"/>
      <c r="AO42" s="1379"/>
      <c r="AP42" s="1379"/>
    </row>
    <row r="43" spans="1:42" s="815" customFormat="1" ht="18" customHeight="1" x14ac:dyDescent="0.2">
      <c r="A43" s="824" t="s">
        <v>3449</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3613</v>
      </c>
      <c r="AB43" s="826"/>
      <c r="AC43" s="827"/>
      <c r="AD43" s="889" t="s">
        <v>8201</v>
      </c>
      <c r="AE43" s="828">
        <v>2</v>
      </c>
      <c r="AF43" s="828">
        <v>40</v>
      </c>
      <c r="AG43" s="890" t="s">
        <v>8206</v>
      </c>
      <c r="AH43" s="897" t="s">
        <v>8212</v>
      </c>
      <c r="AI43" s="892" t="s">
        <v>8209</v>
      </c>
      <c r="AJ43" s="887"/>
      <c r="AO43" s="1379"/>
      <c r="AP43" s="1379"/>
    </row>
    <row r="44" spans="1:42" s="815" customFormat="1" ht="18" customHeight="1" x14ac:dyDescent="0.2">
      <c r="A44" s="872" t="s">
        <v>3617</v>
      </c>
      <c r="B44" s="873">
        <v>1</v>
      </c>
      <c r="C44" s="873">
        <v>2</v>
      </c>
      <c r="D44" s="873">
        <v>5</v>
      </c>
      <c r="E44" s="873">
        <v>1</v>
      </c>
      <c r="F44" s="873">
        <v>2</v>
      </c>
      <c r="G44" s="873">
        <v>4</v>
      </c>
      <c r="H44" s="873">
        <v>1</v>
      </c>
      <c r="I44" s="874" t="s">
        <v>3436</v>
      </c>
      <c r="J44" s="874" t="s">
        <v>3618</v>
      </c>
      <c r="K44" s="873" t="s">
        <v>1690</v>
      </c>
      <c r="L44" s="875" t="s">
        <v>1685</v>
      </c>
      <c r="M44" s="872" t="s">
        <v>3484</v>
      </c>
      <c r="N44" s="876" t="s">
        <v>1695</v>
      </c>
      <c r="O44" s="872" t="s">
        <v>3484</v>
      </c>
      <c r="P44" s="876" t="s">
        <v>1703</v>
      </c>
      <c r="Q44" s="872" t="s">
        <v>3484</v>
      </c>
      <c r="R44" s="876" t="s">
        <v>1704</v>
      </c>
      <c r="S44" s="872" t="s">
        <v>3485</v>
      </c>
      <c r="T44" s="876" t="s">
        <v>1934</v>
      </c>
      <c r="U44" s="876" t="s">
        <v>1931</v>
      </c>
      <c r="V44" s="876" t="s">
        <v>2034</v>
      </c>
      <c r="W44" s="873"/>
      <c r="X44" s="824" t="s">
        <v>1864</v>
      </c>
      <c r="AB44" s="826"/>
      <c r="AC44" s="827"/>
      <c r="AD44" s="889" t="s">
        <v>8202</v>
      </c>
      <c r="AE44" s="828">
        <v>2</v>
      </c>
      <c r="AF44" s="828">
        <v>40</v>
      </c>
      <c r="AG44" s="890" t="s">
        <v>8207</v>
      </c>
      <c r="AH44" s="897" t="s">
        <v>8213</v>
      </c>
      <c r="AI44" s="892" t="s">
        <v>8209</v>
      </c>
      <c r="AJ44" s="887"/>
      <c r="AO44" s="1379"/>
      <c r="AP44" s="1379"/>
    </row>
    <row r="45" spans="1:42" s="815" customFormat="1" ht="18" customHeight="1" x14ac:dyDescent="0.2">
      <c r="A45" s="872" t="s">
        <v>3622</v>
      </c>
      <c r="B45" s="873">
        <v>2</v>
      </c>
      <c r="C45" s="873">
        <v>4</v>
      </c>
      <c r="D45" s="873">
        <v>5</v>
      </c>
      <c r="E45" s="873">
        <v>2</v>
      </c>
      <c r="F45" s="873">
        <v>4</v>
      </c>
      <c r="G45" s="873">
        <v>7</v>
      </c>
      <c r="H45" s="873">
        <v>1</v>
      </c>
      <c r="I45" s="874" t="s">
        <v>3436</v>
      </c>
      <c r="J45" s="874" t="s">
        <v>3618</v>
      </c>
      <c r="K45" s="873" t="s">
        <v>1690</v>
      </c>
      <c r="L45" s="875" t="s">
        <v>1685</v>
      </c>
      <c r="M45" s="872" t="s">
        <v>3484</v>
      </c>
      <c r="N45" s="876" t="s">
        <v>1695</v>
      </c>
      <c r="O45" s="872" t="s">
        <v>3484</v>
      </c>
      <c r="P45" s="876" t="s">
        <v>1703</v>
      </c>
      <c r="Q45" s="872" t="s">
        <v>3484</v>
      </c>
      <c r="R45" s="876" t="s">
        <v>1704</v>
      </c>
      <c r="S45" s="872" t="s">
        <v>3485</v>
      </c>
      <c r="T45" s="876" t="s">
        <v>1934</v>
      </c>
      <c r="U45" s="876" t="s">
        <v>1931</v>
      </c>
      <c r="V45" s="876" t="s">
        <v>2034</v>
      </c>
      <c r="W45" s="873"/>
      <c r="X45" s="848" t="s">
        <v>3623</v>
      </c>
      <c r="AB45" s="826"/>
      <c r="AC45" s="827"/>
      <c r="AD45" s="889" t="s">
        <v>8203</v>
      </c>
      <c r="AE45" s="828">
        <v>3</v>
      </c>
      <c r="AF45" s="828">
        <v>70</v>
      </c>
      <c r="AG45" s="890" t="s">
        <v>8208</v>
      </c>
      <c r="AH45" s="897" t="s">
        <v>8214</v>
      </c>
      <c r="AI45" s="892" t="s">
        <v>8209</v>
      </c>
      <c r="AJ45" s="887"/>
      <c r="AO45" s="1379"/>
      <c r="AP45" s="1379"/>
    </row>
    <row r="46" spans="1:42" s="815" customFormat="1" ht="18" customHeight="1" x14ac:dyDescent="0.2">
      <c r="A46" s="872" t="s">
        <v>3627</v>
      </c>
      <c r="B46" s="873">
        <v>3</v>
      </c>
      <c r="C46" s="873">
        <v>5</v>
      </c>
      <c r="D46" s="873">
        <v>10</v>
      </c>
      <c r="E46" s="873">
        <v>3</v>
      </c>
      <c r="F46" s="873">
        <v>6</v>
      </c>
      <c r="G46" s="873">
        <v>11</v>
      </c>
      <c r="H46" s="873">
        <v>1</v>
      </c>
      <c r="I46" s="874" t="s">
        <v>3436</v>
      </c>
      <c r="J46" s="874" t="s">
        <v>3618</v>
      </c>
      <c r="K46" s="873" t="s">
        <v>1690</v>
      </c>
      <c r="L46" s="875" t="s">
        <v>1685</v>
      </c>
      <c r="M46" s="872" t="s">
        <v>3484</v>
      </c>
      <c r="N46" s="876" t="s">
        <v>1695</v>
      </c>
      <c r="O46" s="872" t="s">
        <v>3484</v>
      </c>
      <c r="P46" s="876" t="s">
        <v>1703</v>
      </c>
      <c r="Q46" s="872" t="s">
        <v>3484</v>
      </c>
      <c r="R46" s="876" t="s">
        <v>1704</v>
      </c>
      <c r="S46" s="872" t="s">
        <v>3485</v>
      </c>
      <c r="T46" s="876" t="s">
        <v>1934</v>
      </c>
      <c r="U46" s="876" t="s">
        <v>1931</v>
      </c>
      <c r="V46" s="876" t="s">
        <v>2034</v>
      </c>
      <c r="W46" s="873"/>
      <c r="X46" s="824" t="s">
        <v>3628</v>
      </c>
      <c r="AB46" s="826"/>
      <c r="AC46" s="881"/>
      <c r="AD46" s="882" t="s">
        <v>8198</v>
      </c>
      <c r="AE46" s="883"/>
      <c r="AF46" s="883"/>
      <c r="AG46" s="884"/>
      <c r="AH46" s="885"/>
      <c r="AI46" s="886"/>
      <c r="AJ46" s="887"/>
      <c r="AO46" s="1379"/>
      <c r="AP46" s="1379"/>
    </row>
    <row r="47" spans="1:42" s="815" customFormat="1" ht="18" customHeight="1" x14ac:dyDescent="0.2">
      <c r="A47" s="872" t="s">
        <v>3630</v>
      </c>
      <c r="B47" s="873">
        <v>4</v>
      </c>
      <c r="C47" s="873">
        <v>6</v>
      </c>
      <c r="D47" s="873">
        <v>10</v>
      </c>
      <c r="E47" s="873">
        <v>4</v>
      </c>
      <c r="F47" s="873">
        <v>8</v>
      </c>
      <c r="G47" s="873">
        <v>14</v>
      </c>
      <c r="H47" s="873">
        <v>1</v>
      </c>
      <c r="I47" s="874" t="s">
        <v>3436</v>
      </c>
      <c r="J47" s="874" t="s">
        <v>3618</v>
      </c>
      <c r="K47" s="873" t="s">
        <v>1690</v>
      </c>
      <c r="L47" s="875" t="s">
        <v>1685</v>
      </c>
      <c r="M47" s="872" t="s">
        <v>3484</v>
      </c>
      <c r="N47" s="876" t="s">
        <v>1695</v>
      </c>
      <c r="O47" s="872" t="s">
        <v>3484</v>
      </c>
      <c r="P47" s="876" t="s">
        <v>1703</v>
      </c>
      <c r="Q47" s="872" t="s">
        <v>3484</v>
      </c>
      <c r="R47" s="876" t="s">
        <v>1704</v>
      </c>
      <c r="S47" s="872" t="s">
        <v>3485</v>
      </c>
      <c r="T47" s="876" t="s">
        <v>1934</v>
      </c>
      <c r="U47" s="876" t="s">
        <v>1931</v>
      </c>
      <c r="V47" s="876" t="s">
        <v>2034</v>
      </c>
      <c r="W47" s="873"/>
      <c r="X47" s="824" t="s">
        <v>3631</v>
      </c>
      <c r="AB47" s="826"/>
      <c r="AC47" s="827"/>
      <c r="AD47" s="889" t="s">
        <v>8215</v>
      </c>
      <c r="AE47" s="828">
        <v>1</v>
      </c>
      <c r="AF47" s="828">
        <v>25</v>
      </c>
      <c r="AG47" s="890" t="s">
        <v>8217</v>
      </c>
      <c r="AH47" s="897" t="s">
        <v>8219</v>
      </c>
      <c r="AI47" s="892"/>
      <c r="AJ47" s="887"/>
      <c r="AO47" s="1379"/>
      <c r="AP47" s="1379"/>
    </row>
    <row r="48" spans="1:42" s="815" customFormat="1" ht="18" customHeight="1" x14ac:dyDescent="0.2">
      <c r="A48" s="872" t="s">
        <v>3635</v>
      </c>
      <c r="B48" s="873">
        <v>6</v>
      </c>
      <c r="C48" s="873">
        <v>9</v>
      </c>
      <c r="D48" s="873">
        <v>15</v>
      </c>
      <c r="E48" s="873">
        <v>6</v>
      </c>
      <c r="F48" s="873">
        <v>12</v>
      </c>
      <c r="G48" s="873">
        <v>21</v>
      </c>
      <c r="H48" s="873">
        <v>1</v>
      </c>
      <c r="I48" s="874" t="s">
        <v>3436</v>
      </c>
      <c r="J48" s="874" t="s">
        <v>3618</v>
      </c>
      <c r="K48" s="873" t="s">
        <v>1690</v>
      </c>
      <c r="L48" s="875" t="s">
        <v>1685</v>
      </c>
      <c r="M48" s="872" t="s">
        <v>3484</v>
      </c>
      <c r="N48" s="876" t="s">
        <v>1695</v>
      </c>
      <c r="O48" s="872" t="s">
        <v>3484</v>
      </c>
      <c r="P48" s="876" t="s">
        <v>1703</v>
      </c>
      <c r="Q48" s="872" t="s">
        <v>3484</v>
      </c>
      <c r="R48" s="876" t="s">
        <v>1704</v>
      </c>
      <c r="S48" s="872" t="s">
        <v>3485</v>
      </c>
      <c r="T48" s="876" t="s">
        <v>1934</v>
      </c>
      <c r="U48" s="876" t="s">
        <v>1931</v>
      </c>
      <c r="V48" s="876" t="s">
        <v>2034</v>
      </c>
      <c r="W48" s="873"/>
      <c r="X48" s="824" t="s">
        <v>3636</v>
      </c>
      <c r="AB48" s="826"/>
      <c r="AC48" s="827"/>
      <c r="AD48" s="889" t="s">
        <v>8216</v>
      </c>
      <c r="AE48" s="828">
        <v>1</v>
      </c>
      <c r="AF48" s="828">
        <v>20</v>
      </c>
      <c r="AG48" s="890" t="s">
        <v>8218</v>
      </c>
      <c r="AH48" s="897" t="s">
        <v>8220</v>
      </c>
      <c r="AI48" s="892"/>
      <c r="AJ48" s="887"/>
      <c r="AO48" s="1379"/>
      <c r="AP48" s="1379"/>
    </row>
    <row r="49" spans="1:42" s="815" customFormat="1" ht="18" customHeight="1" x14ac:dyDescent="0.2">
      <c r="A49" s="872" t="s">
        <v>3640</v>
      </c>
      <c r="B49" s="873">
        <v>9</v>
      </c>
      <c r="C49" s="873">
        <v>12</v>
      </c>
      <c r="D49" s="873">
        <v>20</v>
      </c>
      <c r="E49" s="873">
        <v>8</v>
      </c>
      <c r="F49" s="873">
        <v>16</v>
      </c>
      <c r="G49" s="873">
        <v>28</v>
      </c>
      <c r="H49" s="873">
        <v>1</v>
      </c>
      <c r="I49" s="874" t="s">
        <v>3436</v>
      </c>
      <c r="J49" s="874" t="s">
        <v>3618</v>
      </c>
      <c r="K49" s="873" t="s">
        <v>1690</v>
      </c>
      <c r="L49" s="875" t="s">
        <v>1685</v>
      </c>
      <c r="M49" s="872" t="s">
        <v>3484</v>
      </c>
      <c r="N49" s="876" t="s">
        <v>1695</v>
      </c>
      <c r="O49" s="872" t="s">
        <v>3484</v>
      </c>
      <c r="P49" s="876" t="s">
        <v>1703</v>
      </c>
      <c r="Q49" s="872" t="s">
        <v>3484</v>
      </c>
      <c r="R49" s="876" t="s">
        <v>1704</v>
      </c>
      <c r="S49" s="872" t="s">
        <v>3485</v>
      </c>
      <c r="T49" s="876" t="s">
        <v>1934</v>
      </c>
      <c r="U49" s="876" t="s">
        <v>1931</v>
      </c>
      <c r="V49" s="876" t="s">
        <v>2034</v>
      </c>
      <c r="W49" s="873"/>
      <c r="X49" s="824" t="s">
        <v>3641</v>
      </c>
      <c r="AB49" s="826"/>
      <c r="AC49" s="827"/>
      <c r="AD49" s="889" t="s">
        <v>8221</v>
      </c>
      <c r="AE49" s="828">
        <v>2</v>
      </c>
      <c r="AF49" s="828">
        <v>50</v>
      </c>
      <c r="AG49" s="890" t="s">
        <v>8223</v>
      </c>
      <c r="AH49" s="897" t="s">
        <v>8226</v>
      </c>
      <c r="AI49" s="892"/>
      <c r="AJ49" s="887"/>
      <c r="AO49" s="1379"/>
      <c r="AP49" s="1379"/>
    </row>
    <row r="50" spans="1:42" s="815" customFormat="1" ht="18" customHeight="1" x14ac:dyDescent="0.2">
      <c r="A50" s="872" t="s">
        <v>3645</v>
      </c>
      <c r="B50" s="873">
        <v>12</v>
      </c>
      <c r="C50" s="873">
        <v>15</v>
      </c>
      <c r="D50" s="873">
        <v>25</v>
      </c>
      <c r="E50" s="873">
        <v>10</v>
      </c>
      <c r="F50" s="873">
        <v>20</v>
      </c>
      <c r="G50" s="873">
        <v>35</v>
      </c>
      <c r="H50" s="873">
        <v>1</v>
      </c>
      <c r="I50" s="874" t="s">
        <v>3436</v>
      </c>
      <c r="J50" s="874" t="s">
        <v>3618</v>
      </c>
      <c r="K50" s="873" t="s">
        <v>1690</v>
      </c>
      <c r="L50" s="875" t="s">
        <v>1685</v>
      </c>
      <c r="M50" s="872" t="s">
        <v>3484</v>
      </c>
      <c r="N50" s="876" t="s">
        <v>1695</v>
      </c>
      <c r="O50" s="872" t="s">
        <v>3484</v>
      </c>
      <c r="P50" s="876" t="s">
        <v>1703</v>
      </c>
      <c r="Q50" s="872" t="s">
        <v>3484</v>
      </c>
      <c r="R50" s="876" t="s">
        <v>1704</v>
      </c>
      <c r="S50" s="872" t="s">
        <v>3485</v>
      </c>
      <c r="T50" s="876" t="s">
        <v>1934</v>
      </c>
      <c r="U50" s="876" t="s">
        <v>1931</v>
      </c>
      <c r="V50" s="876" t="s">
        <v>2034</v>
      </c>
      <c r="W50" s="873"/>
      <c r="X50" s="824" t="s">
        <v>3646</v>
      </c>
      <c r="AB50" s="826"/>
      <c r="AC50" s="827"/>
      <c r="AD50" s="889" t="s">
        <v>911</v>
      </c>
      <c r="AE50" s="828">
        <v>2</v>
      </c>
      <c r="AF50" s="828">
        <v>50</v>
      </c>
      <c r="AG50" s="890" t="s">
        <v>8224</v>
      </c>
      <c r="AH50" s="897" t="s">
        <v>8227</v>
      </c>
      <c r="AI50" s="892"/>
      <c r="AJ50" s="887"/>
      <c r="AO50" s="1379"/>
      <c r="AP50" s="1379"/>
    </row>
    <row r="51" spans="1:42" s="815" customFormat="1" ht="18" customHeight="1" x14ac:dyDescent="0.2">
      <c r="A51" s="872" t="s">
        <v>3650</v>
      </c>
      <c r="B51" s="873">
        <v>14</v>
      </c>
      <c r="C51" s="873">
        <v>18</v>
      </c>
      <c r="D51" s="873">
        <v>30</v>
      </c>
      <c r="E51" s="873">
        <v>12</v>
      </c>
      <c r="F51" s="873">
        <v>24</v>
      </c>
      <c r="G51" s="873">
        <v>42</v>
      </c>
      <c r="H51" s="873">
        <v>2</v>
      </c>
      <c r="I51" s="874" t="s">
        <v>3436</v>
      </c>
      <c r="J51" s="874" t="s">
        <v>3618</v>
      </c>
      <c r="K51" s="873" t="s">
        <v>1690</v>
      </c>
      <c r="L51" s="875" t="s">
        <v>1685</v>
      </c>
      <c r="M51" s="872" t="s">
        <v>3484</v>
      </c>
      <c r="N51" s="876" t="s">
        <v>1695</v>
      </c>
      <c r="O51" s="872" t="s">
        <v>3484</v>
      </c>
      <c r="P51" s="876" t="s">
        <v>1703</v>
      </c>
      <c r="Q51" s="872" t="s">
        <v>3484</v>
      </c>
      <c r="R51" s="876" t="s">
        <v>1704</v>
      </c>
      <c r="S51" s="872" t="s">
        <v>3485</v>
      </c>
      <c r="T51" s="876" t="s">
        <v>1934</v>
      </c>
      <c r="U51" s="876" t="s">
        <v>1931</v>
      </c>
      <c r="V51" s="876" t="s">
        <v>2034</v>
      </c>
      <c r="W51" s="873"/>
      <c r="X51" s="824" t="s">
        <v>3651</v>
      </c>
      <c r="AB51" s="826"/>
      <c r="AC51" s="827"/>
      <c r="AD51" s="889" t="s">
        <v>8222</v>
      </c>
      <c r="AE51" s="828">
        <v>3</v>
      </c>
      <c r="AF51" s="828">
        <v>60</v>
      </c>
      <c r="AG51" s="890" t="s">
        <v>8225</v>
      </c>
      <c r="AH51" s="897" t="s">
        <v>8228</v>
      </c>
      <c r="AI51" s="892"/>
      <c r="AJ51" s="887"/>
      <c r="AO51" s="1379"/>
      <c r="AP51" s="1379"/>
    </row>
    <row r="52" spans="1:42" s="815" customFormat="1" ht="18" customHeight="1" x14ac:dyDescent="0.2">
      <c r="A52" s="872" t="s">
        <v>3656</v>
      </c>
      <c r="B52" s="873">
        <v>18</v>
      </c>
      <c r="C52" s="873">
        <v>22</v>
      </c>
      <c r="D52" s="873">
        <v>35</v>
      </c>
      <c r="E52" s="873">
        <v>14</v>
      </c>
      <c r="F52" s="873">
        <v>28</v>
      </c>
      <c r="G52" s="873">
        <v>49</v>
      </c>
      <c r="H52" s="873">
        <v>2</v>
      </c>
      <c r="I52" s="874" t="s">
        <v>3436</v>
      </c>
      <c r="J52" s="874" t="s">
        <v>3618</v>
      </c>
      <c r="K52" s="873" t="s">
        <v>1690</v>
      </c>
      <c r="L52" s="875" t="s">
        <v>1685</v>
      </c>
      <c r="M52" s="872" t="s">
        <v>3484</v>
      </c>
      <c r="N52" s="876" t="s">
        <v>1695</v>
      </c>
      <c r="O52" s="872" t="s">
        <v>3484</v>
      </c>
      <c r="P52" s="876" t="s">
        <v>1703</v>
      </c>
      <c r="Q52" s="872" t="s">
        <v>3484</v>
      </c>
      <c r="R52" s="876" t="s">
        <v>1704</v>
      </c>
      <c r="S52" s="872" t="s">
        <v>3485</v>
      </c>
      <c r="T52" s="876" t="s">
        <v>1934</v>
      </c>
      <c r="U52" s="876" t="s">
        <v>1931</v>
      </c>
      <c r="V52" s="876" t="s">
        <v>2034</v>
      </c>
      <c r="W52" s="873"/>
      <c r="X52" s="824" t="s">
        <v>3657</v>
      </c>
      <c r="AB52" s="826"/>
      <c r="AC52" s="827"/>
      <c r="AD52" s="882" t="s">
        <v>8964</v>
      </c>
      <c r="AE52" s="883"/>
      <c r="AF52" s="883"/>
      <c r="AG52" s="884"/>
      <c r="AH52" s="885"/>
      <c r="AI52" s="886"/>
      <c r="AJ52" s="887"/>
      <c r="AO52" s="1379"/>
      <c r="AP52" s="1379"/>
    </row>
    <row r="53" spans="1:42" s="815" customFormat="1" ht="18" customHeight="1" x14ac:dyDescent="0.2">
      <c r="A53" s="872" t="s">
        <v>3662</v>
      </c>
      <c r="B53" s="873">
        <v>22</v>
      </c>
      <c r="C53" s="873">
        <v>26</v>
      </c>
      <c r="D53" s="873">
        <v>40</v>
      </c>
      <c r="E53" s="873">
        <v>16</v>
      </c>
      <c r="F53" s="873">
        <v>32</v>
      </c>
      <c r="G53" s="873">
        <v>56</v>
      </c>
      <c r="H53" s="873">
        <v>3</v>
      </c>
      <c r="I53" s="874" t="s">
        <v>3436</v>
      </c>
      <c r="J53" s="874" t="s">
        <v>3618</v>
      </c>
      <c r="K53" s="873" t="s">
        <v>1690</v>
      </c>
      <c r="L53" s="875" t="s">
        <v>1685</v>
      </c>
      <c r="M53" s="872" t="s">
        <v>3484</v>
      </c>
      <c r="N53" s="876" t="s">
        <v>1695</v>
      </c>
      <c r="O53" s="872" t="s">
        <v>3484</v>
      </c>
      <c r="P53" s="876" t="s">
        <v>1703</v>
      </c>
      <c r="Q53" s="872" t="s">
        <v>3484</v>
      </c>
      <c r="R53" s="876" t="s">
        <v>1704</v>
      </c>
      <c r="S53" s="872" t="s">
        <v>3485</v>
      </c>
      <c r="T53" s="876" t="s">
        <v>1934</v>
      </c>
      <c r="U53" s="876" t="s">
        <v>1931</v>
      </c>
      <c r="V53" s="876" t="s">
        <v>2034</v>
      </c>
      <c r="W53" s="873"/>
      <c r="X53" s="824" t="s">
        <v>3663</v>
      </c>
      <c r="AB53" s="826"/>
      <c r="AC53" s="827"/>
      <c r="AD53" s="889" t="s">
        <v>3577</v>
      </c>
      <c r="AE53" s="828">
        <v>1</v>
      </c>
      <c r="AF53" s="828">
        <v>45</v>
      </c>
      <c r="AG53" s="890" t="s">
        <v>3578</v>
      </c>
      <c r="AH53" s="891" t="s">
        <v>3579</v>
      </c>
      <c r="AI53" s="892"/>
      <c r="AJ53" s="887"/>
      <c r="AO53" s="1379"/>
      <c r="AP53" s="1379"/>
    </row>
    <row r="54" spans="1:42" s="815" customFormat="1" ht="18" customHeight="1" x14ac:dyDescent="0.2">
      <c r="A54" s="872" t="s">
        <v>3665</v>
      </c>
      <c r="B54" s="873">
        <v>26</v>
      </c>
      <c r="C54" s="873">
        <v>32</v>
      </c>
      <c r="D54" s="873">
        <v>45</v>
      </c>
      <c r="E54" s="873">
        <v>18</v>
      </c>
      <c r="F54" s="873">
        <v>36</v>
      </c>
      <c r="G54" s="873">
        <v>63</v>
      </c>
      <c r="H54" s="873">
        <v>3</v>
      </c>
      <c r="I54" s="874" t="s">
        <v>3436</v>
      </c>
      <c r="J54" s="874" t="s">
        <v>3618</v>
      </c>
      <c r="K54" s="873" t="s">
        <v>1690</v>
      </c>
      <c r="L54" s="875" t="s">
        <v>1685</v>
      </c>
      <c r="M54" s="872" t="s">
        <v>3484</v>
      </c>
      <c r="N54" s="876" t="s">
        <v>1695</v>
      </c>
      <c r="O54" s="872" t="s">
        <v>3484</v>
      </c>
      <c r="P54" s="876" t="s">
        <v>1703</v>
      </c>
      <c r="Q54" s="872" t="s">
        <v>3484</v>
      </c>
      <c r="R54" s="876" t="s">
        <v>1704</v>
      </c>
      <c r="S54" s="872" t="s">
        <v>3485</v>
      </c>
      <c r="T54" s="876" t="s">
        <v>1934</v>
      </c>
      <c r="U54" s="876" t="s">
        <v>1931</v>
      </c>
      <c r="V54" s="876" t="s">
        <v>2034</v>
      </c>
      <c r="W54" s="873"/>
      <c r="X54" s="824" t="s">
        <v>3666</v>
      </c>
      <c r="AB54" s="826"/>
      <c r="AC54" s="827"/>
      <c r="AD54" s="889" t="s">
        <v>3582</v>
      </c>
      <c r="AE54" s="828">
        <v>1</v>
      </c>
      <c r="AF54" s="828">
        <v>30</v>
      </c>
      <c r="AG54" s="890" t="s">
        <v>3583</v>
      </c>
      <c r="AH54" s="891" t="s">
        <v>3584</v>
      </c>
      <c r="AI54" s="892"/>
      <c r="AJ54" s="887"/>
      <c r="AO54" s="1379"/>
      <c r="AP54" s="1379"/>
    </row>
    <row r="55" spans="1:42" s="815" customFormat="1" ht="18" customHeight="1" x14ac:dyDescent="0.2">
      <c r="A55" s="824" t="s">
        <v>3453</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3670</v>
      </c>
      <c r="AB55" s="826"/>
      <c r="AC55" s="827"/>
      <c r="AD55" s="889" t="s">
        <v>3587</v>
      </c>
      <c r="AE55" s="828">
        <v>2</v>
      </c>
      <c r="AF55" s="828">
        <v>75</v>
      </c>
      <c r="AG55" s="890" t="s">
        <v>3588</v>
      </c>
      <c r="AH55" s="891" t="s">
        <v>3589</v>
      </c>
      <c r="AI55" s="892"/>
      <c r="AJ55" s="887"/>
      <c r="AO55" s="1379"/>
      <c r="AP55" s="1379"/>
    </row>
    <row r="56" spans="1:42" s="815" customFormat="1" ht="18" customHeight="1" x14ac:dyDescent="0.2">
      <c r="A56" s="872" t="s">
        <v>3674</v>
      </c>
      <c r="B56" s="873">
        <v>1</v>
      </c>
      <c r="C56" s="873">
        <v>2</v>
      </c>
      <c r="D56" s="873">
        <v>5</v>
      </c>
      <c r="E56" s="873">
        <v>1</v>
      </c>
      <c r="F56" s="873">
        <v>2</v>
      </c>
      <c r="G56" s="873">
        <v>4</v>
      </c>
      <c r="H56" s="873">
        <v>1</v>
      </c>
      <c r="I56" s="874" t="s">
        <v>3436</v>
      </c>
      <c r="J56" s="874" t="s">
        <v>1537</v>
      </c>
      <c r="K56" s="873" t="s">
        <v>1690</v>
      </c>
      <c r="L56" s="875" t="s">
        <v>1685</v>
      </c>
      <c r="M56" s="872" t="s">
        <v>3575</v>
      </c>
      <c r="N56" s="876" t="s">
        <v>1813</v>
      </c>
      <c r="O56" s="872" t="s">
        <v>3484</v>
      </c>
      <c r="P56" s="876" t="s">
        <v>1703</v>
      </c>
      <c r="Q56" s="872" t="s">
        <v>3484</v>
      </c>
      <c r="R56" s="876" t="s">
        <v>1704</v>
      </c>
      <c r="S56" s="872" t="s">
        <v>3484</v>
      </c>
      <c r="T56" s="876" t="s">
        <v>1931</v>
      </c>
      <c r="U56" s="873" t="s">
        <v>3361</v>
      </c>
      <c r="V56" s="873" t="s">
        <v>3361</v>
      </c>
      <c r="W56" s="873"/>
      <c r="X56" s="824" t="s">
        <v>3675</v>
      </c>
      <c r="AB56" s="826"/>
      <c r="AC56" s="827"/>
      <c r="AD56" s="889" t="s">
        <v>3592</v>
      </c>
      <c r="AE56" s="828">
        <v>2</v>
      </c>
      <c r="AF56" s="828">
        <v>55</v>
      </c>
      <c r="AG56" s="890" t="s">
        <v>3593</v>
      </c>
      <c r="AH56" s="891" t="s">
        <v>3594</v>
      </c>
      <c r="AI56" s="892"/>
      <c r="AJ56" s="887"/>
      <c r="AO56" s="1379"/>
      <c r="AP56" s="1379"/>
    </row>
    <row r="57" spans="1:42" s="815" customFormat="1" ht="18" customHeight="1" x14ac:dyDescent="0.2">
      <c r="A57" s="872" t="s">
        <v>3680</v>
      </c>
      <c r="B57" s="873">
        <v>2</v>
      </c>
      <c r="C57" s="873">
        <v>4</v>
      </c>
      <c r="D57" s="873">
        <v>5</v>
      </c>
      <c r="E57" s="873">
        <v>1</v>
      </c>
      <c r="F57" s="873">
        <v>2</v>
      </c>
      <c r="G57" s="873">
        <v>4</v>
      </c>
      <c r="H57" s="873">
        <v>1</v>
      </c>
      <c r="I57" s="874" t="s">
        <v>3436</v>
      </c>
      <c r="J57" s="874" t="s">
        <v>1537</v>
      </c>
      <c r="K57" s="873" t="s">
        <v>1690</v>
      </c>
      <c r="L57" s="875" t="s">
        <v>1685</v>
      </c>
      <c r="M57" s="872" t="s">
        <v>3575</v>
      </c>
      <c r="N57" s="876" t="s">
        <v>1813</v>
      </c>
      <c r="O57" s="872" t="s">
        <v>3484</v>
      </c>
      <c r="P57" s="876" t="s">
        <v>1703</v>
      </c>
      <c r="Q57" s="872" t="s">
        <v>3484</v>
      </c>
      <c r="R57" s="876" t="s">
        <v>1704</v>
      </c>
      <c r="S57" s="872" t="s">
        <v>3484</v>
      </c>
      <c r="T57" s="876" t="s">
        <v>1931</v>
      </c>
      <c r="U57" s="873" t="s">
        <v>3361</v>
      </c>
      <c r="V57" s="873" t="s">
        <v>3361</v>
      </c>
      <c r="W57" s="873"/>
      <c r="X57" s="824" t="s">
        <v>3681</v>
      </c>
      <c r="AB57" s="826"/>
      <c r="AC57" s="827"/>
      <c r="AD57" s="889" t="s">
        <v>3597</v>
      </c>
      <c r="AE57" s="828">
        <v>3</v>
      </c>
      <c r="AF57" s="828">
        <v>110</v>
      </c>
      <c r="AG57" s="890" t="s">
        <v>3598</v>
      </c>
      <c r="AH57" s="891" t="s">
        <v>3599</v>
      </c>
      <c r="AI57" s="892"/>
      <c r="AJ57" s="887"/>
      <c r="AO57" s="1379"/>
      <c r="AP57" s="1379"/>
    </row>
    <row r="58" spans="1:42" s="815" customFormat="1" ht="18" customHeight="1" x14ac:dyDescent="0.2">
      <c r="A58" s="872" t="s">
        <v>3686</v>
      </c>
      <c r="B58" s="873">
        <v>3</v>
      </c>
      <c r="C58" s="873">
        <v>5</v>
      </c>
      <c r="D58" s="873">
        <v>10</v>
      </c>
      <c r="E58" s="873">
        <v>2</v>
      </c>
      <c r="F58" s="873">
        <v>4</v>
      </c>
      <c r="G58" s="873">
        <v>7</v>
      </c>
      <c r="H58" s="873">
        <v>1</v>
      </c>
      <c r="I58" s="874" t="s">
        <v>3436</v>
      </c>
      <c r="J58" s="874" t="s">
        <v>1537</v>
      </c>
      <c r="K58" s="873" t="s">
        <v>1690</v>
      </c>
      <c r="L58" s="875" t="s">
        <v>1685</v>
      </c>
      <c r="M58" s="872" t="s">
        <v>3575</v>
      </c>
      <c r="N58" s="876" t="s">
        <v>1813</v>
      </c>
      <c r="O58" s="872" t="s">
        <v>3484</v>
      </c>
      <c r="P58" s="876" t="s">
        <v>1703</v>
      </c>
      <c r="Q58" s="872" t="s">
        <v>3484</v>
      </c>
      <c r="R58" s="876" t="s">
        <v>1704</v>
      </c>
      <c r="S58" s="872" t="s">
        <v>3484</v>
      </c>
      <c r="T58" s="876" t="s">
        <v>1931</v>
      </c>
      <c r="U58" s="873" t="s">
        <v>3361</v>
      </c>
      <c r="V58" s="873" t="s">
        <v>3361</v>
      </c>
      <c r="W58" s="873"/>
      <c r="X58" s="824" t="s">
        <v>3687</v>
      </c>
      <c r="AB58" s="826"/>
      <c r="AC58" s="827"/>
      <c r="AD58" s="882" t="s">
        <v>3602</v>
      </c>
      <c r="AE58" s="883"/>
      <c r="AF58" s="883"/>
      <c r="AG58" s="884"/>
      <c r="AH58" s="885"/>
      <c r="AI58" s="886"/>
      <c r="AJ58" s="887"/>
      <c r="AO58" s="1379"/>
      <c r="AP58" s="1379"/>
    </row>
    <row r="59" spans="1:42" s="815" customFormat="1" ht="18" customHeight="1" x14ac:dyDescent="0.2">
      <c r="A59" s="872" t="s">
        <v>3692</v>
      </c>
      <c r="B59" s="873">
        <v>4</v>
      </c>
      <c r="C59" s="873">
        <v>6</v>
      </c>
      <c r="D59" s="873">
        <v>10</v>
      </c>
      <c r="E59" s="873">
        <v>2</v>
      </c>
      <c r="F59" s="873">
        <v>4</v>
      </c>
      <c r="G59" s="873">
        <v>7</v>
      </c>
      <c r="H59" s="873">
        <v>2</v>
      </c>
      <c r="I59" s="874" t="s">
        <v>3436</v>
      </c>
      <c r="J59" s="874" t="s">
        <v>1537</v>
      </c>
      <c r="K59" s="873" t="s">
        <v>1690</v>
      </c>
      <c r="L59" s="875" t="s">
        <v>1685</v>
      </c>
      <c r="M59" s="872" t="s">
        <v>3575</v>
      </c>
      <c r="N59" s="876" t="s">
        <v>1813</v>
      </c>
      <c r="O59" s="872" t="s">
        <v>3484</v>
      </c>
      <c r="P59" s="876" t="s">
        <v>1703</v>
      </c>
      <c r="Q59" s="872" t="s">
        <v>3484</v>
      </c>
      <c r="R59" s="876" t="s">
        <v>1704</v>
      </c>
      <c r="S59" s="872" t="s">
        <v>3484</v>
      </c>
      <c r="T59" s="876" t="s">
        <v>1931</v>
      </c>
      <c r="U59" s="873" t="s">
        <v>3361</v>
      </c>
      <c r="V59" s="873" t="s">
        <v>3361</v>
      </c>
      <c r="W59" s="873"/>
      <c r="X59" s="824" t="s">
        <v>3693</v>
      </c>
      <c r="AB59" s="826"/>
      <c r="AC59" s="827"/>
      <c r="AD59" s="889" t="s">
        <v>3605</v>
      </c>
      <c r="AE59" s="828">
        <v>1</v>
      </c>
      <c r="AF59" s="828">
        <v>30</v>
      </c>
      <c r="AG59" s="890" t="s">
        <v>3606</v>
      </c>
      <c r="AH59" s="891" t="s">
        <v>3607</v>
      </c>
      <c r="AI59" s="892"/>
      <c r="AJ59" s="887"/>
      <c r="AO59" s="1379"/>
      <c r="AP59" s="1379"/>
    </row>
    <row r="60" spans="1:42" s="815" customFormat="1" ht="18" customHeight="1" x14ac:dyDescent="0.2">
      <c r="A60" s="872" t="s">
        <v>3695</v>
      </c>
      <c r="B60" s="873">
        <v>6</v>
      </c>
      <c r="C60" s="873">
        <v>9</v>
      </c>
      <c r="D60" s="873">
        <v>15</v>
      </c>
      <c r="E60" s="873">
        <v>3</v>
      </c>
      <c r="F60" s="873">
        <v>6</v>
      </c>
      <c r="G60" s="873">
        <v>11</v>
      </c>
      <c r="H60" s="873">
        <v>2</v>
      </c>
      <c r="I60" s="874" t="s">
        <v>3436</v>
      </c>
      <c r="J60" s="874" t="s">
        <v>1537</v>
      </c>
      <c r="K60" s="873" t="s">
        <v>1690</v>
      </c>
      <c r="L60" s="875" t="s">
        <v>1685</v>
      </c>
      <c r="M60" s="872" t="s">
        <v>3575</v>
      </c>
      <c r="N60" s="876" t="s">
        <v>1813</v>
      </c>
      <c r="O60" s="872" t="s">
        <v>3484</v>
      </c>
      <c r="P60" s="876" t="s">
        <v>1703</v>
      </c>
      <c r="Q60" s="872" t="s">
        <v>3484</v>
      </c>
      <c r="R60" s="876" t="s">
        <v>1704</v>
      </c>
      <c r="S60" s="872" t="s">
        <v>3484</v>
      </c>
      <c r="T60" s="876" t="s">
        <v>1931</v>
      </c>
      <c r="U60" s="873" t="s">
        <v>3361</v>
      </c>
      <c r="V60" s="873" t="s">
        <v>3361</v>
      </c>
      <c r="W60" s="873"/>
      <c r="X60" s="824" t="s">
        <v>3696</v>
      </c>
      <c r="AB60" s="826"/>
      <c r="AC60" s="827"/>
      <c r="AD60" s="889" t="s">
        <v>3610</v>
      </c>
      <c r="AE60" s="828">
        <v>1</v>
      </c>
      <c r="AF60" s="828">
        <v>20</v>
      </c>
      <c r="AG60" s="890" t="s">
        <v>3611</v>
      </c>
      <c r="AH60" s="891" t="s">
        <v>3612</v>
      </c>
      <c r="AI60" s="892"/>
      <c r="AJ60" s="887"/>
      <c r="AO60" s="1379"/>
      <c r="AP60" s="1379"/>
    </row>
    <row r="61" spans="1:42" s="815" customFormat="1" ht="18" customHeight="1" x14ac:dyDescent="0.2">
      <c r="A61" s="872" t="s">
        <v>3700</v>
      </c>
      <c r="B61" s="873">
        <v>8</v>
      </c>
      <c r="C61" s="873">
        <v>11</v>
      </c>
      <c r="D61" s="873">
        <v>20</v>
      </c>
      <c r="E61" s="873">
        <v>3</v>
      </c>
      <c r="F61" s="873">
        <v>6</v>
      </c>
      <c r="G61" s="873">
        <v>11</v>
      </c>
      <c r="H61" s="873">
        <v>3</v>
      </c>
      <c r="I61" s="874" t="s">
        <v>3436</v>
      </c>
      <c r="J61" s="874" t="s">
        <v>1537</v>
      </c>
      <c r="K61" s="873" t="s">
        <v>1690</v>
      </c>
      <c r="L61" s="875" t="s">
        <v>1685</v>
      </c>
      <c r="M61" s="872" t="s">
        <v>3575</v>
      </c>
      <c r="N61" s="876" t="s">
        <v>1813</v>
      </c>
      <c r="O61" s="872" t="s">
        <v>3484</v>
      </c>
      <c r="P61" s="876" t="s">
        <v>1703</v>
      </c>
      <c r="Q61" s="872" t="s">
        <v>3484</v>
      </c>
      <c r="R61" s="876" t="s">
        <v>1704</v>
      </c>
      <c r="S61" s="872" t="s">
        <v>3484</v>
      </c>
      <c r="T61" s="876" t="s">
        <v>1931</v>
      </c>
      <c r="U61" s="873" t="s">
        <v>3361</v>
      </c>
      <c r="V61" s="873" t="s">
        <v>3361</v>
      </c>
      <c r="W61" s="873"/>
      <c r="X61" s="824" t="s">
        <v>3701</v>
      </c>
      <c r="AB61" s="826"/>
      <c r="AC61" s="827"/>
      <c r="AD61" s="889" t="s">
        <v>3614</v>
      </c>
      <c r="AE61" s="828">
        <v>2</v>
      </c>
      <c r="AF61" s="828">
        <v>65</v>
      </c>
      <c r="AG61" s="890" t="s">
        <v>3615</v>
      </c>
      <c r="AH61" s="891" t="s">
        <v>3616</v>
      </c>
      <c r="AI61" s="892"/>
      <c r="AJ61" s="887"/>
      <c r="AO61" s="1379"/>
      <c r="AP61" s="1379"/>
    </row>
    <row r="62" spans="1:42" s="815" customFormat="1" ht="18" customHeight="1" x14ac:dyDescent="0.2">
      <c r="A62" s="824" t="s">
        <v>3457</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3705</v>
      </c>
      <c r="AB62" s="826"/>
      <c r="AC62" s="827"/>
      <c r="AD62" s="889" t="s">
        <v>3619</v>
      </c>
      <c r="AE62" s="828">
        <v>2</v>
      </c>
      <c r="AF62" s="828">
        <v>70</v>
      </c>
      <c r="AG62" s="890" t="s">
        <v>3620</v>
      </c>
      <c r="AH62" s="891" t="s">
        <v>3621</v>
      </c>
      <c r="AI62" s="892"/>
      <c r="AJ62" s="887"/>
      <c r="AO62" s="1379"/>
      <c r="AP62" s="1379"/>
    </row>
    <row r="63" spans="1:42" s="815" customFormat="1" ht="18" customHeight="1" x14ac:dyDescent="0.2">
      <c r="A63" s="872" t="s">
        <v>3710</v>
      </c>
      <c r="B63" s="873">
        <v>2</v>
      </c>
      <c r="C63" s="873">
        <v>4</v>
      </c>
      <c r="D63" s="873">
        <v>10</v>
      </c>
      <c r="E63" s="873">
        <v>2</v>
      </c>
      <c r="F63" s="873">
        <v>4</v>
      </c>
      <c r="G63" s="873">
        <v>7</v>
      </c>
      <c r="H63" s="873">
        <v>1</v>
      </c>
      <c r="I63" s="874" t="s">
        <v>3441</v>
      </c>
      <c r="J63" s="874" t="s">
        <v>1537</v>
      </c>
      <c r="K63" s="873" t="s">
        <v>1690</v>
      </c>
      <c r="L63" s="875" t="s">
        <v>1685</v>
      </c>
      <c r="M63" s="872" t="s">
        <v>3575</v>
      </c>
      <c r="N63" s="876" t="s">
        <v>1813</v>
      </c>
      <c r="O63" s="872" t="s">
        <v>3484</v>
      </c>
      <c r="P63" s="876" t="s">
        <v>1703</v>
      </c>
      <c r="Q63" s="872" t="s">
        <v>3484</v>
      </c>
      <c r="R63" s="876" t="s">
        <v>1704</v>
      </c>
      <c r="S63" s="872" t="s">
        <v>3484</v>
      </c>
      <c r="T63" s="876" t="s">
        <v>1931</v>
      </c>
      <c r="U63" s="873" t="s">
        <v>3361</v>
      </c>
      <c r="V63" s="873" t="s">
        <v>3361</v>
      </c>
      <c r="W63" s="873"/>
      <c r="X63" s="824" t="s">
        <v>2015</v>
      </c>
      <c r="AB63" s="826"/>
      <c r="AC63" s="827"/>
      <c r="AD63" s="889" t="s">
        <v>3624</v>
      </c>
      <c r="AE63" s="828">
        <v>3</v>
      </c>
      <c r="AF63" s="828">
        <v>115</v>
      </c>
      <c r="AG63" s="890" t="s">
        <v>3625</v>
      </c>
      <c r="AH63" s="891" t="s">
        <v>3626</v>
      </c>
      <c r="AI63" s="892" t="s">
        <v>3572</v>
      </c>
      <c r="AJ63" s="887"/>
      <c r="AO63" s="1379"/>
      <c r="AP63" s="1379"/>
    </row>
    <row r="64" spans="1:42" s="815" customFormat="1" ht="18" customHeight="1" x14ac:dyDescent="0.2">
      <c r="A64" s="872" t="s">
        <v>3715</v>
      </c>
      <c r="B64" s="873">
        <v>4</v>
      </c>
      <c r="C64" s="873">
        <v>6</v>
      </c>
      <c r="D64" s="873">
        <v>15</v>
      </c>
      <c r="E64" s="873">
        <v>3</v>
      </c>
      <c r="F64" s="873">
        <v>6</v>
      </c>
      <c r="G64" s="873">
        <v>11</v>
      </c>
      <c r="H64" s="873">
        <v>1</v>
      </c>
      <c r="I64" s="874" t="s">
        <v>3441</v>
      </c>
      <c r="J64" s="874" t="s">
        <v>1537</v>
      </c>
      <c r="K64" s="873" t="s">
        <v>1690</v>
      </c>
      <c r="L64" s="875" t="s">
        <v>1685</v>
      </c>
      <c r="M64" s="872" t="s">
        <v>3575</v>
      </c>
      <c r="N64" s="876" t="s">
        <v>1813</v>
      </c>
      <c r="O64" s="872" t="s">
        <v>3484</v>
      </c>
      <c r="P64" s="876" t="s">
        <v>1703</v>
      </c>
      <c r="Q64" s="872" t="s">
        <v>3484</v>
      </c>
      <c r="R64" s="876" t="s">
        <v>1704</v>
      </c>
      <c r="S64" s="872" t="s">
        <v>3484</v>
      </c>
      <c r="T64" s="876" t="s">
        <v>1931</v>
      </c>
      <c r="U64" s="873" t="s">
        <v>3361</v>
      </c>
      <c r="V64" s="873" t="s">
        <v>3361</v>
      </c>
      <c r="W64" s="873"/>
      <c r="X64" s="824" t="s">
        <v>3716</v>
      </c>
      <c r="AB64" s="826"/>
      <c r="AC64" s="881"/>
      <c r="AD64" s="882" t="s">
        <v>3629</v>
      </c>
      <c r="AE64" s="883"/>
      <c r="AF64" s="883"/>
      <c r="AG64" s="884"/>
      <c r="AH64" s="885"/>
      <c r="AI64" s="886"/>
      <c r="AJ64" s="887"/>
      <c r="AO64" s="1379"/>
      <c r="AP64" s="1379"/>
    </row>
    <row r="65" spans="1:42" s="815" customFormat="1" ht="18" customHeight="1" x14ac:dyDescent="0.2">
      <c r="A65" s="872" t="s">
        <v>3721</v>
      </c>
      <c r="B65" s="873">
        <v>6</v>
      </c>
      <c r="C65" s="873">
        <v>9</v>
      </c>
      <c r="D65" s="873">
        <v>20</v>
      </c>
      <c r="E65" s="873">
        <v>4</v>
      </c>
      <c r="F65" s="873">
        <v>8</v>
      </c>
      <c r="G65" s="873">
        <v>14</v>
      </c>
      <c r="H65" s="873">
        <v>2</v>
      </c>
      <c r="I65" s="874" t="s">
        <v>3441</v>
      </c>
      <c r="J65" s="874" t="s">
        <v>1537</v>
      </c>
      <c r="K65" s="873" t="s">
        <v>1690</v>
      </c>
      <c r="L65" s="875" t="s">
        <v>1685</v>
      </c>
      <c r="M65" s="872" t="s">
        <v>3575</v>
      </c>
      <c r="N65" s="876" t="s">
        <v>1813</v>
      </c>
      <c r="O65" s="872" t="s">
        <v>3484</v>
      </c>
      <c r="P65" s="876" t="s">
        <v>1703</v>
      </c>
      <c r="Q65" s="872" t="s">
        <v>3484</v>
      </c>
      <c r="R65" s="876" t="s">
        <v>1704</v>
      </c>
      <c r="S65" s="872" t="s">
        <v>3484</v>
      </c>
      <c r="T65" s="876" t="s">
        <v>1931</v>
      </c>
      <c r="U65" s="873" t="s">
        <v>3361</v>
      </c>
      <c r="V65" s="873" t="s">
        <v>3361</v>
      </c>
      <c r="W65" s="873"/>
      <c r="X65" s="824" t="s">
        <v>3722</v>
      </c>
      <c r="AB65" s="826"/>
      <c r="AC65" s="827"/>
      <c r="AD65" s="889" t="s">
        <v>3632</v>
      </c>
      <c r="AE65" s="828">
        <v>1</v>
      </c>
      <c r="AF65" s="828">
        <v>25</v>
      </c>
      <c r="AG65" s="890" t="s">
        <v>3633</v>
      </c>
      <c r="AH65" s="891" t="s">
        <v>3634</v>
      </c>
      <c r="AI65" s="892"/>
      <c r="AJ65" s="887"/>
      <c r="AO65" s="1379"/>
      <c r="AP65" s="1379"/>
    </row>
    <row r="66" spans="1:42" s="815" customFormat="1" ht="18" customHeight="1" x14ac:dyDescent="0.2">
      <c r="A66" s="824" t="s">
        <v>3460</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3724</v>
      </c>
      <c r="AB66" s="826"/>
      <c r="AC66" s="827"/>
      <c r="AD66" s="889" t="s">
        <v>3637</v>
      </c>
      <c r="AE66" s="828">
        <v>1</v>
      </c>
      <c r="AF66" s="828">
        <v>25</v>
      </c>
      <c r="AG66" s="890" t="s">
        <v>3638</v>
      </c>
      <c r="AH66" s="891" t="s">
        <v>3639</v>
      </c>
      <c r="AI66" s="892"/>
      <c r="AJ66" s="887"/>
      <c r="AO66" s="1379"/>
      <c r="AP66" s="1379"/>
    </row>
    <row r="67" spans="1:42" s="815" customFormat="1" ht="18" customHeight="1" x14ac:dyDescent="0.2">
      <c r="A67" s="872" t="s">
        <v>3729</v>
      </c>
      <c r="B67" s="873">
        <v>3</v>
      </c>
      <c r="C67" s="873">
        <v>5</v>
      </c>
      <c r="D67" s="873">
        <v>10</v>
      </c>
      <c r="E67" s="873">
        <v>2</v>
      </c>
      <c r="F67" s="873">
        <v>4</v>
      </c>
      <c r="G67" s="873">
        <v>7</v>
      </c>
      <c r="H67" s="873">
        <v>1</v>
      </c>
      <c r="I67" s="874" t="s">
        <v>3436</v>
      </c>
      <c r="J67" s="874" t="s">
        <v>1537</v>
      </c>
      <c r="K67" s="873" t="s">
        <v>1703</v>
      </c>
      <c r="L67" s="875" t="s">
        <v>1685</v>
      </c>
      <c r="M67" s="872" t="s">
        <v>3484</v>
      </c>
      <c r="N67" s="876" t="s">
        <v>1813</v>
      </c>
      <c r="O67" s="872" t="s">
        <v>3484</v>
      </c>
      <c r="P67" s="876" t="s">
        <v>1690</v>
      </c>
      <c r="Q67" s="872" t="s">
        <v>3484</v>
      </c>
      <c r="R67" s="876" t="s">
        <v>1704</v>
      </c>
      <c r="S67" s="872" t="s">
        <v>3484</v>
      </c>
      <c r="T67" s="876" t="s">
        <v>1934</v>
      </c>
      <c r="U67" s="876" t="s">
        <v>1931</v>
      </c>
      <c r="V67" s="876" t="s">
        <v>2030</v>
      </c>
      <c r="W67" s="873"/>
      <c r="X67" s="824" t="s">
        <v>3730</v>
      </c>
      <c r="AB67" s="826"/>
      <c r="AC67" s="827"/>
      <c r="AD67" s="889" t="s">
        <v>3642</v>
      </c>
      <c r="AE67" s="828">
        <v>1</v>
      </c>
      <c r="AF67" s="828">
        <v>30</v>
      </c>
      <c r="AG67" s="890" t="s">
        <v>3643</v>
      </c>
      <c r="AH67" s="891" t="s">
        <v>3644</v>
      </c>
      <c r="AI67" s="892"/>
      <c r="AJ67" s="887"/>
      <c r="AO67" s="1379"/>
      <c r="AP67" s="1379"/>
    </row>
    <row r="68" spans="1:42" s="815" customFormat="1" ht="18" customHeight="1" x14ac:dyDescent="0.2">
      <c r="A68" s="872" t="s">
        <v>3735</v>
      </c>
      <c r="B68" s="873">
        <v>6</v>
      </c>
      <c r="C68" s="873">
        <v>9</v>
      </c>
      <c r="D68" s="873">
        <v>20</v>
      </c>
      <c r="E68" s="873">
        <v>4</v>
      </c>
      <c r="F68" s="873">
        <v>8</v>
      </c>
      <c r="G68" s="873">
        <v>14</v>
      </c>
      <c r="H68" s="873">
        <v>2</v>
      </c>
      <c r="I68" s="874" t="s">
        <v>3436</v>
      </c>
      <c r="J68" s="874" t="s">
        <v>1537</v>
      </c>
      <c r="K68" s="873" t="s">
        <v>1703</v>
      </c>
      <c r="L68" s="875" t="s">
        <v>1685</v>
      </c>
      <c r="M68" s="872" t="s">
        <v>3484</v>
      </c>
      <c r="N68" s="876" t="s">
        <v>1813</v>
      </c>
      <c r="O68" s="872" t="s">
        <v>3484</v>
      </c>
      <c r="P68" s="876" t="s">
        <v>1690</v>
      </c>
      <c r="Q68" s="872" t="s">
        <v>3484</v>
      </c>
      <c r="R68" s="876" t="s">
        <v>1704</v>
      </c>
      <c r="S68" s="872" t="s">
        <v>3484</v>
      </c>
      <c r="T68" s="876" t="s">
        <v>1934</v>
      </c>
      <c r="U68" s="876" t="s">
        <v>1931</v>
      </c>
      <c r="V68" s="876" t="s">
        <v>2030</v>
      </c>
      <c r="W68" s="873"/>
      <c r="X68" s="824" t="s">
        <v>3736</v>
      </c>
      <c r="AB68" s="826"/>
      <c r="AC68" s="827"/>
      <c r="AD68" s="889" t="s">
        <v>3647</v>
      </c>
      <c r="AE68" s="828">
        <v>2</v>
      </c>
      <c r="AF68" s="828">
        <v>60</v>
      </c>
      <c r="AG68" s="890" t="s">
        <v>3648</v>
      </c>
      <c r="AH68" s="891" t="s">
        <v>3649</v>
      </c>
      <c r="AI68" s="892"/>
      <c r="AJ68" s="887"/>
      <c r="AO68" s="1379"/>
      <c r="AP68" s="1379"/>
    </row>
    <row r="69" spans="1:42" s="815" customFormat="1" ht="18" customHeight="1" x14ac:dyDescent="0.2">
      <c r="A69" s="872" t="s">
        <v>3742</v>
      </c>
      <c r="B69" s="873">
        <v>9</v>
      </c>
      <c r="C69" s="873">
        <v>12</v>
      </c>
      <c r="D69" s="873">
        <v>30</v>
      </c>
      <c r="E69" s="873">
        <v>6</v>
      </c>
      <c r="F69" s="873">
        <v>12</v>
      </c>
      <c r="G69" s="873">
        <v>21</v>
      </c>
      <c r="H69" s="873">
        <v>3</v>
      </c>
      <c r="I69" s="874" t="s">
        <v>3436</v>
      </c>
      <c r="J69" s="874" t="s">
        <v>1537</v>
      </c>
      <c r="K69" s="873" t="s">
        <v>1703</v>
      </c>
      <c r="L69" s="875" t="s">
        <v>1685</v>
      </c>
      <c r="M69" s="872" t="s">
        <v>3484</v>
      </c>
      <c r="N69" s="876" t="s">
        <v>1813</v>
      </c>
      <c r="O69" s="872" t="s">
        <v>3484</v>
      </c>
      <c r="P69" s="876" t="s">
        <v>1690</v>
      </c>
      <c r="Q69" s="872" t="s">
        <v>3484</v>
      </c>
      <c r="R69" s="876" t="s">
        <v>1704</v>
      </c>
      <c r="S69" s="872" t="s">
        <v>3484</v>
      </c>
      <c r="T69" s="876" t="s">
        <v>1934</v>
      </c>
      <c r="U69" s="876" t="s">
        <v>1931</v>
      </c>
      <c r="V69" s="876" t="s">
        <v>2030</v>
      </c>
      <c r="W69" s="873"/>
      <c r="X69" s="824" t="s">
        <v>3743</v>
      </c>
      <c r="AB69" s="826"/>
      <c r="AC69" s="827"/>
      <c r="AD69" s="889" t="s">
        <v>3652</v>
      </c>
      <c r="AE69" s="828">
        <v>2</v>
      </c>
      <c r="AF69" s="828">
        <v>45</v>
      </c>
      <c r="AG69" s="890" t="s">
        <v>3653</v>
      </c>
      <c r="AH69" s="891" t="s">
        <v>3654</v>
      </c>
      <c r="AI69" s="892" t="s">
        <v>3655</v>
      </c>
      <c r="AJ69" s="887"/>
      <c r="AO69" s="1379"/>
      <c r="AP69" s="1379"/>
    </row>
    <row r="70" spans="1:42" s="815" customFormat="1" ht="18" customHeight="1" x14ac:dyDescent="0.2">
      <c r="A70" s="824" t="s">
        <v>3462</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3748</v>
      </c>
      <c r="AB70" s="826"/>
      <c r="AC70" s="827"/>
      <c r="AD70" s="889" t="s">
        <v>3658</v>
      </c>
      <c r="AE70" s="828">
        <v>2</v>
      </c>
      <c r="AF70" s="828">
        <v>80</v>
      </c>
      <c r="AG70" s="890" t="s">
        <v>3659</v>
      </c>
      <c r="AH70" s="891" t="s">
        <v>3660</v>
      </c>
      <c r="AI70" s="892" t="s">
        <v>3661</v>
      </c>
      <c r="AJ70" s="887"/>
      <c r="AO70" s="1379"/>
      <c r="AP70" s="1379"/>
    </row>
    <row r="71" spans="1:42" s="815" customFormat="1" ht="18" customHeight="1" x14ac:dyDescent="0.2">
      <c r="A71" s="872" t="s">
        <v>3753</v>
      </c>
      <c r="B71" s="873">
        <v>1</v>
      </c>
      <c r="C71" s="873">
        <v>2</v>
      </c>
      <c r="D71" s="873">
        <v>5</v>
      </c>
      <c r="E71" s="873">
        <v>1</v>
      </c>
      <c r="F71" s="873">
        <v>2</v>
      </c>
      <c r="G71" s="873">
        <v>4</v>
      </c>
      <c r="H71" s="873">
        <v>1</v>
      </c>
      <c r="I71" s="874" t="s">
        <v>3436</v>
      </c>
      <c r="J71" s="874" t="s">
        <v>1537</v>
      </c>
      <c r="K71" s="873" t="s">
        <v>1703</v>
      </c>
      <c r="L71" s="875" t="s">
        <v>1685</v>
      </c>
      <c r="M71" s="872" t="s">
        <v>3484</v>
      </c>
      <c r="N71" s="876" t="s">
        <v>1813</v>
      </c>
      <c r="O71" s="872" t="s">
        <v>3485</v>
      </c>
      <c r="P71" s="876" t="s">
        <v>1690</v>
      </c>
      <c r="Q71" s="872" t="s">
        <v>3575</v>
      </c>
      <c r="R71" s="876" t="s">
        <v>1704</v>
      </c>
      <c r="S71" s="872" t="s">
        <v>3484</v>
      </c>
      <c r="T71" s="876" t="s">
        <v>1934</v>
      </c>
      <c r="U71" s="876" t="s">
        <v>1931</v>
      </c>
      <c r="V71" s="876" t="s">
        <v>2030</v>
      </c>
      <c r="W71" s="873"/>
      <c r="X71" s="824" t="s">
        <v>3754</v>
      </c>
      <c r="AB71" s="826"/>
      <c r="AC71" s="881"/>
      <c r="AD71" s="882" t="s">
        <v>3664</v>
      </c>
      <c r="AE71" s="883"/>
      <c r="AF71" s="883"/>
      <c r="AG71" s="884"/>
      <c r="AH71" s="885"/>
      <c r="AI71" s="886"/>
      <c r="AJ71" s="887"/>
      <c r="AO71" s="1379"/>
      <c r="AP71" s="1379"/>
    </row>
    <row r="72" spans="1:42" s="815" customFormat="1" ht="18" customHeight="1" x14ac:dyDescent="0.2">
      <c r="A72" s="872" t="s">
        <v>3759</v>
      </c>
      <c r="B72" s="873">
        <v>2</v>
      </c>
      <c r="C72" s="873">
        <v>4</v>
      </c>
      <c r="D72" s="873">
        <v>5</v>
      </c>
      <c r="E72" s="873">
        <v>1</v>
      </c>
      <c r="F72" s="873">
        <v>2</v>
      </c>
      <c r="G72" s="873">
        <v>4</v>
      </c>
      <c r="H72" s="873">
        <v>1</v>
      </c>
      <c r="I72" s="874" t="s">
        <v>3436</v>
      </c>
      <c r="J72" s="874" t="s">
        <v>1537</v>
      </c>
      <c r="K72" s="873" t="s">
        <v>1703</v>
      </c>
      <c r="L72" s="875" t="s">
        <v>1685</v>
      </c>
      <c r="M72" s="872" t="s">
        <v>3484</v>
      </c>
      <c r="N72" s="876" t="s">
        <v>1813</v>
      </c>
      <c r="O72" s="872" t="s">
        <v>3485</v>
      </c>
      <c r="P72" s="876" t="s">
        <v>1690</v>
      </c>
      <c r="Q72" s="872" t="s">
        <v>3575</v>
      </c>
      <c r="R72" s="876" t="s">
        <v>1704</v>
      </c>
      <c r="S72" s="872" t="s">
        <v>3484</v>
      </c>
      <c r="T72" s="876" t="s">
        <v>1934</v>
      </c>
      <c r="U72" s="876" t="s">
        <v>1931</v>
      </c>
      <c r="V72" s="876" t="s">
        <v>2030</v>
      </c>
      <c r="W72" s="873"/>
      <c r="X72" s="824" t="s">
        <v>3760</v>
      </c>
      <c r="AB72" s="826"/>
      <c r="AC72" s="827"/>
      <c r="AD72" s="889" t="s">
        <v>3667</v>
      </c>
      <c r="AE72" s="828">
        <v>1</v>
      </c>
      <c r="AF72" s="828">
        <v>20</v>
      </c>
      <c r="AG72" s="890" t="s">
        <v>3668</v>
      </c>
      <c r="AH72" s="891" t="s">
        <v>3669</v>
      </c>
      <c r="AI72" s="892"/>
      <c r="AJ72" s="887"/>
      <c r="AO72" s="1379"/>
      <c r="AP72" s="1379"/>
    </row>
    <row r="73" spans="1:42" s="815" customFormat="1" ht="18" customHeight="1" x14ac:dyDescent="0.2">
      <c r="A73" s="872" t="s">
        <v>3762</v>
      </c>
      <c r="B73" s="873">
        <v>3</v>
      </c>
      <c r="C73" s="873">
        <v>5</v>
      </c>
      <c r="D73" s="873">
        <v>5</v>
      </c>
      <c r="E73" s="873">
        <v>1</v>
      </c>
      <c r="F73" s="873">
        <v>2</v>
      </c>
      <c r="G73" s="873">
        <v>4</v>
      </c>
      <c r="H73" s="873">
        <v>1</v>
      </c>
      <c r="I73" s="874" t="s">
        <v>3436</v>
      </c>
      <c r="J73" s="874" t="s">
        <v>1537</v>
      </c>
      <c r="K73" s="873" t="s">
        <v>1703</v>
      </c>
      <c r="L73" s="875" t="s">
        <v>1685</v>
      </c>
      <c r="M73" s="872" t="s">
        <v>3484</v>
      </c>
      <c r="N73" s="876" t="s">
        <v>1813</v>
      </c>
      <c r="O73" s="872" t="s">
        <v>3485</v>
      </c>
      <c r="P73" s="876" t="s">
        <v>1690</v>
      </c>
      <c r="Q73" s="872" t="s">
        <v>3575</v>
      </c>
      <c r="R73" s="876" t="s">
        <v>1704</v>
      </c>
      <c r="S73" s="872" t="s">
        <v>3484</v>
      </c>
      <c r="T73" s="876" t="s">
        <v>1934</v>
      </c>
      <c r="U73" s="876" t="s">
        <v>1931</v>
      </c>
      <c r="V73" s="876" t="s">
        <v>2030</v>
      </c>
      <c r="W73" s="873"/>
      <c r="X73" s="824" t="s">
        <v>3763</v>
      </c>
      <c r="AB73" s="826"/>
      <c r="AC73" s="827"/>
      <c r="AD73" s="889" t="s">
        <v>3671</v>
      </c>
      <c r="AE73" s="828">
        <v>1</v>
      </c>
      <c r="AF73" s="828">
        <v>30</v>
      </c>
      <c r="AG73" s="890" t="s">
        <v>3672</v>
      </c>
      <c r="AH73" s="891" t="s">
        <v>3673</v>
      </c>
      <c r="AI73" s="892"/>
      <c r="AJ73" s="887"/>
      <c r="AO73" s="1379"/>
      <c r="AP73" s="1379"/>
    </row>
    <row r="74" spans="1:42" s="815" customFormat="1" ht="18" customHeight="1" x14ac:dyDescent="0.2">
      <c r="A74" s="872" t="s">
        <v>3767</v>
      </c>
      <c r="B74" s="873">
        <v>5</v>
      </c>
      <c r="C74" s="873">
        <v>8</v>
      </c>
      <c r="D74" s="873">
        <v>10</v>
      </c>
      <c r="E74" s="873">
        <v>2</v>
      </c>
      <c r="F74" s="873">
        <v>4</v>
      </c>
      <c r="G74" s="873">
        <v>7</v>
      </c>
      <c r="H74" s="873">
        <v>1</v>
      </c>
      <c r="I74" s="874" t="s">
        <v>3436</v>
      </c>
      <c r="J74" s="874" t="s">
        <v>1537</v>
      </c>
      <c r="K74" s="873" t="s">
        <v>1703</v>
      </c>
      <c r="L74" s="875" t="s">
        <v>1685</v>
      </c>
      <c r="M74" s="872" t="s">
        <v>3484</v>
      </c>
      <c r="N74" s="876" t="s">
        <v>1813</v>
      </c>
      <c r="O74" s="872" t="s">
        <v>3485</v>
      </c>
      <c r="P74" s="876" t="s">
        <v>1690</v>
      </c>
      <c r="Q74" s="872" t="s">
        <v>3575</v>
      </c>
      <c r="R74" s="876" t="s">
        <v>1704</v>
      </c>
      <c r="S74" s="872" t="s">
        <v>3484</v>
      </c>
      <c r="T74" s="876" t="s">
        <v>1934</v>
      </c>
      <c r="U74" s="876" t="s">
        <v>1931</v>
      </c>
      <c r="V74" s="876" t="s">
        <v>2030</v>
      </c>
      <c r="W74" s="873"/>
      <c r="AB74" s="826"/>
      <c r="AC74" s="827"/>
      <c r="AD74" s="889" t="s">
        <v>3676</v>
      </c>
      <c r="AE74" s="828">
        <v>2</v>
      </c>
      <c r="AF74" s="828">
        <v>40</v>
      </c>
      <c r="AG74" s="890" t="s">
        <v>3677</v>
      </c>
      <c r="AH74" s="891" t="s">
        <v>3678</v>
      </c>
      <c r="AI74" s="892" t="s">
        <v>3679</v>
      </c>
      <c r="AJ74" s="887"/>
      <c r="AO74" s="1379"/>
      <c r="AP74" s="1379"/>
    </row>
    <row r="75" spans="1:42" s="815" customFormat="1" ht="18" customHeight="1" x14ac:dyDescent="0.2">
      <c r="A75" s="872" t="s">
        <v>3771</v>
      </c>
      <c r="B75" s="873">
        <v>6</v>
      </c>
      <c r="C75" s="873">
        <v>9</v>
      </c>
      <c r="D75" s="873">
        <v>10</v>
      </c>
      <c r="E75" s="873">
        <v>3</v>
      </c>
      <c r="F75" s="873">
        <v>6</v>
      </c>
      <c r="G75" s="873">
        <v>11</v>
      </c>
      <c r="H75" s="873">
        <v>1</v>
      </c>
      <c r="I75" s="874" t="s">
        <v>3436</v>
      </c>
      <c r="J75" s="874" t="s">
        <v>1537</v>
      </c>
      <c r="K75" s="873" t="s">
        <v>1703</v>
      </c>
      <c r="L75" s="875" t="s">
        <v>1685</v>
      </c>
      <c r="M75" s="872" t="s">
        <v>3484</v>
      </c>
      <c r="N75" s="876" t="s">
        <v>1813</v>
      </c>
      <c r="O75" s="872" t="s">
        <v>3485</v>
      </c>
      <c r="P75" s="876" t="s">
        <v>1690</v>
      </c>
      <c r="Q75" s="872" t="s">
        <v>3575</v>
      </c>
      <c r="R75" s="876" t="s">
        <v>1704</v>
      </c>
      <c r="S75" s="872" t="s">
        <v>3484</v>
      </c>
      <c r="T75" s="876" t="s">
        <v>1934</v>
      </c>
      <c r="U75" s="876" t="s">
        <v>1931</v>
      </c>
      <c r="V75" s="876" t="s">
        <v>2030</v>
      </c>
      <c r="W75" s="873"/>
      <c r="AB75" s="826"/>
      <c r="AC75" s="827"/>
      <c r="AD75" s="889" t="s">
        <v>3682</v>
      </c>
      <c r="AE75" s="828">
        <v>2</v>
      </c>
      <c r="AF75" s="828">
        <v>55</v>
      </c>
      <c r="AG75" s="890" t="s">
        <v>3683</v>
      </c>
      <c r="AH75" s="891" t="s">
        <v>3684</v>
      </c>
      <c r="AI75" s="892" t="s">
        <v>3685</v>
      </c>
      <c r="AJ75" s="887"/>
      <c r="AO75" s="1379"/>
      <c r="AP75" s="1379"/>
    </row>
    <row r="76" spans="1:42" s="815" customFormat="1" ht="18" customHeight="1" x14ac:dyDescent="0.2">
      <c r="A76" s="872" t="s">
        <v>3775</v>
      </c>
      <c r="B76" s="873">
        <v>7</v>
      </c>
      <c r="C76" s="873">
        <v>10</v>
      </c>
      <c r="D76" s="873">
        <v>15</v>
      </c>
      <c r="E76" s="873">
        <v>4</v>
      </c>
      <c r="F76" s="873">
        <v>8</v>
      </c>
      <c r="G76" s="873">
        <v>14</v>
      </c>
      <c r="H76" s="873">
        <v>2</v>
      </c>
      <c r="I76" s="874" t="s">
        <v>3436</v>
      </c>
      <c r="J76" s="874" t="s">
        <v>1537</v>
      </c>
      <c r="K76" s="873" t="s">
        <v>1703</v>
      </c>
      <c r="L76" s="875" t="s">
        <v>1685</v>
      </c>
      <c r="M76" s="872" t="s">
        <v>3484</v>
      </c>
      <c r="N76" s="876" t="s">
        <v>1813</v>
      </c>
      <c r="O76" s="872" t="s">
        <v>3485</v>
      </c>
      <c r="P76" s="876" t="s">
        <v>1690</v>
      </c>
      <c r="Q76" s="872" t="s">
        <v>3575</v>
      </c>
      <c r="R76" s="876" t="s">
        <v>1704</v>
      </c>
      <c r="S76" s="872" t="s">
        <v>3484</v>
      </c>
      <c r="T76" s="876" t="s">
        <v>1934</v>
      </c>
      <c r="U76" s="876" t="s">
        <v>1931</v>
      </c>
      <c r="V76" s="876" t="s">
        <v>2030</v>
      </c>
      <c r="W76" s="873"/>
      <c r="AB76" s="826"/>
      <c r="AC76" s="827"/>
      <c r="AD76" s="889" t="s">
        <v>3688</v>
      </c>
      <c r="AE76" s="828">
        <v>3</v>
      </c>
      <c r="AF76" s="828">
        <v>90</v>
      </c>
      <c r="AG76" s="890" t="s">
        <v>3689</v>
      </c>
      <c r="AH76" s="891" t="s">
        <v>3690</v>
      </c>
      <c r="AI76" s="892" t="s">
        <v>3691</v>
      </c>
      <c r="AJ76" s="887"/>
      <c r="AO76" s="1379"/>
      <c r="AP76" s="1379"/>
    </row>
    <row r="77" spans="1:42" s="815" customFormat="1" ht="18" customHeight="1" x14ac:dyDescent="0.2">
      <c r="A77" s="872" t="s">
        <v>3779</v>
      </c>
      <c r="B77" s="873">
        <v>8</v>
      </c>
      <c r="C77" s="873">
        <v>11</v>
      </c>
      <c r="D77" s="873">
        <v>20</v>
      </c>
      <c r="E77" s="873">
        <v>5</v>
      </c>
      <c r="F77" s="873">
        <v>10</v>
      </c>
      <c r="G77" s="873">
        <v>18</v>
      </c>
      <c r="H77" s="873">
        <v>2</v>
      </c>
      <c r="I77" s="874" t="s">
        <v>3436</v>
      </c>
      <c r="J77" s="874" t="s">
        <v>1537</v>
      </c>
      <c r="K77" s="873" t="s">
        <v>1703</v>
      </c>
      <c r="L77" s="875" t="s">
        <v>1685</v>
      </c>
      <c r="M77" s="872" t="s">
        <v>3484</v>
      </c>
      <c r="N77" s="876" t="s">
        <v>1813</v>
      </c>
      <c r="O77" s="872" t="s">
        <v>3485</v>
      </c>
      <c r="P77" s="876" t="s">
        <v>1690</v>
      </c>
      <c r="Q77" s="872" t="s">
        <v>3575</v>
      </c>
      <c r="R77" s="876" t="s">
        <v>1704</v>
      </c>
      <c r="S77" s="872" t="s">
        <v>3484</v>
      </c>
      <c r="T77" s="876" t="s">
        <v>1934</v>
      </c>
      <c r="U77" s="876" t="s">
        <v>1931</v>
      </c>
      <c r="V77" s="876" t="s">
        <v>2030</v>
      </c>
      <c r="W77" s="873"/>
      <c r="AB77" s="826"/>
      <c r="AC77" s="881"/>
      <c r="AD77" s="882" t="s">
        <v>3694</v>
      </c>
      <c r="AE77" s="883"/>
      <c r="AF77" s="883"/>
      <c r="AG77" s="884"/>
      <c r="AH77" s="885"/>
      <c r="AI77" s="886"/>
      <c r="AJ77" s="887"/>
      <c r="AO77" s="1379"/>
      <c r="AP77" s="1379"/>
    </row>
    <row r="78" spans="1:42" s="815" customFormat="1" ht="18" customHeight="1" x14ac:dyDescent="0.2">
      <c r="A78" s="872" t="s">
        <v>3784</v>
      </c>
      <c r="B78" s="873">
        <v>10</v>
      </c>
      <c r="C78" s="873">
        <v>13</v>
      </c>
      <c r="D78" s="873">
        <v>25</v>
      </c>
      <c r="E78" s="873">
        <v>6</v>
      </c>
      <c r="F78" s="873">
        <v>12</v>
      </c>
      <c r="G78" s="873">
        <v>21</v>
      </c>
      <c r="H78" s="873">
        <v>3</v>
      </c>
      <c r="I78" s="874" t="s">
        <v>3436</v>
      </c>
      <c r="J78" s="874" t="s">
        <v>1537</v>
      </c>
      <c r="K78" s="873" t="s">
        <v>1703</v>
      </c>
      <c r="L78" s="875" t="s">
        <v>1685</v>
      </c>
      <c r="M78" s="872" t="s">
        <v>3484</v>
      </c>
      <c r="N78" s="876" t="s">
        <v>1813</v>
      </c>
      <c r="O78" s="872" t="s">
        <v>3485</v>
      </c>
      <c r="P78" s="876" t="s">
        <v>1690</v>
      </c>
      <c r="Q78" s="872" t="s">
        <v>3575</v>
      </c>
      <c r="R78" s="876" t="s">
        <v>1704</v>
      </c>
      <c r="S78" s="872" t="s">
        <v>3484</v>
      </c>
      <c r="T78" s="876" t="s">
        <v>1934</v>
      </c>
      <c r="U78" s="876" t="s">
        <v>1931</v>
      </c>
      <c r="V78" s="876" t="s">
        <v>2030</v>
      </c>
      <c r="W78" s="873"/>
      <c r="AB78" s="826"/>
      <c r="AC78" s="827"/>
      <c r="AD78" s="889" t="s">
        <v>3697</v>
      </c>
      <c r="AE78" s="828">
        <v>1</v>
      </c>
      <c r="AF78" s="828">
        <v>25</v>
      </c>
      <c r="AG78" s="890" t="s">
        <v>3698</v>
      </c>
      <c r="AH78" s="891" t="s">
        <v>3699</v>
      </c>
      <c r="AI78" s="892"/>
      <c r="AJ78" s="887"/>
      <c r="AO78" s="1379"/>
      <c r="AP78" s="1379"/>
    </row>
    <row r="79" spans="1:42" s="815" customFormat="1" ht="18" customHeight="1" x14ac:dyDescent="0.2">
      <c r="A79" s="848" t="s">
        <v>3464</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3702</v>
      </c>
      <c r="AE79" s="828">
        <v>1</v>
      </c>
      <c r="AF79" s="828">
        <v>40</v>
      </c>
      <c r="AG79" s="890" t="s">
        <v>3703</v>
      </c>
      <c r="AH79" s="891" t="s">
        <v>3704</v>
      </c>
      <c r="AI79" s="892"/>
      <c r="AJ79" s="887"/>
      <c r="AO79" s="1379"/>
      <c r="AP79" s="1379"/>
    </row>
    <row r="80" spans="1:42" s="815" customFormat="1" ht="18" customHeight="1" x14ac:dyDescent="0.2">
      <c r="A80" s="824" t="s">
        <v>3473</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3706</v>
      </c>
      <c r="AE80" s="828">
        <v>2</v>
      </c>
      <c r="AF80" s="828">
        <v>75</v>
      </c>
      <c r="AG80" s="890" t="s">
        <v>3707</v>
      </c>
      <c r="AH80" s="891" t="s">
        <v>3708</v>
      </c>
      <c r="AI80" s="892" t="s">
        <v>3709</v>
      </c>
      <c r="AJ80" s="887"/>
      <c r="AO80" s="1379"/>
      <c r="AP80" s="1379"/>
    </row>
    <row r="81" spans="1:42" s="815" customFormat="1" ht="18" customHeight="1" x14ac:dyDescent="0.2">
      <c r="A81" s="872" t="s">
        <v>3793</v>
      </c>
      <c r="B81" s="873">
        <v>2</v>
      </c>
      <c r="C81" s="873">
        <v>4</v>
      </c>
      <c r="D81" s="873">
        <v>5</v>
      </c>
      <c r="E81" s="873">
        <v>1</v>
      </c>
      <c r="F81" s="873">
        <v>2</v>
      </c>
      <c r="G81" s="873">
        <v>4</v>
      </c>
      <c r="H81" s="873">
        <v>1</v>
      </c>
      <c r="I81" s="874" t="s">
        <v>3436</v>
      </c>
      <c r="J81" s="874" t="s">
        <v>1890</v>
      </c>
      <c r="K81" s="873" t="s">
        <v>1690</v>
      </c>
      <c r="L81" s="875" t="s">
        <v>1685</v>
      </c>
      <c r="M81" s="872" t="s">
        <v>3484</v>
      </c>
      <c r="N81" s="875" t="s">
        <v>1695</v>
      </c>
      <c r="O81" s="872" t="s">
        <v>3484</v>
      </c>
      <c r="P81" s="875" t="s">
        <v>1703</v>
      </c>
      <c r="Q81" s="872" t="s">
        <v>3484</v>
      </c>
      <c r="R81" s="875" t="s">
        <v>1704</v>
      </c>
      <c r="S81" s="872" t="s">
        <v>3485</v>
      </c>
      <c r="T81" s="876" t="s">
        <v>1934</v>
      </c>
      <c r="U81" s="876" t="s">
        <v>2029</v>
      </c>
      <c r="V81" s="876" t="s">
        <v>2034</v>
      </c>
      <c r="W81" s="873"/>
      <c r="AB81" s="826"/>
      <c r="AC81" s="827"/>
      <c r="AD81" s="889" t="s">
        <v>3711</v>
      </c>
      <c r="AE81" s="828">
        <v>2</v>
      </c>
      <c r="AF81" s="828">
        <v>75</v>
      </c>
      <c r="AG81" s="890" t="s">
        <v>3712</v>
      </c>
      <c r="AH81" s="891" t="s">
        <v>3713</v>
      </c>
      <c r="AI81" s="892" t="s">
        <v>3714</v>
      </c>
      <c r="AJ81" s="887"/>
      <c r="AO81" s="1379"/>
      <c r="AP81" s="1379"/>
    </row>
    <row r="82" spans="1:42" s="815" customFormat="1" ht="18" customHeight="1" x14ac:dyDescent="0.2">
      <c r="A82" s="872" t="s">
        <v>3797</v>
      </c>
      <c r="B82" s="873">
        <v>3</v>
      </c>
      <c r="C82" s="873">
        <v>5</v>
      </c>
      <c r="D82" s="873">
        <v>5</v>
      </c>
      <c r="E82" s="873">
        <v>1</v>
      </c>
      <c r="F82" s="873">
        <v>2</v>
      </c>
      <c r="G82" s="873">
        <v>4</v>
      </c>
      <c r="H82" s="873">
        <v>1</v>
      </c>
      <c r="I82" s="874" t="s">
        <v>3436</v>
      </c>
      <c r="J82" s="874" t="s">
        <v>1890</v>
      </c>
      <c r="K82" s="873" t="s">
        <v>1690</v>
      </c>
      <c r="L82" s="875" t="s">
        <v>1685</v>
      </c>
      <c r="M82" s="872" t="s">
        <v>3484</v>
      </c>
      <c r="N82" s="875" t="s">
        <v>1695</v>
      </c>
      <c r="O82" s="872" t="s">
        <v>3484</v>
      </c>
      <c r="P82" s="875" t="s">
        <v>1703</v>
      </c>
      <c r="Q82" s="872" t="s">
        <v>3484</v>
      </c>
      <c r="R82" s="875" t="s">
        <v>1704</v>
      </c>
      <c r="S82" s="872" t="s">
        <v>3485</v>
      </c>
      <c r="T82" s="876" t="s">
        <v>1934</v>
      </c>
      <c r="U82" s="876" t="s">
        <v>2029</v>
      </c>
      <c r="V82" s="876" t="s">
        <v>2034</v>
      </c>
      <c r="W82" s="873"/>
      <c r="AB82" s="826"/>
      <c r="AC82" s="881"/>
      <c r="AD82" s="889" t="s">
        <v>3717</v>
      </c>
      <c r="AE82" s="828">
        <v>3</v>
      </c>
      <c r="AF82" s="828">
        <v>95</v>
      </c>
      <c r="AG82" s="890" t="s">
        <v>3718</v>
      </c>
      <c r="AH82" s="891" t="s">
        <v>3719</v>
      </c>
      <c r="AI82" s="892" t="s">
        <v>3720</v>
      </c>
      <c r="AJ82" s="887"/>
      <c r="AO82" s="1379"/>
      <c r="AP82" s="1379"/>
    </row>
    <row r="83" spans="1:42" s="815" customFormat="1" ht="18" customHeight="1" x14ac:dyDescent="0.2">
      <c r="A83" s="872" t="s">
        <v>3802</v>
      </c>
      <c r="B83" s="873">
        <v>4</v>
      </c>
      <c r="C83" s="873">
        <v>6</v>
      </c>
      <c r="D83" s="873">
        <v>10</v>
      </c>
      <c r="E83" s="873">
        <v>2</v>
      </c>
      <c r="F83" s="873">
        <v>4</v>
      </c>
      <c r="G83" s="873">
        <v>7</v>
      </c>
      <c r="H83" s="873">
        <v>1</v>
      </c>
      <c r="I83" s="874" t="s">
        <v>3436</v>
      </c>
      <c r="J83" s="874" t="s">
        <v>1890</v>
      </c>
      <c r="K83" s="873" t="s">
        <v>1690</v>
      </c>
      <c r="L83" s="875" t="s">
        <v>1685</v>
      </c>
      <c r="M83" s="872" t="s">
        <v>3484</v>
      </c>
      <c r="N83" s="875" t="s">
        <v>1695</v>
      </c>
      <c r="O83" s="872" t="s">
        <v>3484</v>
      </c>
      <c r="P83" s="875" t="s">
        <v>1703</v>
      </c>
      <c r="Q83" s="872" t="s">
        <v>3484</v>
      </c>
      <c r="R83" s="875" t="s">
        <v>1704</v>
      </c>
      <c r="S83" s="872" t="s">
        <v>3485</v>
      </c>
      <c r="T83" s="876" t="s">
        <v>1934</v>
      </c>
      <c r="U83" s="876" t="s">
        <v>2029</v>
      </c>
      <c r="V83" s="876" t="s">
        <v>2034</v>
      </c>
      <c r="W83" s="873"/>
      <c r="AB83" s="826"/>
      <c r="AC83" s="881"/>
      <c r="AD83" s="882" t="s">
        <v>3723</v>
      </c>
      <c r="AE83" s="883"/>
      <c r="AF83" s="883"/>
      <c r="AG83" s="884"/>
      <c r="AH83" s="885"/>
      <c r="AI83" s="886"/>
      <c r="AJ83" s="887"/>
      <c r="AO83" s="1379"/>
      <c r="AP83" s="1379"/>
    </row>
    <row r="84" spans="1:42" s="815" customFormat="1" ht="18" customHeight="1" x14ac:dyDescent="0.2">
      <c r="A84" s="872" t="s">
        <v>3807</v>
      </c>
      <c r="B84" s="873">
        <v>5</v>
      </c>
      <c r="C84" s="873">
        <v>8</v>
      </c>
      <c r="D84" s="873">
        <v>15</v>
      </c>
      <c r="E84" s="873">
        <v>3</v>
      </c>
      <c r="F84" s="873">
        <v>6</v>
      </c>
      <c r="G84" s="873">
        <v>11</v>
      </c>
      <c r="H84" s="873">
        <v>1</v>
      </c>
      <c r="I84" s="874" t="s">
        <v>3436</v>
      </c>
      <c r="J84" s="874" t="s">
        <v>1890</v>
      </c>
      <c r="K84" s="873" t="s">
        <v>1690</v>
      </c>
      <c r="L84" s="875" t="s">
        <v>1685</v>
      </c>
      <c r="M84" s="872" t="s">
        <v>3484</v>
      </c>
      <c r="N84" s="875" t="s">
        <v>1695</v>
      </c>
      <c r="O84" s="872" t="s">
        <v>3484</v>
      </c>
      <c r="P84" s="875" t="s">
        <v>1703</v>
      </c>
      <c r="Q84" s="872" t="s">
        <v>3484</v>
      </c>
      <c r="R84" s="875" t="s">
        <v>1704</v>
      </c>
      <c r="S84" s="872" t="s">
        <v>3485</v>
      </c>
      <c r="T84" s="876" t="s">
        <v>1934</v>
      </c>
      <c r="U84" s="876" t="s">
        <v>2029</v>
      </c>
      <c r="V84" s="876" t="s">
        <v>2034</v>
      </c>
      <c r="W84" s="873"/>
      <c r="AB84" s="826"/>
      <c r="AC84" s="902"/>
      <c r="AD84" s="903" t="s">
        <v>3725</v>
      </c>
      <c r="AE84" s="904">
        <v>1</v>
      </c>
      <c r="AF84" s="904">
        <v>35</v>
      </c>
      <c r="AG84" s="905" t="s">
        <v>3726</v>
      </c>
      <c r="AH84" s="906" t="s">
        <v>3727</v>
      </c>
      <c r="AI84" s="892" t="s">
        <v>3728</v>
      </c>
      <c r="AJ84" s="887"/>
      <c r="AO84" s="1379"/>
      <c r="AP84" s="1379"/>
    </row>
    <row r="85" spans="1:42" s="815" customFormat="1" ht="18" customHeight="1" x14ac:dyDescent="0.2">
      <c r="A85" s="872" t="s">
        <v>3809</v>
      </c>
      <c r="B85" s="873">
        <v>9</v>
      </c>
      <c r="C85" s="873">
        <v>12</v>
      </c>
      <c r="D85" s="873">
        <v>20</v>
      </c>
      <c r="E85" s="873">
        <v>4</v>
      </c>
      <c r="F85" s="873">
        <v>8</v>
      </c>
      <c r="G85" s="873">
        <v>14</v>
      </c>
      <c r="H85" s="873">
        <v>1</v>
      </c>
      <c r="I85" s="874" t="s">
        <v>3436</v>
      </c>
      <c r="J85" s="874" t="s">
        <v>1890</v>
      </c>
      <c r="K85" s="873" t="s">
        <v>1690</v>
      </c>
      <c r="L85" s="875" t="s">
        <v>1685</v>
      </c>
      <c r="M85" s="872" t="s">
        <v>3484</v>
      </c>
      <c r="N85" s="875" t="s">
        <v>1695</v>
      </c>
      <c r="O85" s="872" t="s">
        <v>3484</v>
      </c>
      <c r="P85" s="875" t="s">
        <v>1703</v>
      </c>
      <c r="Q85" s="872" t="s">
        <v>3484</v>
      </c>
      <c r="R85" s="875" t="s">
        <v>1704</v>
      </c>
      <c r="S85" s="872" t="s">
        <v>3485</v>
      </c>
      <c r="T85" s="876" t="s">
        <v>1934</v>
      </c>
      <c r="U85" s="876" t="s">
        <v>2029</v>
      </c>
      <c r="V85" s="876" t="s">
        <v>2034</v>
      </c>
      <c r="W85" s="873"/>
      <c r="AB85" s="826"/>
      <c r="AC85" s="902"/>
      <c r="AD85" s="903" t="s">
        <v>3731</v>
      </c>
      <c r="AE85" s="904">
        <v>1</v>
      </c>
      <c r="AF85" s="904">
        <v>50</v>
      </c>
      <c r="AG85" s="905" t="s">
        <v>3732</v>
      </c>
      <c r="AH85" s="906" t="s">
        <v>3733</v>
      </c>
      <c r="AI85" s="892" t="s">
        <v>3734</v>
      </c>
      <c r="AJ85" s="887"/>
      <c r="AO85" s="1379"/>
      <c r="AP85" s="1379"/>
    </row>
    <row r="86" spans="1:42" s="815" customFormat="1" ht="18" customHeight="1" x14ac:dyDescent="0.2">
      <c r="A86" s="872" t="s">
        <v>3813</v>
      </c>
      <c r="B86" s="873">
        <v>12</v>
      </c>
      <c r="C86" s="873">
        <v>15</v>
      </c>
      <c r="D86" s="873">
        <v>25</v>
      </c>
      <c r="E86" s="873">
        <v>5</v>
      </c>
      <c r="F86" s="873">
        <v>10</v>
      </c>
      <c r="G86" s="873">
        <v>18</v>
      </c>
      <c r="H86" s="873">
        <v>1</v>
      </c>
      <c r="I86" s="874" t="s">
        <v>3436</v>
      </c>
      <c r="J86" s="874" t="s">
        <v>1890</v>
      </c>
      <c r="K86" s="873" t="s">
        <v>1690</v>
      </c>
      <c r="L86" s="875" t="s">
        <v>1685</v>
      </c>
      <c r="M86" s="872" t="s">
        <v>3484</v>
      </c>
      <c r="N86" s="875" t="s">
        <v>1695</v>
      </c>
      <c r="O86" s="872" t="s">
        <v>3484</v>
      </c>
      <c r="P86" s="875" t="s">
        <v>1703</v>
      </c>
      <c r="Q86" s="872" t="s">
        <v>3484</v>
      </c>
      <c r="R86" s="875" t="s">
        <v>1704</v>
      </c>
      <c r="S86" s="872" t="s">
        <v>3485</v>
      </c>
      <c r="T86" s="876" t="s">
        <v>1934</v>
      </c>
      <c r="U86" s="876" t="s">
        <v>2029</v>
      </c>
      <c r="V86" s="876" t="s">
        <v>2034</v>
      </c>
      <c r="W86" s="873"/>
      <c r="AB86" s="826"/>
      <c r="AC86" s="902"/>
      <c r="AD86" s="903" t="s">
        <v>3737</v>
      </c>
      <c r="AE86" s="904">
        <v>2</v>
      </c>
      <c r="AF86" s="904">
        <v>40</v>
      </c>
      <c r="AG86" s="905" t="s">
        <v>3738</v>
      </c>
      <c r="AH86" s="906" t="s">
        <v>3739</v>
      </c>
      <c r="AI86" s="892" t="s">
        <v>3572</v>
      </c>
      <c r="AJ86" s="887"/>
      <c r="AO86" s="1379"/>
      <c r="AP86" s="1379"/>
    </row>
    <row r="87" spans="1:42" s="815" customFormat="1" ht="18" customHeight="1" x14ac:dyDescent="0.2">
      <c r="A87" s="872" t="s">
        <v>3817</v>
      </c>
      <c r="B87" s="873">
        <v>14</v>
      </c>
      <c r="C87" s="873">
        <v>18</v>
      </c>
      <c r="D87" s="873">
        <v>30</v>
      </c>
      <c r="E87" s="873">
        <v>8</v>
      </c>
      <c r="F87" s="873">
        <v>16</v>
      </c>
      <c r="G87" s="873">
        <v>28</v>
      </c>
      <c r="H87" s="873">
        <v>1</v>
      </c>
      <c r="I87" s="874" t="s">
        <v>3436</v>
      </c>
      <c r="J87" s="874" t="s">
        <v>1890</v>
      </c>
      <c r="K87" s="873" t="s">
        <v>1690</v>
      </c>
      <c r="L87" s="875" t="s">
        <v>1685</v>
      </c>
      <c r="M87" s="872" t="s">
        <v>3484</v>
      </c>
      <c r="N87" s="875" t="s">
        <v>1695</v>
      </c>
      <c r="O87" s="872" t="s">
        <v>3484</v>
      </c>
      <c r="P87" s="875" t="s">
        <v>1703</v>
      </c>
      <c r="Q87" s="872" t="s">
        <v>3484</v>
      </c>
      <c r="R87" s="875" t="s">
        <v>1704</v>
      </c>
      <c r="S87" s="872" t="s">
        <v>3485</v>
      </c>
      <c r="T87" s="876" t="s">
        <v>1934</v>
      </c>
      <c r="U87" s="876" t="s">
        <v>2029</v>
      </c>
      <c r="V87" s="876" t="s">
        <v>2034</v>
      </c>
      <c r="W87" s="873"/>
      <c r="AB87" s="826"/>
      <c r="AC87" s="902"/>
      <c r="AD87" s="903" t="s">
        <v>3744</v>
      </c>
      <c r="AE87" s="904">
        <v>2</v>
      </c>
      <c r="AF87" s="904">
        <v>65</v>
      </c>
      <c r="AG87" s="905" t="s">
        <v>3745</v>
      </c>
      <c r="AH87" s="906" t="s">
        <v>3746</v>
      </c>
      <c r="AI87" s="892" t="s">
        <v>3747</v>
      </c>
      <c r="AJ87" s="887"/>
      <c r="AO87" s="1379"/>
      <c r="AP87" s="1379"/>
    </row>
    <row r="88" spans="1:42" s="815" customFormat="1" ht="18" customHeight="1" x14ac:dyDescent="0.2">
      <c r="A88" s="872" t="s">
        <v>3821</v>
      </c>
      <c r="B88" s="873">
        <v>18</v>
      </c>
      <c r="C88" s="873">
        <v>22</v>
      </c>
      <c r="D88" s="873">
        <v>35</v>
      </c>
      <c r="E88" s="873">
        <v>10</v>
      </c>
      <c r="F88" s="873">
        <v>20</v>
      </c>
      <c r="G88" s="873">
        <v>35</v>
      </c>
      <c r="H88" s="873">
        <v>2</v>
      </c>
      <c r="I88" s="874" t="s">
        <v>3436</v>
      </c>
      <c r="J88" s="874" t="s">
        <v>1890</v>
      </c>
      <c r="K88" s="873" t="s">
        <v>1690</v>
      </c>
      <c r="L88" s="875" t="s">
        <v>1685</v>
      </c>
      <c r="M88" s="872" t="s">
        <v>3484</v>
      </c>
      <c r="N88" s="875" t="s">
        <v>1695</v>
      </c>
      <c r="O88" s="872" t="s">
        <v>3484</v>
      </c>
      <c r="P88" s="875" t="s">
        <v>1703</v>
      </c>
      <c r="Q88" s="872" t="s">
        <v>3484</v>
      </c>
      <c r="R88" s="875" t="s">
        <v>1704</v>
      </c>
      <c r="S88" s="872" t="s">
        <v>3485</v>
      </c>
      <c r="T88" s="876" t="s">
        <v>1934</v>
      </c>
      <c r="U88" s="876" t="s">
        <v>2029</v>
      </c>
      <c r="V88" s="876" t="s">
        <v>2034</v>
      </c>
      <c r="W88" s="873"/>
      <c r="AB88" s="826"/>
      <c r="AC88" s="902"/>
      <c r="AD88" s="903" t="s">
        <v>3749</v>
      </c>
      <c r="AE88" s="904">
        <v>2</v>
      </c>
      <c r="AF88" s="904">
        <v>60</v>
      </c>
      <c r="AG88" s="905" t="s">
        <v>3750</v>
      </c>
      <c r="AH88" s="906" t="s">
        <v>3751</v>
      </c>
      <c r="AI88" s="892" t="s">
        <v>3752</v>
      </c>
      <c r="AJ88" s="887"/>
      <c r="AO88" s="1379"/>
      <c r="AP88" s="1379"/>
    </row>
    <row r="89" spans="1:42" s="815" customFormat="1" ht="18" customHeight="1" x14ac:dyDescent="0.2">
      <c r="A89" s="872" t="s">
        <v>3826</v>
      </c>
      <c r="B89" s="873">
        <v>22</v>
      </c>
      <c r="C89" s="873">
        <v>26</v>
      </c>
      <c r="D89" s="873">
        <v>40</v>
      </c>
      <c r="E89" s="873">
        <v>12</v>
      </c>
      <c r="F89" s="873">
        <v>24</v>
      </c>
      <c r="G89" s="873">
        <v>42</v>
      </c>
      <c r="H89" s="873">
        <v>2</v>
      </c>
      <c r="I89" s="874" t="s">
        <v>3436</v>
      </c>
      <c r="J89" s="874" t="s">
        <v>1890</v>
      </c>
      <c r="K89" s="873" t="s">
        <v>1690</v>
      </c>
      <c r="L89" s="875" t="s">
        <v>1685</v>
      </c>
      <c r="M89" s="872" t="s">
        <v>3484</v>
      </c>
      <c r="N89" s="875" t="s">
        <v>1695</v>
      </c>
      <c r="O89" s="872" t="s">
        <v>3484</v>
      </c>
      <c r="P89" s="875" t="s">
        <v>1703</v>
      </c>
      <c r="Q89" s="872" t="s">
        <v>3484</v>
      </c>
      <c r="R89" s="875" t="s">
        <v>1704</v>
      </c>
      <c r="S89" s="872" t="s">
        <v>3485</v>
      </c>
      <c r="T89" s="876" t="s">
        <v>1934</v>
      </c>
      <c r="U89" s="876" t="s">
        <v>2029</v>
      </c>
      <c r="V89" s="876" t="s">
        <v>2034</v>
      </c>
      <c r="W89" s="873"/>
      <c r="AB89" s="826"/>
      <c r="AC89" s="902"/>
      <c r="AD89" s="903" t="s">
        <v>3755</v>
      </c>
      <c r="AE89" s="904"/>
      <c r="AF89" s="904">
        <v>90</v>
      </c>
      <c r="AG89" s="905" t="s">
        <v>3756</v>
      </c>
      <c r="AH89" s="906" t="s">
        <v>3757</v>
      </c>
      <c r="AI89" s="892" t="s">
        <v>3758</v>
      </c>
      <c r="AJ89" s="887"/>
      <c r="AO89" s="1379"/>
      <c r="AP89" s="1379"/>
    </row>
    <row r="90" spans="1:42" s="815" customFormat="1" ht="18" customHeight="1" x14ac:dyDescent="0.2">
      <c r="A90" s="872" t="s">
        <v>3830</v>
      </c>
      <c r="B90" s="873">
        <v>26</v>
      </c>
      <c r="C90" s="873">
        <v>32</v>
      </c>
      <c r="D90" s="873">
        <v>45</v>
      </c>
      <c r="E90" s="873">
        <v>14</v>
      </c>
      <c r="F90" s="873">
        <v>28</v>
      </c>
      <c r="G90" s="873">
        <v>49</v>
      </c>
      <c r="H90" s="873">
        <v>3</v>
      </c>
      <c r="I90" s="874" t="s">
        <v>3436</v>
      </c>
      <c r="J90" s="874" t="s">
        <v>1890</v>
      </c>
      <c r="K90" s="873" t="s">
        <v>1690</v>
      </c>
      <c r="L90" s="875" t="s">
        <v>1685</v>
      </c>
      <c r="M90" s="872" t="s">
        <v>3484</v>
      </c>
      <c r="N90" s="875" t="s">
        <v>1695</v>
      </c>
      <c r="O90" s="872" t="s">
        <v>3484</v>
      </c>
      <c r="P90" s="875" t="s">
        <v>1703</v>
      </c>
      <c r="Q90" s="872" t="s">
        <v>3484</v>
      </c>
      <c r="R90" s="875" t="s">
        <v>1704</v>
      </c>
      <c r="S90" s="872" t="s">
        <v>3485</v>
      </c>
      <c r="T90" s="876" t="s">
        <v>1934</v>
      </c>
      <c r="U90" s="876" t="s">
        <v>2029</v>
      </c>
      <c r="V90" s="876" t="s">
        <v>2034</v>
      </c>
      <c r="W90" s="873"/>
      <c r="AB90" s="826"/>
      <c r="AC90" s="910"/>
      <c r="AD90" s="911" t="s">
        <v>3761</v>
      </c>
      <c r="AE90" s="912"/>
      <c r="AF90" s="912"/>
      <c r="AG90" s="913"/>
      <c r="AH90" s="914"/>
      <c r="AI90" s="886"/>
      <c r="AJ90" s="887"/>
      <c r="AO90" s="1379"/>
      <c r="AP90" s="1379"/>
    </row>
    <row r="91" spans="1:42" s="815" customFormat="1" ht="18" customHeight="1" x14ac:dyDescent="0.2">
      <c r="A91" s="872" t="s">
        <v>3832</v>
      </c>
      <c r="B91" s="873">
        <v>30</v>
      </c>
      <c r="C91" s="873">
        <v>36</v>
      </c>
      <c r="D91" s="873">
        <v>50</v>
      </c>
      <c r="E91" s="873">
        <v>16</v>
      </c>
      <c r="F91" s="873">
        <v>32</v>
      </c>
      <c r="G91" s="873">
        <v>56</v>
      </c>
      <c r="H91" s="873">
        <v>3</v>
      </c>
      <c r="I91" s="874" t="s">
        <v>3436</v>
      </c>
      <c r="J91" s="874" t="s">
        <v>1890</v>
      </c>
      <c r="K91" s="873" t="s">
        <v>1690</v>
      </c>
      <c r="L91" s="875" t="s">
        <v>1685</v>
      </c>
      <c r="M91" s="872" t="s">
        <v>3484</v>
      </c>
      <c r="N91" s="875" t="s">
        <v>1695</v>
      </c>
      <c r="O91" s="872" t="s">
        <v>3484</v>
      </c>
      <c r="P91" s="875" t="s">
        <v>1703</v>
      </c>
      <c r="Q91" s="872" t="s">
        <v>3484</v>
      </c>
      <c r="R91" s="875" t="s">
        <v>1704</v>
      </c>
      <c r="S91" s="872" t="s">
        <v>3485</v>
      </c>
      <c r="T91" s="876" t="s">
        <v>1934</v>
      </c>
      <c r="U91" s="876" t="s">
        <v>2029</v>
      </c>
      <c r="V91" s="876" t="s">
        <v>2034</v>
      </c>
      <c r="W91" s="873"/>
      <c r="AB91" s="826"/>
      <c r="AC91" s="902"/>
      <c r="AD91" s="903" t="s">
        <v>3764</v>
      </c>
      <c r="AE91" s="904">
        <v>1</v>
      </c>
      <c r="AF91" s="904">
        <v>20</v>
      </c>
      <c r="AG91" s="905" t="s">
        <v>3765</v>
      </c>
      <c r="AH91" s="906" t="s">
        <v>3766</v>
      </c>
      <c r="AI91" s="892"/>
      <c r="AJ91" s="887"/>
      <c r="AO91" s="1379"/>
      <c r="AP91" s="1379"/>
    </row>
    <row r="92" spans="1:42" s="815" customFormat="1" ht="18" customHeight="1" x14ac:dyDescent="0.2">
      <c r="A92" s="824" t="s">
        <v>3476</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3768</v>
      </c>
      <c r="AE92" s="904">
        <v>1</v>
      </c>
      <c r="AF92" s="904">
        <v>20</v>
      </c>
      <c r="AG92" s="905" t="s">
        <v>3769</v>
      </c>
      <c r="AH92" s="906" t="s">
        <v>3770</v>
      </c>
      <c r="AI92" s="892"/>
      <c r="AJ92" s="887"/>
      <c r="AO92" s="1379"/>
      <c r="AP92" s="1379"/>
    </row>
    <row r="93" spans="1:42" s="815" customFormat="1" ht="18" customHeight="1" x14ac:dyDescent="0.2">
      <c r="A93" s="872" t="s">
        <v>3840</v>
      </c>
      <c r="B93" s="873">
        <v>4</v>
      </c>
      <c r="C93" s="873">
        <v>6</v>
      </c>
      <c r="D93" s="873">
        <v>10</v>
      </c>
      <c r="E93" s="873">
        <v>2</v>
      </c>
      <c r="F93" s="873">
        <v>4</v>
      </c>
      <c r="G93" s="873">
        <v>7</v>
      </c>
      <c r="H93" s="873">
        <v>1</v>
      </c>
      <c r="I93" s="874" t="s">
        <v>3441</v>
      </c>
      <c r="J93" s="874" t="s">
        <v>1890</v>
      </c>
      <c r="K93" s="873" t="s">
        <v>1690</v>
      </c>
      <c r="L93" s="875" t="s">
        <v>1685</v>
      </c>
      <c r="M93" s="872" t="s">
        <v>3484</v>
      </c>
      <c r="N93" s="876" t="s">
        <v>1695</v>
      </c>
      <c r="O93" s="872" t="s">
        <v>3484</v>
      </c>
      <c r="P93" s="876" t="s">
        <v>1703</v>
      </c>
      <c r="Q93" s="872" t="s">
        <v>3484</v>
      </c>
      <c r="R93" s="876" t="s">
        <v>1704</v>
      </c>
      <c r="S93" s="872" t="s">
        <v>3485</v>
      </c>
      <c r="T93" s="876" t="s">
        <v>1934</v>
      </c>
      <c r="U93" s="876" t="s">
        <v>2029</v>
      </c>
      <c r="V93" s="876" t="s">
        <v>2034</v>
      </c>
      <c r="W93" s="873"/>
      <c r="AB93" s="826"/>
      <c r="AC93" s="902"/>
      <c r="AD93" s="903" t="s">
        <v>3772</v>
      </c>
      <c r="AE93" s="904">
        <v>1</v>
      </c>
      <c r="AF93" s="904">
        <v>40</v>
      </c>
      <c r="AG93" s="905" t="s">
        <v>3773</v>
      </c>
      <c r="AH93" s="906" t="s">
        <v>3774</v>
      </c>
      <c r="AI93" s="892"/>
      <c r="AJ93" s="887"/>
      <c r="AO93" s="1379"/>
      <c r="AP93" s="1379"/>
    </row>
    <row r="94" spans="1:42" s="815" customFormat="1" ht="18" customHeight="1" x14ac:dyDescent="0.2">
      <c r="A94" s="872" t="s">
        <v>3845</v>
      </c>
      <c r="B94" s="873">
        <v>6</v>
      </c>
      <c r="C94" s="873">
        <v>9</v>
      </c>
      <c r="D94" s="873">
        <v>15</v>
      </c>
      <c r="E94" s="873">
        <v>4</v>
      </c>
      <c r="F94" s="873">
        <v>8</v>
      </c>
      <c r="G94" s="873">
        <v>14</v>
      </c>
      <c r="H94" s="873">
        <v>1</v>
      </c>
      <c r="I94" s="874" t="s">
        <v>3441</v>
      </c>
      <c r="J94" s="874" t="s">
        <v>1890</v>
      </c>
      <c r="K94" s="873" t="s">
        <v>1690</v>
      </c>
      <c r="L94" s="875" t="s">
        <v>1685</v>
      </c>
      <c r="M94" s="872" t="s">
        <v>3484</v>
      </c>
      <c r="N94" s="876" t="s">
        <v>1695</v>
      </c>
      <c r="O94" s="872" t="s">
        <v>3484</v>
      </c>
      <c r="P94" s="876" t="s">
        <v>1703</v>
      </c>
      <c r="Q94" s="872" t="s">
        <v>3484</v>
      </c>
      <c r="R94" s="876" t="s">
        <v>1704</v>
      </c>
      <c r="S94" s="872" t="s">
        <v>3485</v>
      </c>
      <c r="T94" s="876" t="s">
        <v>1934</v>
      </c>
      <c r="U94" s="876" t="s">
        <v>2029</v>
      </c>
      <c r="V94" s="876" t="s">
        <v>2034</v>
      </c>
      <c r="W94" s="873"/>
      <c r="AB94" s="826"/>
      <c r="AC94" s="902"/>
      <c r="AD94" s="903" t="s">
        <v>3776</v>
      </c>
      <c r="AE94" s="904">
        <v>2</v>
      </c>
      <c r="AF94" s="904">
        <v>40</v>
      </c>
      <c r="AG94" s="905" t="s">
        <v>3777</v>
      </c>
      <c r="AH94" s="906" t="s">
        <v>3778</v>
      </c>
      <c r="AI94" s="892"/>
      <c r="AJ94" s="887"/>
      <c r="AO94" s="1379"/>
      <c r="AP94" s="1379"/>
    </row>
    <row r="95" spans="1:42" s="815" customFormat="1" ht="18" customHeight="1" x14ac:dyDescent="0.2">
      <c r="A95" s="872" t="s">
        <v>3849</v>
      </c>
      <c r="B95" s="873">
        <v>9</v>
      </c>
      <c r="C95" s="873">
        <v>12</v>
      </c>
      <c r="D95" s="873">
        <v>20</v>
      </c>
      <c r="E95" s="873">
        <v>6</v>
      </c>
      <c r="F95" s="873">
        <v>12</v>
      </c>
      <c r="G95" s="873">
        <v>21</v>
      </c>
      <c r="H95" s="873">
        <v>1</v>
      </c>
      <c r="I95" s="874" t="s">
        <v>3441</v>
      </c>
      <c r="J95" s="874" t="s">
        <v>1890</v>
      </c>
      <c r="K95" s="873" t="s">
        <v>1690</v>
      </c>
      <c r="L95" s="875" t="s">
        <v>1685</v>
      </c>
      <c r="M95" s="872" t="s">
        <v>3484</v>
      </c>
      <c r="N95" s="876" t="s">
        <v>1695</v>
      </c>
      <c r="O95" s="872" t="s">
        <v>3484</v>
      </c>
      <c r="P95" s="876" t="s">
        <v>1703</v>
      </c>
      <c r="Q95" s="872" t="s">
        <v>3484</v>
      </c>
      <c r="R95" s="876" t="s">
        <v>1704</v>
      </c>
      <c r="S95" s="872" t="s">
        <v>3485</v>
      </c>
      <c r="T95" s="876" t="s">
        <v>1934</v>
      </c>
      <c r="U95" s="876" t="s">
        <v>2029</v>
      </c>
      <c r="V95" s="876" t="s">
        <v>2034</v>
      </c>
      <c r="W95" s="873"/>
      <c r="AB95" s="826"/>
      <c r="AC95" s="902"/>
      <c r="AD95" s="903" t="s">
        <v>3780</v>
      </c>
      <c r="AE95" s="904">
        <v>2</v>
      </c>
      <c r="AF95" s="904">
        <v>45</v>
      </c>
      <c r="AG95" s="905" t="s">
        <v>3781</v>
      </c>
      <c r="AH95" s="906" t="s">
        <v>3782</v>
      </c>
      <c r="AI95" s="892" t="s">
        <v>3783</v>
      </c>
      <c r="AJ95" s="887"/>
      <c r="AO95" s="1379"/>
      <c r="AP95" s="1379"/>
    </row>
    <row r="96" spans="1:42" s="815" customFormat="1" ht="18" customHeight="1" x14ac:dyDescent="0.2">
      <c r="A96" s="872" t="s">
        <v>3853</v>
      </c>
      <c r="B96" s="873">
        <v>12</v>
      </c>
      <c r="C96" s="873">
        <v>15</v>
      </c>
      <c r="D96" s="873">
        <v>35</v>
      </c>
      <c r="E96" s="873">
        <v>9</v>
      </c>
      <c r="F96" s="873">
        <v>18</v>
      </c>
      <c r="G96" s="873">
        <v>32</v>
      </c>
      <c r="H96" s="873">
        <v>2</v>
      </c>
      <c r="I96" s="874" t="s">
        <v>3441</v>
      </c>
      <c r="J96" s="874" t="s">
        <v>1890</v>
      </c>
      <c r="K96" s="873" t="s">
        <v>1690</v>
      </c>
      <c r="L96" s="875" t="s">
        <v>1685</v>
      </c>
      <c r="M96" s="872" t="s">
        <v>3484</v>
      </c>
      <c r="N96" s="876" t="s">
        <v>1695</v>
      </c>
      <c r="O96" s="872" t="s">
        <v>3484</v>
      </c>
      <c r="P96" s="876" t="s">
        <v>1703</v>
      </c>
      <c r="Q96" s="872" t="s">
        <v>3484</v>
      </c>
      <c r="R96" s="876" t="s">
        <v>1704</v>
      </c>
      <c r="S96" s="872" t="s">
        <v>3485</v>
      </c>
      <c r="T96" s="876" t="s">
        <v>1934</v>
      </c>
      <c r="U96" s="876" t="s">
        <v>2029</v>
      </c>
      <c r="V96" s="876" t="s">
        <v>2034</v>
      </c>
      <c r="W96" s="873"/>
      <c r="AB96" s="826"/>
      <c r="AC96" s="915"/>
      <c r="AD96" s="911" t="s">
        <v>3785</v>
      </c>
      <c r="AE96" s="916"/>
      <c r="AF96" s="916"/>
      <c r="AG96" s="917"/>
      <c r="AH96" s="918"/>
      <c r="AI96" s="919"/>
      <c r="AJ96" s="887"/>
      <c r="AO96" s="1379"/>
      <c r="AP96" s="1379"/>
    </row>
    <row r="97" spans="1:42" s="815" customFormat="1" ht="18" customHeight="1" x14ac:dyDescent="0.2">
      <c r="A97" s="872" t="s">
        <v>3855</v>
      </c>
      <c r="B97" s="873">
        <v>18</v>
      </c>
      <c r="C97" s="873">
        <v>22</v>
      </c>
      <c r="D97" s="873">
        <v>50</v>
      </c>
      <c r="E97" s="873">
        <v>12</v>
      </c>
      <c r="F97" s="873">
        <v>24</v>
      </c>
      <c r="G97" s="873">
        <v>42</v>
      </c>
      <c r="H97" s="873">
        <v>2</v>
      </c>
      <c r="I97" s="874" t="s">
        <v>3441</v>
      </c>
      <c r="J97" s="874" t="s">
        <v>1890</v>
      </c>
      <c r="K97" s="873" t="s">
        <v>1690</v>
      </c>
      <c r="L97" s="875" t="s">
        <v>1685</v>
      </c>
      <c r="M97" s="872" t="s">
        <v>3484</v>
      </c>
      <c r="N97" s="876" t="s">
        <v>1695</v>
      </c>
      <c r="O97" s="872" t="s">
        <v>3484</v>
      </c>
      <c r="P97" s="876" t="s">
        <v>1703</v>
      </c>
      <c r="Q97" s="872" t="s">
        <v>3484</v>
      </c>
      <c r="R97" s="876" t="s">
        <v>1704</v>
      </c>
      <c r="S97" s="872" t="s">
        <v>3485</v>
      </c>
      <c r="T97" s="876" t="s">
        <v>1934</v>
      </c>
      <c r="U97" s="876" t="s">
        <v>2029</v>
      </c>
      <c r="V97" s="876" t="s">
        <v>2034</v>
      </c>
      <c r="W97" s="873"/>
      <c r="AB97" s="826"/>
      <c r="AC97" s="902"/>
      <c r="AD97" s="903" t="s">
        <v>3786</v>
      </c>
      <c r="AE97" s="904">
        <v>1</v>
      </c>
      <c r="AF97" s="904">
        <v>35</v>
      </c>
      <c r="AG97" s="920" t="s">
        <v>3787</v>
      </c>
      <c r="AH97" s="906" t="s">
        <v>3788</v>
      </c>
      <c r="AI97" s="892" t="s">
        <v>3789</v>
      </c>
      <c r="AJ97" s="887"/>
      <c r="AO97" s="1379"/>
      <c r="AP97" s="1379"/>
    </row>
    <row r="98" spans="1:42" s="815" customFormat="1" ht="18" customHeight="1" x14ac:dyDescent="0.2">
      <c r="A98" s="872" t="s">
        <v>3859</v>
      </c>
      <c r="B98" s="873">
        <v>26</v>
      </c>
      <c r="C98" s="873">
        <v>32</v>
      </c>
      <c r="D98" s="873">
        <v>65</v>
      </c>
      <c r="E98" s="873">
        <v>15</v>
      </c>
      <c r="F98" s="873">
        <v>30</v>
      </c>
      <c r="G98" s="873">
        <v>53</v>
      </c>
      <c r="H98" s="873">
        <v>3</v>
      </c>
      <c r="I98" s="874" t="s">
        <v>3441</v>
      </c>
      <c r="J98" s="874" t="s">
        <v>1890</v>
      </c>
      <c r="K98" s="873" t="s">
        <v>1690</v>
      </c>
      <c r="L98" s="875" t="s">
        <v>1685</v>
      </c>
      <c r="M98" s="872" t="s">
        <v>3484</v>
      </c>
      <c r="N98" s="876" t="s">
        <v>1695</v>
      </c>
      <c r="O98" s="872" t="s">
        <v>3484</v>
      </c>
      <c r="P98" s="876" t="s">
        <v>1703</v>
      </c>
      <c r="Q98" s="872" t="s">
        <v>3484</v>
      </c>
      <c r="R98" s="876" t="s">
        <v>1704</v>
      </c>
      <c r="S98" s="872" t="s">
        <v>3485</v>
      </c>
      <c r="T98" s="876" t="s">
        <v>1934</v>
      </c>
      <c r="U98" s="876" t="s">
        <v>2029</v>
      </c>
      <c r="V98" s="876" t="s">
        <v>2034</v>
      </c>
      <c r="W98" s="873"/>
      <c r="AB98" s="826"/>
      <c r="AC98" s="902"/>
      <c r="AD98" s="903" t="s">
        <v>3790</v>
      </c>
      <c r="AE98" s="904">
        <v>1</v>
      </c>
      <c r="AF98" s="904">
        <v>45</v>
      </c>
      <c r="AG98" s="920" t="s">
        <v>3791</v>
      </c>
      <c r="AH98" s="906" t="s">
        <v>3792</v>
      </c>
      <c r="AI98" s="892"/>
      <c r="AJ98" s="887"/>
      <c r="AO98" s="1379"/>
      <c r="AP98" s="1379"/>
    </row>
    <row r="99" spans="1:42" s="815" customFormat="1" ht="18" customHeight="1" x14ac:dyDescent="0.2">
      <c r="A99" s="872" t="s">
        <v>3864</v>
      </c>
      <c r="B99" s="873">
        <v>30</v>
      </c>
      <c r="C99" s="873">
        <v>36</v>
      </c>
      <c r="D99" s="873">
        <v>75</v>
      </c>
      <c r="E99" s="873">
        <v>18</v>
      </c>
      <c r="F99" s="873">
        <v>36</v>
      </c>
      <c r="G99" s="873">
        <v>63</v>
      </c>
      <c r="H99" s="873">
        <v>3</v>
      </c>
      <c r="I99" s="874" t="s">
        <v>3441</v>
      </c>
      <c r="J99" s="874" t="s">
        <v>1890</v>
      </c>
      <c r="K99" s="873" t="s">
        <v>1690</v>
      </c>
      <c r="L99" s="875" t="s">
        <v>1685</v>
      </c>
      <c r="M99" s="872" t="s">
        <v>3484</v>
      </c>
      <c r="N99" s="876" t="s">
        <v>1695</v>
      </c>
      <c r="O99" s="872" t="s">
        <v>3484</v>
      </c>
      <c r="P99" s="876" t="s">
        <v>1703</v>
      </c>
      <c r="Q99" s="872" t="s">
        <v>3484</v>
      </c>
      <c r="R99" s="876" t="s">
        <v>1704</v>
      </c>
      <c r="S99" s="872" t="s">
        <v>3485</v>
      </c>
      <c r="T99" s="876" t="s">
        <v>1934</v>
      </c>
      <c r="U99" s="876" t="s">
        <v>2029</v>
      </c>
      <c r="V99" s="876" t="s">
        <v>2034</v>
      </c>
      <c r="W99" s="873"/>
      <c r="AB99" s="826"/>
      <c r="AC99" s="902"/>
      <c r="AD99" s="903" t="s">
        <v>3794</v>
      </c>
      <c r="AE99" s="904">
        <v>2</v>
      </c>
      <c r="AF99" s="904">
        <v>75</v>
      </c>
      <c r="AG99" s="920" t="s">
        <v>3795</v>
      </c>
      <c r="AH99" s="906" t="s">
        <v>3796</v>
      </c>
      <c r="AI99" s="892"/>
      <c r="AJ99" s="887"/>
      <c r="AO99" s="1379"/>
      <c r="AP99" s="1379"/>
    </row>
    <row r="100" spans="1:42" s="815" customFormat="1" ht="18" customHeight="1" x14ac:dyDescent="0.2">
      <c r="A100" s="824" t="s">
        <v>3478</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3798</v>
      </c>
      <c r="AE100" s="904">
        <v>2</v>
      </c>
      <c r="AF100" s="904">
        <v>70</v>
      </c>
      <c r="AG100" s="920" t="s">
        <v>3799</v>
      </c>
      <c r="AH100" s="906" t="s">
        <v>3800</v>
      </c>
      <c r="AI100" s="892" t="s">
        <v>3801</v>
      </c>
      <c r="AJ100" s="887"/>
      <c r="AO100" s="1379"/>
      <c r="AP100" s="1379"/>
    </row>
    <row r="101" spans="1:42" s="815" customFormat="1" ht="18" customHeight="1" x14ac:dyDescent="0.2">
      <c r="A101" s="872" t="s">
        <v>3871</v>
      </c>
      <c r="B101" s="873">
        <v>1</v>
      </c>
      <c r="C101" s="873">
        <v>2</v>
      </c>
      <c r="D101" s="873">
        <v>5</v>
      </c>
      <c r="E101" s="873">
        <v>1</v>
      </c>
      <c r="F101" s="873">
        <v>2</v>
      </c>
      <c r="G101" s="873">
        <v>4</v>
      </c>
      <c r="H101" s="873">
        <v>1</v>
      </c>
      <c r="I101" s="874" t="s">
        <v>3436</v>
      </c>
      <c r="J101" s="874" t="s">
        <v>1890</v>
      </c>
      <c r="K101" s="873" t="s">
        <v>1690</v>
      </c>
      <c r="L101" s="875" t="s">
        <v>1685</v>
      </c>
      <c r="M101" s="872" t="s">
        <v>3484</v>
      </c>
      <c r="N101" s="875" t="s">
        <v>1695</v>
      </c>
      <c r="O101" s="872" t="s">
        <v>3484</v>
      </c>
      <c r="P101" s="875" t="s">
        <v>1703</v>
      </c>
      <c r="Q101" s="872" t="s">
        <v>3484</v>
      </c>
      <c r="R101" s="875" t="s">
        <v>1704</v>
      </c>
      <c r="S101" s="872" t="s">
        <v>3485</v>
      </c>
      <c r="T101" s="876" t="s">
        <v>1934</v>
      </c>
      <c r="U101" s="876" t="s">
        <v>2029</v>
      </c>
      <c r="V101" s="876" t="s">
        <v>2034</v>
      </c>
      <c r="W101" s="873"/>
      <c r="AB101" s="826"/>
      <c r="AC101" s="902"/>
      <c r="AD101" s="903" t="s">
        <v>3803</v>
      </c>
      <c r="AE101" s="904">
        <v>3</v>
      </c>
      <c r="AF101" s="904">
        <v>105</v>
      </c>
      <c r="AG101" s="920" t="s">
        <v>3804</v>
      </c>
      <c r="AH101" s="906" t="s">
        <v>3805</v>
      </c>
      <c r="AI101" s="892" t="s">
        <v>3806</v>
      </c>
      <c r="AJ101" s="887"/>
      <c r="AO101" s="1379"/>
      <c r="AP101" s="1379"/>
    </row>
    <row r="102" spans="1:42" s="815" customFormat="1" ht="18" customHeight="1" x14ac:dyDescent="0.2">
      <c r="A102" s="872" t="s">
        <v>3875</v>
      </c>
      <c r="B102" s="873">
        <v>2</v>
      </c>
      <c r="C102" s="873">
        <v>4</v>
      </c>
      <c r="D102" s="873">
        <v>5</v>
      </c>
      <c r="E102" s="873">
        <v>1</v>
      </c>
      <c r="F102" s="873">
        <v>2</v>
      </c>
      <c r="G102" s="873">
        <v>4</v>
      </c>
      <c r="H102" s="873">
        <v>1</v>
      </c>
      <c r="I102" s="874" t="s">
        <v>3436</v>
      </c>
      <c r="J102" s="874" t="s">
        <v>1890</v>
      </c>
      <c r="K102" s="873" t="s">
        <v>1690</v>
      </c>
      <c r="L102" s="875" t="s">
        <v>1685</v>
      </c>
      <c r="M102" s="872" t="s">
        <v>3484</v>
      </c>
      <c r="N102" s="875" t="s">
        <v>1695</v>
      </c>
      <c r="O102" s="872" t="s">
        <v>3484</v>
      </c>
      <c r="P102" s="875" t="s">
        <v>1703</v>
      </c>
      <c r="Q102" s="872" t="s">
        <v>3484</v>
      </c>
      <c r="R102" s="875" t="s">
        <v>1704</v>
      </c>
      <c r="S102" s="872" t="s">
        <v>3485</v>
      </c>
      <c r="T102" s="876" t="s">
        <v>1934</v>
      </c>
      <c r="U102" s="876" t="s">
        <v>2029</v>
      </c>
      <c r="V102" s="876" t="s">
        <v>2034</v>
      </c>
      <c r="W102" s="873"/>
      <c r="AB102" s="826"/>
      <c r="AC102" s="910"/>
      <c r="AD102" s="911" t="s">
        <v>3808</v>
      </c>
      <c r="AE102" s="916"/>
      <c r="AF102" s="912"/>
      <c r="AG102" s="921"/>
      <c r="AH102" s="914"/>
      <c r="AI102" s="886"/>
      <c r="AJ102" s="887"/>
      <c r="AO102" s="1379"/>
      <c r="AP102" s="1379"/>
    </row>
    <row r="103" spans="1:42" s="815" customFormat="1" ht="18" customHeight="1" x14ac:dyDescent="0.2">
      <c r="A103" s="872" t="s">
        <v>3880</v>
      </c>
      <c r="B103" s="873">
        <v>3</v>
      </c>
      <c r="C103" s="873">
        <v>5</v>
      </c>
      <c r="D103" s="873">
        <v>10</v>
      </c>
      <c r="E103" s="873">
        <v>1</v>
      </c>
      <c r="F103" s="873">
        <v>2</v>
      </c>
      <c r="G103" s="873">
        <v>4</v>
      </c>
      <c r="H103" s="873">
        <v>1</v>
      </c>
      <c r="I103" s="874" t="s">
        <v>3436</v>
      </c>
      <c r="J103" s="874" t="s">
        <v>1890</v>
      </c>
      <c r="K103" s="873" t="s">
        <v>1690</v>
      </c>
      <c r="L103" s="875" t="s">
        <v>1685</v>
      </c>
      <c r="M103" s="872" t="s">
        <v>3484</v>
      </c>
      <c r="N103" s="875" t="s">
        <v>1695</v>
      </c>
      <c r="O103" s="872" t="s">
        <v>3484</v>
      </c>
      <c r="P103" s="875" t="s">
        <v>1703</v>
      </c>
      <c r="Q103" s="872" t="s">
        <v>3484</v>
      </c>
      <c r="R103" s="875" t="s">
        <v>1704</v>
      </c>
      <c r="S103" s="872" t="s">
        <v>3485</v>
      </c>
      <c r="T103" s="876" t="s">
        <v>1934</v>
      </c>
      <c r="U103" s="876" t="s">
        <v>2029</v>
      </c>
      <c r="V103" s="876" t="s">
        <v>2034</v>
      </c>
      <c r="W103" s="873"/>
      <c r="AB103" s="826"/>
      <c r="AC103" s="902"/>
      <c r="AD103" s="903" t="s">
        <v>3810</v>
      </c>
      <c r="AE103" s="904">
        <v>1</v>
      </c>
      <c r="AF103" s="904">
        <v>30</v>
      </c>
      <c r="AG103" s="920" t="s">
        <v>3811</v>
      </c>
      <c r="AH103" s="906" t="s">
        <v>3812</v>
      </c>
      <c r="AI103" s="892"/>
      <c r="AJ103" s="887"/>
      <c r="AO103" s="1379"/>
      <c r="AP103" s="1379"/>
    </row>
    <row r="104" spans="1:42" s="815" customFormat="1" ht="18" customHeight="1" x14ac:dyDescent="0.2">
      <c r="A104" s="872" t="s">
        <v>3885</v>
      </c>
      <c r="B104" s="873">
        <v>4</v>
      </c>
      <c r="C104" s="873">
        <v>6</v>
      </c>
      <c r="D104" s="873">
        <v>10</v>
      </c>
      <c r="E104" s="873">
        <v>2</v>
      </c>
      <c r="F104" s="873">
        <v>4</v>
      </c>
      <c r="G104" s="873">
        <v>7</v>
      </c>
      <c r="H104" s="873">
        <v>1</v>
      </c>
      <c r="I104" s="874" t="s">
        <v>3436</v>
      </c>
      <c r="J104" s="874" t="s">
        <v>1890</v>
      </c>
      <c r="K104" s="873" t="s">
        <v>1690</v>
      </c>
      <c r="L104" s="875" t="s">
        <v>1685</v>
      </c>
      <c r="M104" s="872" t="s">
        <v>3484</v>
      </c>
      <c r="N104" s="875" t="s">
        <v>1695</v>
      </c>
      <c r="O104" s="872" t="s">
        <v>3484</v>
      </c>
      <c r="P104" s="875" t="s">
        <v>1703</v>
      </c>
      <c r="Q104" s="872" t="s">
        <v>3484</v>
      </c>
      <c r="R104" s="875" t="s">
        <v>1704</v>
      </c>
      <c r="S104" s="872" t="s">
        <v>3485</v>
      </c>
      <c r="T104" s="876" t="s">
        <v>1934</v>
      </c>
      <c r="U104" s="876" t="s">
        <v>2029</v>
      </c>
      <c r="V104" s="876" t="s">
        <v>2034</v>
      </c>
      <c r="W104" s="873"/>
      <c r="AB104" s="826"/>
      <c r="AC104" s="902"/>
      <c r="AD104" s="903" t="s">
        <v>3814</v>
      </c>
      <c r="AE104" s="904">
        <v>1</v>
      </c>
      <c r="AF104" s="904">
        <v>30</v>
      </c>
      <c r="AG104" s="920" t="s">
        <v>3815</v>
      </c>
      <c r="AH104" s="906" t="s">
        <v>3816</v>
      </c>
      <c r="AI104" s="892"/>
      <c r="AJ104" s="887"/>
      <c r="AO104" s="1379"/>
      <c r="AP104" s="1379"/>
    </row>
    <row r="105" spans="1:42" s="815" customFormat="1" ht="18" customHeight="1" x14ac:dyDescent="0.2">
      <c r="A105" s="872" t="s">
        <v>3887</v>
      </c>
      <c r="B105" s="873">
        <v>6</v>
      </c>
      <c r="C105" s="873">
        <v>9</v>
      </c>
      <c r="D105" s="873">
        <v>15</v>
      </c>
      <c r="E105" s="873">
        <v>3</v>
      </c>
      <c r="F105" s="873">
        <v>6</v>
      </c>
      <c r="G105" s="873">
        <v>11</v>
      </c>
      <c r="H105" s="873">
        <v>1</v>
      </c>
      <c r="I105" s="874" t="s">
        <v>3436</v>
      </c>
      <c r="J105" s="874" t="s">
        <v>1890</v>
      </c>
      <c r="K105" s="873" t="s">
        <v>1690</v>
      </c>
      <c r="L105" s="875" t="s">
        <v>1685</v>
      </c>
      <c r="M105" s="872" t="s">
        <v>3484</v>
      </c>
      <c r="N105" s="875" t="s">
        <v>1695</v>
      </c>
      <c r="O105" s="872" t="s">
        <v>3484</v>
      </c>
      <c r="P105" s="875" t="s">
        <v>1703</v>
      </c>
      <c r="Q105" s="872" t="s">
        <v>3484</v>
      </c>
      <c r="R105" s="875" t="s">
        <v>1704</v>
      </c>
      <c r="S105" s="872" t="s">
        <v>3485</v>
      </c>
      <c r="T105" s="876" t="s">
        <v>1934</v>
      </c>
      <c r="U105" s="876" t="s">
        <v>2029</v>
      </c>
      <c r="V105" s="876" t="s">
        <v>2034</v>
      </c>
      <c r="W105" s="873"/>
      <c r="AB105" s="826"/>
      <c r="AC105" s="902"/>
      <c r="AD105" s="903" t="s">
        <v>3818</v>
      </c>
      <c r="AE105" s="904">
        <v>2</v>
      </c>
      <c r="AF105" s="904">
        <v>70</v>
      </c>
      <c r="AG105" s="920" t="s">
        <v>3819</v>
      </c>
      <c r="AH105" s="906" t="s">
        <v>3820</v>
      </c>
      <c r="AI105" s="892"/>
      <c r="AJ105" s="887"/>
      <c r="AO105" s="1379"/>
      <c r="AP105" s="1379"/>
    </row>
    <row r="106" spans="1:42" s="815" customFormat="1" ht="18" customHeight="1" x14ac:dyDescent="0.2">
      <c r="A106" s="872" t="s">
        <v>3891</v>
      </c>
      <c r="B106" s="873">
        <v>8</v>
      </c>
      <c r="C106" s="873">
        <v>11</v>
      </c>
      <c r="D106" s="873">
        <v>20</v>
      </c>
      <c r="E106" s="873">
        <v>4</v>
      </c>
      <c r="F106" s="873">
        <v>8</v>
      </c>
      <c r="G106" s="873">
        <v>14</v>
      </c>
      <c r="H106" s="873">
        <v>1</v>
      </c>
      <c r="I106" s="874" t="s">
        <v>3436</v>
      </c>
      <c r="J106" s="874" t="s">
        <v>1890</v>
      </c>
      <c r="K106" s="873" t="s">
        <v>1690</v>
      </c>
      <c r="L106" s="875" t="s">
        <v>1685</v>
      </c>
      <c r="M106" s="872" t="s">
        <v>3484</v>
      </c>
      <c r="N106" s="875" t="s">
        <v>1695</v>
      </c>
      <c r="O106" s="872" t="s">
        <v>3484</v>
      </c>
      <c r="P106" s="875" t="s">
        <v>1703</v>
      </c>
      <c r="Q106" s="872" t="s">
        <v>3484</v>
      </c>
      <c r="R106" s="875" t="s">
        <v>1704</v>
      </c>
      <c r="S106" s="872" t="s">
        <v>3485</v>
      </c>
      <c r="T106" s="876" t="s">
        <v>1934</v>
      </c>
      <c r="U106" s="876" t="s">
        <v>2029</v>
      </c>
      <c r="V106" s="876" t="s">
        <v>2034</v>
      </c>
      <c r="W106" s="873"/>
      <c r="AB106" s="826"/>
      <c r="AC106" s="902"/>
      <c r="AD106" s="903" t="s">
        <v>3822</v>
      </c>
      <c r="AE106" s="904">
        <v>2</v>
      </c>
      <c r="AF106" s="904">
        <v>60</v>
      </c>
      <c r="AG106" s="920" t="s">
        <v>3823</v>
      </c>
      <c r="AH106" s="906" t="s">
        <v>3824</v>
      </c>
      <c r="AI106" s="892" t="s">
        <v>3825</v>
      </c>
      <c r="AJ106" s="887"/>
      <c r="AO106" s="1379"/>
      <c r="AP106" s="1379"/>
    </row>
    <row r="107" spans="1:42" s="815" customFormat="1" ht="18" customHeight="1" x14ac:dyDescent="0.2">
      <c r="A107" s="872" t="s">
        <v>3895</v>
      </c>
      <c r="B107" s="873">
        <v>10</v>
      </c>
      <c r="C107" s="873">
        <v>13</v>
      </c>
      <c r="D107" s="873">
        <v>25</v>
      </c>
      <c r="E107" s="873">
        <v>6</v>
      </c>
      <c r="F107" s="873">
        <v>12</v>
      </c>
      <c r="G107" s="873">
        <v>21</v>
      </c>
      <c r="H107" s="873">
        <v>1</v>
      </c>
      <c r="I107" s="874" t="s">
        <v>3436</v>
      </c>
      <c r="J107" s="874" t="s">
        <v>1890</v>
      </c>
      <c r="K107" s="873" t="s">
        <v>1690</v>
      </c>
      <c r="L107" s="875" t="s">
        <v>1685</v>
      </c>
      <c r="M107" s="872" t="s">
        <v>3484</v>
      </c>
      <c r="N107" s="875" t="s">
        <v>1695</v>
      </c>
      <c r="O107" s="872" t="s">
        <v>3484</v>
      </c>
      <c r="P107" s="875" t="s">
        <v>1703</v>
      </c>
      <c r="Q107" s="872" t="s">
        <v>3484</v>
      </c>
      <c r="R107" s="875" t="s">
        <v>1704</v>
      </c>
      <c r="S107" s="872" t="s">
        <v>3485</v>
      </c>
      <c r="T107" s="876" t="s">
        <v>1934</v>
      </c>
      <c r="U107" s="876" t="s">
        <v>2029</v>
      </c>
      <c r="V107" s="876" t="s">
        <v>2034</v>
      </c>
      <c r="W107" s="873"/>
      <c r="AB107" s="826"/>
      <c r="AC107" s="902"/>
      <c r="AD107" s="903" t="s">
        <v>3827</v>
      </c>
      <c r="AE107" s="904">
        <v>3</v>
      </c>
      <c r="AF107" s="904">
        <v>115</v>
      </c>
      <c r="AG107" s="920" t="s">
        <v>3828</v>
      </c>
      <c r="AH107" s="906" t="s">
        <v>3829</v>
      </c>
      <c r="AI107" s="892"/>
      <c r="AJ107" s="887"/>
      <c r="AO107" s="1379"/>
      <c r="AP107" s="1379"/>
    </row>
    <row r="108" spans="1:42" s="815" customFormat="1" ht="18" customHeight="1" x14ac:dyDescent="0.2">
      <c r="A108" s="872" t="s">
        <v>3898</v>
      </c>
      <c r="B108" s="873">
        <v>12</v>
      </c>
      <c r="C108" s="873">
        <v>15</v>
      </c>
      <c r="D108" s="873">
        <v>30</v>
      </c>
      <c r="E108" s="873">
        <v>8</v>
      </c>
      <c r="F108" s="873">
        <v>16</v>
      </c>
      <c r="G108" s="873">
        <v>28</v>
      </c>
      <c r="H108" s="873">
        <v>2</v>
      </c>
      <c r="I108" s="874" t="s">
        <v>3436</v>
      </c>
      <c r="J108" s="874" t="s">
        <v>1890</v>
      </c>
      <c r="K108" s="873" t="s">
        <v>1690</v>
      </c>
      <c r="L108" s="875" t="s">
        <v>1685</v>
      </c>
      <c r="M108" s="872" t="s">
        <v>3484</v>
      </c>
      <c r="N108" s="875" t="s">
        <v>1695</v>
      </c>
      <c r="O108" s="872" t="s">
        <v>3484</v>
      </c>
      <c r="P108" s="875" t="s">
        <v>1703</v>
      </c>
      <c r="Q108" s="872" t="s">
        <v>3484</v>
      </c>
      <c r="R108" s="875" t="s">
        <v>1704</v>
      </c>
      <c r="S108" s="872" t="s">
        <v>3485</v>
      </c>
      <c r="T108" s="876" t="s">
        <v>1934</v>
      </c>
      <c r="U108" s="876" t="s">
        <v>2029</v>
      </c>
      <c r="V108" s="876" t="s">
        <v>2034</v>
      </c>
      <c r="W108" s="873"/>
      <c r="AB108" s="826"/>
      <c r="AC108" s="910"/>
      <c r="AD108" s="911" t="s">
        <v>3831</v>
      </c>
      <c r="AE108" s="916"/>
      <c r="AF108" s="912"/>
      <c r="AG108" s="921"/>
      <c r="AH108" s="914"/>
      <c r="AI108" s="886"/>
      <c r="AJ108" s="887"/>
      <c r="AO108" s="1379"/>
      <c r="AP108" s="1379"/>
    </row>
    <row r="109" spans="1:42" s="815" customFormat="1" ht="18" customHeight="1" x14ac:dyDescent="0.2">
      <c r="A109" s="872" t="s">
        <v>3902</v>
      </c>
      <c r="B109" s="873">
        <v>16</v>
      </c>
      <c r="C109" s="873">
        <v>20</v>
      </c>
      <c r="D109" s="873">
        <v>35</v>
      </c>
      <c r="E109" s="873">
        <v>10</v>
      </c>
      <c r="F109" s="873">
        <v>20</v>
      </c>
      <c r="G109" s="873">
        <v>35</v>
      </c>
      <c r="H109" s="873">
        <v>2</v>
      </c>
      <c r="I109" s="874" t="s">
        <v>3436</v>
      </c>
      <c r="J109" s="874" t="s">
        <v>1890</v>
      </c>
      <c r="K109" s="873" t="s">
        <v>1690</v>
      </c>
      <c r="L109" s="875" t="s">
        <v>1685</v>
      </c>
      <c r="M109" s="872" t="s">
        <v>3484</v>
      </c>
      <c r="N109" s="875" t="s">
        <v>1695</v>
      </c>
      <c r="O109" s="872" t="s">
        <v>3484</v>
      </c>
      <c r="P109" s="875" t="s">
        <v>1703</v>
      </c>
      <c r="Q109" s="872" t="s">
        <v>3484</v>
      </c>
      <c r="R109" s="875" t="s">
        <v>1704</v>
      </c>
      <c r="S109" s="872" t="s">
        <v>3485</v>
      </c>
      <c r="T109" s="876" t="s">
        <v>1934</v>
      </c>
      <c r="U109" s="876" t="s">
        <v>2029</v>
      </c>
      <c r="V109" s="876" t="s">
        <v>2034</v>
      </c>
      <c r="W109" s="873"/>
      <c r="AB109" s="826"/>
      <c r="AC109" s="902"/>
      <c r="AD109" s="903" t="s">
        <v>3833</v>
      </c>
      <c r="AE109" s="904">
        <v>1</v>
      </c>
      <c r="AF109" s="904">
        <v>30</v>
      </c>
      <c r="AG109" s="920" t="s">
        <v>3834</v>
      </c>
      <c r="AH109" s="906" t="s">
        <v>3835</v>
      </c>
      <c r="AI109" s="892"/>
      <c r="AJ109" s="887"/>
      <c r="AO109" s="1379"/>
      <c r="AP109" s="1379"/>
    </row>
    <row r="110" spans="1:42" s="815" customFormat="1" ht="18" customHeight="1" x14ac:dyDescent="0.2">
      <c r="A110" s="872" t="s">
        <v>3906</v>
      </c>
      <c r="B110" s="873">
        <v>20</v>
      </c>
      <c r="C110" s="873">
        <v>24</v>
      </c>
      <c r="D110" s="873">
        <v>40</v>
      </c>
      <c r="E110" s="873">
        <v>12</v>
      </c>
      <c r="F110" s="873">
        <v>24</v>
      </c>
      <c r="G110" s="873">
        <v>42</v>
      </c>
      <c r="H110" s="873">
        <v>3</v>
      </c>
      <c r="I110" s="874" t="s">
        <v>3436</v>
      </c>
      <c r="J110" s="874" t="s">
        <v>1890</v>
      </c>
      <c r="K110" s="873" t="s">
        <v>1690</v>
      </c>
      <c r="L110" s="875" t="s">
        <v>1685</v>
      </c>
      <c r="M110" s="872" t="s">
        <v>3484</v>
      </c>
      <c r="N110" s="875" t="s">
        <v>1695</v>
      </c>
      <c r="O110" s="872" t="s">
        <v>3484</v>
      </c>
      <c r="P110" s="875" t="s">
        <v>1703</v>
      </c>
      <c r="Q110" s="872" t="s">
        <v>3484</v>
      </c>
      <c r="R110" s="875" t="s">
        <v>1704</v>
      </c>
      <c r="S110" s="872" t="s">
        <v>3485</v>
      </c>
      <c r="T110" s="876" t="s">
        <v>1934</v>
      </c>
      <c r="U110" s="876" t="s">
        <v>2029</v>
      </c>
      <c r="V110" s="876" t="s">
        <v>2034</v>
      </c>
      <c r="W110" s="873"/>
      <c r="AB110" s="826"/>
      <c r="AC110" s="902"/>
      <c r="AD110" s="903" t="s">
        <v>3836</v>
      </c>
      <c r="AE110" s="904">
        <v>1</v>
      </c>
      <c r="AF110" s="904">
        <v>25</v>
      </c>
      <c r="AG110" s="920" t="s">
        <v>3837</v>
      </c>
      <c r="AH110" s="906" t="s">
        <v>3838</v>
      </c>
      <c r="AI110" s="892" t="s">
        <v>3839</v>
      </c>
      <c r="AJ110" s="887"/>
      <c r="AO110" s="1379"/>
      <c r="AP110" s="1379"/>
    </row>
    <row r="111" spans="1:42" s="815" customFormat="1" ht="18" customHeight="1" x14ac:dyDescent="0.2">
      <c r="A111" s="872" t="s">
        <v>3910</v>
      </c>
      <c r="B111" s="873">
        <v>24</v>
      </c>
      <c r="C111" s="873">
        <v>29</v>
      </c>
      <c r="D111" s="873">
        <v>45</v>
      </c>
      <c r="E111" s="873">
        <v>14</v>
      </c>
      <c r="F111" s="873">
        <v>28</v>
      </c>
      <c r="G111" s="873">
        <v>49</v>
      </c>
      <c r="H111" s="873">
        <v>3</v>
      </c>
      <c r="I111" s="874" t="s">
        <v>3436</v>
      </c>
      <c r="J111" s="874" t="s">
        <v>1890</v>
      </c>
      <c r="K111" s="873" t="s">
        <v>1690</v>
      </c>
      <c r="L111" s="875" t="s">
        <v>1685</v>
      </c>
      <c r="M111" s="872" t="s">
        <v>3484</v>
      </c>
      <c r="N111" s="875" t="s">
        <v>1695</v>
      </c>
      <c r="O111" s="872" t="s">
        <v>3484</v>
      </c>
      <c r="P111" s="875" t="s">
        <v>1703</v>
      </c>
      <c r="Q111" s="872" t="s">
        <v>3484</v>
      </c>
      <c r="R111" s="875" t="s">
        <v>1704</v>
      </c>
      <c r="S111" s="872" t="s">
        <v>3485</v>
      </c>
      <c r="T111" s="876" t="s">
        <v>1934</v>
      </c>
      <c r="U111" s="876" t="s">
        <v>2029</v>
      </c>
      <c r="V111" s="876" t="s">
        <v>2034</v>
      </c>
      <c r="W111" s="873"/>
      <c r="AB111" s="826"/>
      <c r="AC111" s="902"/>
      <c r="AD111" s="903" t="s">
        <v>3841</v>
      </c>
      <c r="AE111" s="904">
        <v>2</v>
      </c>
      <c r="AF111" s="904">
        <v>70</v>
      </c>
      <c r="AG111" s="920" t="s">
        <v>3842</v>
      </c>
      <c r="AH111" s="906" t="s">
        <v>3843</v>
      </c>
      <c r="AI111" s="892" t="s">
        <v>3844</v>
      </c>
      <c r="AJ111" s="887"/>
      <c r="AO111" s="1379"/>
      <c r="AP111" s="1379"/>
    </row>
    <row r="112" spans="1:42" s="815" customFormat="1" ht="18" customHeight="1" x14ac:dyDescent="0.2">
      <c r="A112" s="824" t="s">
        <v>3481</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3846</v>
      </c>
      <c r="AE112" s="904">
        <v>2</v>
      </c>
      <c r="AF112" s="904">
        <v>65</v>
      </c>
      <c r="AG112" s="920" t="s">
        <v>3847</v>
      </c>
      <c r="AH112" s="906" t="s">
        <v>3848</v>
      </c>
      <c r="AI112" s="892" t="s">
        <v>3844</v>
      </c>
      <c r="AJ112" s="887"/>
      <c r="AO112" s="1379"/>
      <c r="AP112" s="1379"/>
    </row>
    <row r="113" spans="1:42" s="815" customFormat="1" ht="18" customHeight="1" x14ac:dyDescent="0.2">
      <c r="A113" s="872" t="s">
        <v>3916</v>
      </c>
      <c r="B113" s="873">
        <v>2</v>
      </c>
      <c r="C113" s="873">
        <v>4</v>
      </c>
      <c r="D113" s="873">
        <v>5</v>
      </c>
      <c r="E113" s="873">
        <v>1</v>
      </c>
      <c r="F113" s="873">
        <v>2</v>
      </c>
      <c r="G113" s="873">
        <v>4</v>
      </c>
      <c r="H113" s="873">
        <v>1</v>
      </c>
      <c r="I113" s="874" t="s">
        <v>3436</v>
      </c>
      <c r="J113" s="874" t="s">
        <v>1890</v>
      </c>
      <c r="K113" s="873" t="s">
        <v>1685</v>
      </c>
      <c r="L113" s="875" t="s">
        <v>1813</v>
      </c>
      <c r="M113" s="872" t="s">
        <v>3484</v>
      </c>
      <c r="N113" s="875" t="s">
        <v>1690</v>
      </c>
      <c r="O113" s="872" t="s">
        <v>3484</v>
      </c>
      <c r="P113" s="875" t="s">
        <v>1703</v>
      </c>
      <c r="Q113" s="872" t="s">
        <v>3484</v>
      </c>
      <c r="R113" s="875" t="s">
        <v>1704</v>
      </c>
      <c r="S113" s="872" t="s">
        <v>3485</v>
      </c>
      <c r="T113" s="876" t="s">
        <v>1934</v>
      </c>
      <c r="U113" s="876" t="s">
        <v>1931</v>
      </c>
      <c r="V113" s="876" t="s">
        <v>2029</v>
      </c>
      <c r="W113" s="873"/>
      <c r="AB113" s="826"/>
      <c r="AC113" s="902"/>
      <c r="AD113" s="903" t="s">
        <v>3850</v>
      </c>
      <c r="AE113" s="904">
        <v>2</v>
      </c>
      <c r="AF113" s="904">
        <v>100</v>
      </c>
      <c r="AG113" s="920" t="s">
        <v>3851</v>
      </c>
      <c r="AH113" s="906" t="s">
        <v>3852</v>
      </c>
      <c r="AI113" s="892"/>
      <c r="AJ113" s="887"/>
      <c r="AO113" s="1379"/>
      <c r="AP113" s="1379"/>
    </row>
    <row r="114" spans="1:42" s="815" customFormat="1" ht="18" customHeight="1" x14ac:dyDescent="0.2">
      <c r="A114" s="872" t="s">
        <v>3920</v>
      </c>
      <c r="B114" s="873">
        <v>3</v>
      </c>
      <c r="C114" s="873">
        <v>5</v>
      </c>
      <c r="D114" s="873">
        <v>5</v>
      </c>
      <c r="E114" s="873">
        <v>1</v>
      </c>
      <c r="F114" s="873">
        <v>2</v>
      </c>
      <c r="G114" s="873">
        <v>4</v>
      </c>
      <c r="H114" s="873">
        <v>1</v>
      </c>
      <c r="I114" s="874" t="s">
        <v>3436</v>
      </c>
      <c r="J114" s="874" t="s">
        <v>1890</v>
      </c>
      <c r="K114" s="873" t="s">
        <v>1685</v>
      </c>
      <c r="L114" s="875" t="s">
        <v>1813</v>
      </c>
      <c r="M114" s="872" t="s">
        <v>3484</v>
      </c>
      <c r="N114" s="875" t="s">
        <v>1690</v>
      </c>
      <c r="O114" s="872" t="s">
        <v>3484</v>
      </c>
      <c r="P114" s="875" t="s">
        <v>1703</v>
      </c>
      <c r="Q114" s="872" t="s">
        <v>3484</v>
      </c>
      <c r="R114" s="875" t="s">
        <v>1704</v>
      </c>
      <c r="S114" s="872" t="s">
        <v>3485</v>
      </c>
      <c r="T114" s="876" t="s">
        <v>1934</v>
      </c>
      <c r="U114" s="876" t="s">
        <v>1931</v>
      </c>
      <c r="V114" s="876" t="s">
        <v>2029</v>
      </c>
      <c r="W114" s="873"/>
      <c r="AB114" s="826"/>
      <c r="AC114" s="910"/>
      <c r="AD114" s="911" t="s">
        <v>3854</v>
      </c>
      <c r="AE114" s="916"/>
      <c r="AF114" s="912"/>
      <c r="AG114" s="921"/>
      <c r="AH114" s="914"/>
      <c r="AI114" s="886"/>
      <c r="AJ114" s="887"/>
      <c r="AO114" s="1379"/>
      <c r="AP114" s="1379"/>
    </row>
    <row r="115" spans="1:42" s="815" customFormat="1" ht="18" customHeight="1" x14ac:dyDescent="0.2">
      <c r="A115" s="872" t="s">
        <v>3925</v>
      </c>
      <c r="B115" s="873">
        <v>4</v>
      </c>
      <c r="C115" s="873">
        <v>6</v>
      </c>
      <c r="D115" s="873">
        <v>10</v>
      </c>
      <c r="E115" s="873">
        <v>2</v>
      </c>
      <c r="F115" s="873">
        <v>4</v>
      </c>
      <c r="G115" s="873">
        <v>7</v>
      </c>
      <c r="H115" s="873">
        <v>1</v>
      </c>
      <c r="I115" s="874" t="s">
        <v>3436</v>
      </c>
      <c r="J115" s="874" t="s">
        <v>1890</v>
      </c>
      <c r="K115" s="873" t="s">
        <v>1685</v>
      </c>
      <c r="L115" s="875" t="s">
        <v>1813</v>
      </c>
      <c r="M115" s="872" t="s">
        <v>3484</v>
      </c>
      <c r="N115" s="875" t="s">
        <v>1690</v>
      </c>
      <c r="O115" s="872" t="s">
        <v>3484</v>
      </c>
      <c r="P115" s="875" t="s">
        <v>1703</v>
      </c>
      <c r="Q115" s="872" t="s">
        <v>3484</v>
      </c>
      <c r="R115" s="875" t="s">
        <v>1704</v>
      </c>
      <c r="S115" s="872" t="s">
        <v>3485</v>
      </c>
      <c r="T115" s="876" t="s">
        <v>1934</v>
      </c>
      <c r="U115" s="876" t="s">
        <v>1931</v>
      </c>
      <c r="V115" s="876" t="s">
        <v>2029</v>
      </c>
      <c r="W115" s="873"/>
      <c r="AB115" s="826"/>
      <c r="AC115" s="902"/>
      <c r="AD115" s="903" t="s">
        <v>3856</v>
      </c>
      <c r="AE115" s="904">
        <v>1</v>
      </c>
      <c r="AF115" s="904">
        <v>35</v>
      </c>
      <c r="AG115" s="920" t="s">
        <v>3857</v>
      </c>
      <c r="AH115" s="906" t="s">
        <v>3858</v>
      </c>
      <c r="AI115" s="892"/>
      <c r="AJ115" s="887"/>
      <c r="AO115" s="1379"/>
      <c r="AP115" s="1379"/>
    </row>
    <row r="116" spans="1:42" s="815" customFormat="1" ht="18" customHeight="1" x14ac:dyDescent="0.2">
      <c r="A116" s="872" t="s">
        <v>3930</v>
      </c>
      <c r="B116" s="873">
        <v>5</v>
      </c>
      <c r="C116" s="873">
        <v>8</v>
      </c>
      <c r="D116" s="873">
        <v>15</v>
      </c>
      <c r="E116" s="873">
        <v>3</v>
      </c>
      <c r="F116" s="873">
        <v>6</v>
      </c>
      <c r="G116" s="873">
        <v>11</v>
      </c>
      <c r="H116" s="873">
        <v>1</v>
      </c>
      <c r="I116" s="874" t="s">
        <v>3436</v>
      </c>
      <c r="J116" s="874" t="s">
        <v>1890</v>
      </c>
      <c r="K116" s="873" t="s">
        <v>1685</v>
      </c>
      <c r="L116" s="875" t="s">
        <v>1813</v>
      </c>
      <c r="M116" s="872" t="s">
        <v>3484</v>
      </c>
      <c r="N116" s="875" t="s">
        <v>1690</v>
      </c>
      <c r="O116" s="872" t="s">
        <v>3484</v>
      </c>
      <c r="P116" s="875" t="s">
        <v>1703</v>
      </c>
      <c r="Q116" s="872" t="s">
        <v>3484</v>
      </c>
      <c r="R116" s="875" t="s">
        <v>1704</v>
      </c>
      <c r="S116" s="872" t="s">
        <v>3485</v>
      </c>
      <c r="T116" s="876" t="s">
        <v>1934</v>
      </c>
      <c r="U116" s="876" t="s">
        <v>1931</v>
      </c>
      <c r="V116" s="876" t="s">
        <v>2029</v>
      </c>
      <c r="W116" s="873"/>
      <c r="AB116" s="826"/>
      <c r="AC116" s="902"/>
      <c r="AD116" s="903" t="s">
        <v>3860</v>
      </c>
      <c r="AE116" s="904">
        <v>1</v>
      </c>
      <c r="AF116" s="904">
        <v>45</v>
      </c>
      <c r="AG116" s="920" t="s">
        <v>3861</v>
      </c>
      <c r="AH116" s="906" t="s">
        <v>3862</v>
      </c>
      <c r="AI116" s="892" t="s">
        <v>3863</v>
      </c>
      <c r="AJ116" s="887"/>
      <c r="AO116" s="1379"/>
      <c r="AP116" s="1379"/>
    </row>
    <row r="117" spans="1:42" s="815" customFormat="1" ht="18" customHeight="1" x14ac:dyDescent="0.2">
      <c r="A117" s="872" t="s">
        <v>3934</v>
      </c>
      <c r="B117" s="873">
        <v>8</v>
      </c>
      <c r="C117" s="873">
        <v>11</v>
      </c>
      <c r="D117" s="873">
        <v>20</v>
      </c>
      <c r="E117" s="873">
        <v>4</v>
      </c>
      <c r="F117" s="873">
        <v>8</v>
      </c>
      <c r="G117" s="873">
        <v>14</v>
      </c>
      <c r="H117" s="873">
        <v>1</v>
      </c>
      <c r="I117" s="874" t="s">
        <v>3436</v>
      </c>
      <c r="J117" s="874" t="s">
        <v>1890</v>
      </c>
      <c r="K117" s="873" t="s">
        <v>1685</v>
      </c>
      <c r="L117" s="875" t="s">
        <v>1813</v>
      </c>
      <c r="M117" s="872" t="s">
        <v>3484</v>
      </c>
      <c r="N117" s="875" t="s">
        <v>1690</v>
      </c>
      <c r="O117" s="872" t="s">
        <v>3484</v>
      </c>
      <c r="P117" s="875" t="s">
        <v>1703</v>
      </c>
      <c r="Q117" s="872" t="s">
        <v>3484</v>
      </c>
      <c r="R117" s="875" t="s">
        <v>1704</v>
      </c>
      <c r="S117" s="872" t="s">
        <v>3485</v>
      </c>
      <c r="T117" s="876" t="s">
        <v>1934</v>
      </c>
      <c r="U117" s="876" t="s">
        <v>1931</v>
      </c>
      <c r="V117" s="876" t="s">
        <v>2029</v>
      </c>
      <c r="W117" s="873"/>
      <c r="AB117" s="826"/>
      <c r="AC117" s="902"/>
      <c r="AD117" s="903" t="s">
        <v>3865</v>
      </c>
      <c r="AE117" s="904">
        <v>1</v>
      </c>
      <c r="AF117" s="904">
        <v>25</v>
      </c>
      <c r="AG117" s="920" t="s">
        <v>3866</v>
      </c>
      <c r="AH117" s="906" t="s">
        <v>3867</v>
      </c>
      <c r="AI117" s="892" t="s">
        <v>3863</v>
      </c>
      <c r="AJ117" s="887"/>
      <c r="AO117" s="1379"/>
      <c r="AP117" s="1379"/>
    </row>
    <row r="118" spans="1:42" s="815" customFormat="1" ht="18" customHeight="1" x14ac:dyDescent="0.2">
      <c r="A118" s="872" t="s">
        <v>3938</v>
      </c>
      <c r="B118" s="873">
        <v>12</v>
      </c>
      <c r="C118" s="873">
        <v>15</v>
      </c>
      <c r="D118" s="873">
        <v>25</v>
      </c>
      <c r="E118" s="873">
        <v>5</v>
      </c>
      <c r="F118" s="873">
        <v>10</v>
      </c>
      <c r="G118" s="873">
        <v>18</v>
      </c>
      <c r="H118" s="873">
        <v>1</v>
      </c>
      <c r="I118" s="874" t="s">
        <v>3436</v>
      </c>
      <c r="J118" s="874" t="s">
        <v>1890</v>
      </c>
      <c r="K118" s="873" t="s">
        <v>1685</v>
      </c>
      <c r="L118" s="875" t="s">
        <v>1813</v>
      </c>
      <c r="M118" s="872" t="s">
        <v>3484</v>
      </c>
      <c r="N118" s="875" t="s">
        <v>1690</v>
      </c>
      <c r="O118" s="872" t="s">
        <v>3484</v>
      </c>
      <c r="P118" s="875" t="s">
        <v>1703</v>
      </c>
      <c r="Q118" s="872" t="s">
        <v>3484</v>
      </c>
      <c r="R118" s="875" t="s">
        <v>1704</v>
      </c>
      <c r="S118" s="872" t="s">
        <v>3485</v>
      </c>
      <c r="T118" s="876" t="s">
        <v>1934</v>
      </c>
      <c r="U118" s="876" t="s">
        <v>1931</v>
      </c>
      <c r="V118" s="876" t="s">
        <v>2029</v>
      </c>
      <c r="W118" s="873"/>
      <c r="AB118" s="826"/>
      <c r="AC118" s="902"/>
      <c r="AD118" s="903" t="s">
        <v>3868</v>
      </c>
      <c r="AE118" s="904">
        <v>1</v>
      </c>
      <c r="AF118" s="904">
        <v>30</v>
      </c>
      <c r="AG118" s="920" t="s">
        <v>3866</v>
      </c>
      <c r="AH118" s="906" t="s">
        <v>3869</v>
      </c>
      <c r="AI118" s="892" t="s">
        <v>3870</v>
      </c>
      <c r="AJ118" s="887"/>
      <c r="AO118" s="1379"/>
      <c r="AP118" s="1379"/>
    </row>
    <row r="119" spans="1:42" s="815" customFormat="1" ht="18" customHeight="1" x14ac:dyDescent="0.2">
      <c r="A119" s="872" t="s">
        <v>3940</v>
      </c>
      <c r="B119" s="873">
        <v>14</v>
      </c>
      <c r="C119" s="873">
        <v>18</v>
      </c>
      <c r="D119" s="873">
        <v>30</v>
      </c>
      <c r="E119" s="873">
        <v>8</v>
      </c>
      <c r="F119" s="873">
        <v>16</v>
      </c>
      <c r="G119" s="873">
        <v>28</v>
      </c>
      <c r="H119" s="873">
        <v>1</v>
      </c>
      <c r="I119" s="874" t="s">
        <v>3436</v>
      </c>
      <c r="J119" s="874" t="s">
        <v>1890</v>
      </c>
      <c r="K119" s="873" t="s">
        <v>1685</v>
      </c>
      <c r="L119" s="875" t="s">
        <v>1813</v>
      </c>
      <c r="M119" s="872" t="s">
        <v>3484</v>
      </c>
      <c r="N119" s="875" t="s">
        <v>1690</v>
      </c>
      <c r="O119" s="872" t="s">
        <v>3484</v>
      </c>
      <c r="P119" s="875" t="s">
        <v>1703</v>
      </c>
      <c r="Q119" s="872" t="s">
        <v>3484</v>
      </c>
      <c r="R119" s="875" t="s">
        <v>1704</v>
      </c>
      <c r="S119" s="872" t="s">
        <v>3485</v>
      </c>
      <c r="T119" s="876" t="s">
        <v>1934</v>
      </c>
      <c r="U119" s="876" t="s">
        <v>1931</v>
      </c>
      <c r="V119" s="876" t="s">
        <v>2029</v>
      </c>
      <c r="W119" s="873"/>
      <c r="AB119" s="826"/>
      <c r="AC119" s="902"/>
      <c r="AD119" s="903" t="s">
        <v>3872</v>
      </c>
      <c r="AE119" s="904">
        <v>2</v>
      </c>
      <c r="AF119" s="904">
        <v>85</v>
      </c>
      <c r="AG119" s="920" t="s">
        <v>3873</v>
      </c>
      <c r="AH119" s="906" t="s">
        <v>3874</v>
      </c>
      <c r="AI119" s="892" t="s">
        <v>3863</v>
      </c>
      <c r="AJ119" s="887"/>
      <c r="AO119" s="1379"/>
      <c r="AP119" s="1379"/>
    </row>
    <row r="120" spans="1:42" s="815" customFormat="1" ht="18" customHeight="1" x14ac:dyDescent="0.2">
      <c r="A120" s="872" t="s">
        <v>3944</v>
      </c>
      <c r="B120" s="873">
        <v>18</v>
      </c>
      <c r="C120" s="873">
        <v>22</v>
      </c>
      <c r="D120" s="873">
        <v>35</v>
      </c>
      <c r="E120" s="873">
        <v>10</v>
      </c>
      <c r="F120" s="873">
        <v>20</v>
      </c>
      <c r="G120" s="873">
        <v>35</v>
      </c>
      <c r="H120" s="873">
        <v>2</v>
      </c>
      <c r="I120" s="874" t="s">
        <v>3436</v>
      </c>
      <c r="J120" s="874" t="s">
        <v>1890</v>
      </c>
      <c r="K120" s="873" t="s">
        <v>1685</v>
      </c>
      <c r="L120" s="875" t="s">
        <v>1813</v>
      </c>
      <c r="M120" s="872" t="s">
        <v>3484</v>
      </c>
      <c r="N120" s="875" t="s">
        <v>1690</v>
      </c>
      <c r="O120" s="872" t="s">
        <v>3484</v>
      </c>
      <c r="P120" s="875" t="s">
        <v>1703</v>
      </c>
      <c r="Q120" s="872" t="s">
        <v>3484</v>
      </c>
      <c r="R120" s="875" t="s">
        <v>1704</v>
      </c>
      <c r="S120" s="872" t="s">
        <v>3485</v>
      </c>
      <c r="T120" s="876" t="s">
        <v>1934</v>
      </c>
      <c r="U120" s="876" t="s">
        <v>1931</v>
      </c>
      <c r="V120" s="876" t="s">
        <v>2029</v>
      </c>
      <c r="W120" s="873"/>
      <c r="AB120" s="826"/>
      <c r="AC120" s="902"/>
      <c r="AD120" s="903" t="s">
        <v>3876</v>
      </c>
      <c r="AE120" s="904">
        <v>2</v>
      </c>
      <c r="AF120" s="904">
        <v>65</v>
      </c>
      <c r="AG120" s="920" t="s">
        <v>3877</v>
      </c>
      <c r="AH120" s="906" t="s">
        <v>3878</v>
      </c>
      <c r="AI120" s="892" t="s">
        <v>3879</v>
      </c>
      <c r="AJ120" s="887"/>
      <c r="AO120" s="1379"/>
      <c r="AP120" s="1379"/>
    </row>
    <row r="121" spans="1:42" s="815" customFormat="1" ht="18" customHeight="1" x14ac:dyDescent="0.2">
      <c r="A121" s="872" t="s">
        <v>3948</v>
      </c>
      <c r="B121" s="873">
        <v>22</v>
      </c>
      <c r="C121" s="873">
        <v>26</v>
      </c>
      <c r="D121" s="873">
        <v>40</v>
      </c>
      <c r="E121" s="873">
        <v>12</v>
      </c>
      <c r="F121" s="873">
        <v>24</v>
      </c>
      <c r="G121" s="873">
        <v>42</v>
      </c>
      <c r="H121" s="873">
        <v>2</v>
      </c>
      <c r="I121" s="874" t="s">
        <v>3436</v>
      </c>
      <c r="J121" s="874" t="s">
        <v>1890</v>
      </c>
      <c r="K121" s="873" t="s">
        <v>1685</v>
      </c>
      <c r="L121" s="875" t="s">
        <v>1813</v>
      </c>
      <c r="M121" s="872" t="s">
        <v>3484</v>
      </c>
      <c r="N121" s="875" t="s">
        <v>1690</v>
      </c>
      <c r="O121" s="872" t="s">
        <v>3484</v>
      </c>
      <c r="P121" s="875" t="s">
        <v>1703</v>
      </c>
      <c r="Q121" s="872" t="s">
        <v>3484</v>
      </c>
      <c r="R121" s="875" t="s">
        <v>1704</v>
      </c>
      <c r="S121" s="872" t="s">
        <v>3485</v>
      </c>
      <c r="T121" s="876" t="s">
        <v>1934</v>
      </c>
      <c r="U121" s="876" t="s">
        <v>1931</v>
      </c>
      <c r="V121" s="876" t="s">
        <v>2029</v>
      </c>
      <c r="W121" s="873"/>
      <c r="AB121" s="826"/>
      <c r="AC121" s="902"/>
      <c r="AD121" s="903" t="s">
        <v>3881</v>
      </c>
      <c r="AE121" s="904">
        <v>3</v>
      </c>
      <c r="AF121" s="904">
        <v>90</v>
      </c>
      <c r="AG121" s="920" t="s">
        <v>3882</v>
      </c>
      <c r="AH121" s="906" t="s">
        <v>3883</v>
      </c>
      <c r="AI121" s="892" t="s">
        <v>3884</v>
      </c>
      <c r="AJ121" s="887"/>
      <c r="AO121" s="1379"/>
      <c r="AP121" s="1379"/>
    </row>
    <row r="122" spans="1:42" s="815" customFormat="1" ht="18" customHeight="1" x14ac:dyDescent="0.2">
      <c r="A122" s="872" t="s">
        <v>3952</v>
      </c>
      <c r="B122" s="873">
        <v>26</v>
      </c>
      <c r="C122" s="873">
        <v>32</v>
      </c>
      <c r="D122" s="873">
        <v>45</v>
      </c>
      <c r="E122" s="873">
        <v>14</v>
      </c>
      <c r="F122" s="873">
        <v>28</v>
      </c>
      <c r="G122" s="873">
        <v>49</v>
      </c>
      <c r="H122" s="873">
        <v>3</v>
      </c>
      <c r="I122" s="874" t="s">
        <v>3436</v>
      </c>
      <c r="J122" s="874" t="s">
        <v>1890</v>
      </c>
      <c r="K122" s="873" t="s">
        <v>1685</v>
      </c>
      <c r="L122" s="875" t="s">
        <v>1813</v>
      </c>
      <c r="M122" s="872" t="s">
        <v>3484</v>
      </c>
      <c r="N122" s="875" t="s">
        <v>1690</v>
      </c>
      <c r="O122" s="872" t="s">
        <v>3484</v>
      </c>
      <c r="P122" s="875" t="s">
        <v>1703</v>
      </c>
      <c r="Q122" s="872" t="s">
        <v>3484</v>
      </c>
      <c r="R122" s="875" t="s">
        <v>1704</v>
      </c>
      <c r="S122" s="872" t="s">
        <v>3485</v>
      </c>
      <c r="T122" s="876" t="s">
        <v>1934</v>
      </c>
      <c r="U122" s="876" t="s">
        <v>1931</v>
      </c>
      <c r="V122" s="876" t="s">
        <v>2029</v>
      </c>
      <c r="W122" s="873"/>
      <c r="AB122" s="826"/>
      <c r="AC122" s="910"/>
      <c r="AD122" s="911" t="s">
        <v>3886</v>
      </c>
      <c r="AE122" s="916"/>
      <c r="AF122" s="912"/>
      <c r="AG122" s="921"/>
      <c r="AH122" s="914"/>
      <c r="AI122" s="886"/>
      <c r="AJ122" s="887"/>
      <c r="AO122" s="1379"/>
      <c r="AP122" s="1379"/>
    </row>
    <row r="123" spans="1:42" s="815" customFormat="1" ht="18" customHeight="1" x14ac:dyDescent="0.2">
      <c r="A123" s="872" t="s">
        <v>3956</v>
      </c>
      <c r="B123" s="873">
        <v>30</v>
      </c>
      <c r="C123" s="873">
        <v>36</v>
      </c>
      <c r="D123" s="873">
        <v>50</v>
      </c>
      <c r="E123" s="873">
        <v>16</v>
      </c>
      <c r="F123" s="873">
        <v>32</v>
      </c>
      <c r="G123" s="873">
        <v>56</v>
      </c>
      <c r="H123" s="873">
        <v>3</v>
      </c>
      <c r="I123" s="874" t="s">
        <v>3436</v>
      </c>
      <c r="J123" s="874" t="s">
        <v>1890</v>
      </c>
      <c r="K123" s="873" t="s">
        <v>1685</v>
      </c>
      <c r="L123" s="875" t="s">
        <v>1813</v>
      </c>
      <c r="M123" s="872" t="s">
        <v>3484</v>
      </c>
      <c r="N123" s="875" t="s">
        <v>1690</v>
      </c>
      <c r="O123" s="872" t="s">
        <v>3484</v>
      </c>
      <c r="P123" s="875" t="s">
        <v>1703</v>
      </c>
      <c r="Q123" s="872" t="s">
        <v>3484</v>
      </c>
      <c r="R123" s="875" t="s">
        <v>1704</v>
      </c>
      <c r="S123" s="872" t="s">
        <v>3485</v>
      </c>
      <c r="T123" s="876" t="s">
        <v>1934</v>
      </c>
      <c r="U123" s="876" t="s">
        <v>1931</v>
      </c>
      <c r="V123" s="876" t="s">
        <v>2029</v>
      </c>
      <c r="W123" s="873"/>
      <c r="AB123" s="826"/>
      <c r="AC123" s="902"/>
      <c r="AD123" s="903" t="s">
        <v>3888</v>
      </c>
      <c r="AE123" s="904">
        <v>1</v>
      </c>
      <c r="AF123" s="904">
        <v>20</v>
      </c>
      <c r="AG123" s="920" t="s">
        <v>3889</v>
      </c>
      <c r="AH123" s="906" t="s">
        <v>3890</v>
      </c>
      <c r="AI123" s="892"/>
      <c r="AJ123" s="887"/>
      <c r="AO123" s="1379"/>
      <c r="AP123" s="1379"/>
    </row>
    <row r="124" spans="1:42" s="815" customFormat="1" ht="18" customHeight="1" x14ac:dyDescent="0.2">
      <c r="A124" s="824" t="s">
        <v>3486</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3892</v>
      </c>
      <c r="AE124" s="904">
        <v>1</v>
      </c>
      <c r="AF124" s="904">
        <v>35</v>
      </c>
      <c r="AG124" s="920" t="s">
        <v>3893</v>
      </c>
      <c r="AH124" s="906" t="s">
        <v>3894</v>
      </c>
      <c r="AI124" s="892"/>
      <c r="AJ124" s="887"/>
      <c r="AO124" s="1379"/>
      <c r="AP124" s="1379"/>
    </row>
    <row r="125" spans="1:42" s="815" customFormat="1" ht="18" customHeight="1" x14ac:dyDescent="0.2">
      <c r="A125" s="872" t="s">
        <v>3962</v>
      </c>
      <c r="B125" s="873">
        <v>4</v>
      </c>
      <c r="C125" s="873">
        <v>6</v>
      </c>
      <c r="D125" s="873">
        <v>10</v>
      </c>
      <c r="E125" s="873">
        <v>2</v>
      </c>
      <c r="F125" s="873">
        <v>4</v>
      </c>
      <c r="G125" s="873">
        <v>7</v>
      </c>
      <c r="H125" s="873">
        <v>1</v>
      </c>
      <c r="I125" s="874" t="s">
        <v>3441</v>
      </c>
      <c r="J125" s="874" t="s">
        <v>1890</v>
      </c>
      <c r="K125" s="873" t="s">
        <v>1685</v>
      </c>
      <c r="L125" s="875" t="s">
        <v>1813</v>
      </c>
      <c r="M125" s="872" t="s">
        <v>3484</v>
      </c>
      <c r="N125" s="875" t="s">
        <v>1690</v>
      </c>
      <c r="O125" s="872" t="s">
        <v>3484</v>
      </c>
      <c r="P125" s="875" t="s">
        <v>1703</v>
      </c>
      <c r="Q125" s="872" t="s">
        <v>3484</v>
      </c>
      <c r="R125" s="875" t="s">
        <v>1704</v>
      </c>
      <c r="S125" s="872" t="s">
        <v>3485</v>
      </c>
      <c r="T125" s="876" t="s">
        <v>1934</v>
      </c>
      <c r="U125" s="876" t="s">
        <v>1931</v>
      </c>
      <c r="V125" s="876" t="s">
        <v>2029</v>
      </c>
      <c r="W125" s="873"/>
      <c r="AB125" s="826"/>
      <c r="AC125" s="902"/>
      <c r="AD125" s="903" t="s">
        <v>3896</v>
      </c>
      <c r="AE125" s="904">
        <v>1</v>
      </c>
      <c r="AF125" s="904">
        <v>45</v>
      </c>
      <c r="AG125" s="920" t="s">
        <v>3889</v>
      </c>
      <c r="AH125" s="906" t="s">
        <v>3897</v>
      </c>
      <c r="AI125" s="892"/>
      <c r="AJ125" s="887"/>
      <c r="AO125" s="1379"/>
      <c r="AP125" s="1379"/>
    </row>
    <row r="126" spans="1:42" s="815" customFormat="1" ht="18" customHeight="1" x14ac:dyDescent="0.2">
      <c r="A126" s="872" t="s">
        <v>3966</v>
      </c>
      <c r="B126" s="873">
        <v>6</v>
      </c>
      <c r="C126" s="873">
        <v>9</v>
      </c>
      <c r="D126" s="873">
        <v>15</v>
      </c>
      <c r="E126" s="873">
        <v>4</v>
      </c>
      <c r="F126" s="873">
        <v>8</v>
      </c>
      <c r="G126" s="873">
        <v>14</v>
      </c>
      <c r="H126" s="873">
        <v>1</v>
      </c>
      <c r="I126" s="874" t="s">
        <v>3441</v>
      </c>
      <c r="J126" s="874" t="s">
        <v>1890</v>
      </c>
      <c r="K126" s="873" t="s">
        <v>1685</v>
      </c>
      <c r="L126" s="875" t="s">
        <v>1813</v>
      </c>
      <c r="M126" s="872" t="s">
        <v>3484</v>
      </c>
      <c r="N126" s="875" t="s">
        <v>1690</v>
      </c>
      <c r="O126" s="872" t="s">
        <v>3484</v>
      </c>
      <c r="P126" s="875" t="s">
        <v>1703</v>
      </c>
      <c r="Q126" s="872" t="s">
        <v>3484</v>
      </c>
      <c r="R126" s="875" t="s">
        <v>1704</v>
      </c>
      <c r="S126" s="872" t="s">
        <v>3485</v>
      </c>
      <c r="T126" s="876" t="s">
        <v>1934</v>
      </c>
      <c r="U126" s="876" t="s">
        <v>1931</v>
      </c>
      <c r="V126" s="876" t="s">
        <v>2029</v>
      </c>
      <c r="W126" s="873"/>
      <c r="AB126" s="826"/>
      <c r="AC126" s="902"/>
      <c r="AD126" s="903" t="s">
        <v>3899</v>
      </c>
      <c r="AE126" s="904">
        <v>2</v>
      </c>
      <c r="AF126" s="904">
        <v>55</v>
      </c>
      <c r="AG126" s="920" t="s">
        <v>3900</v>
      </c>
      <c r="AH126" s="906" t="s">
        <v>3901</v>
      </c>
      <c r="AI126" s="892" t="s">
        <v>3825</v>
      </c>
      <c r="AJ126" s="887"/>
      <c r="AO126" s="1379"/>
      <c r="AP126" s="1379"/>
    </row>
    <row r="127" spans="1:42" s="815" customFormat="1" ht="18" customHeight="1" x14ac:dyDescent="0.2">
      <c r="A127" s="872" t="s">
        <v>3970</v>
      </c>
      <c r="B127" s="873">
        <v>9</v>
      </c>
      <c r="C127" s="873">
        <v>12</v>
      </c>
      <c r="D127" s="873">
        <v>20</v>
      </c>
      <c r="E127" s="873">
        <v>6</v>
      </c>
      <c r="F127" s="873">
        <v>12</v>
      </c>
      <c r="G127" s="873">
        <v>21</v>
      </c>
      <c r="H127" s="873">
        <v>1</v>
      </c>
      <c r="I127" s="874" t="s">
        <v>3441</v>
      </c>
      <c r="J127" s="874" t="s">
        <v>1890</v>
      </c>
      <c r="K127" s="873" t="s">
        <v>1685</v>
      </c>
      <c r="L127" s="875" t="s">
        <v>1813</v>
      </c>
      <c r="M127" s="872" t="s">
        <v>3484</v>
      </c>
      <c r="N127" s="875" t="s">
        <v>1690</v>
      </c>
      <c r="O127" s="872" t="s">
        <v>3484</v>
      </c>
      <c r="P127" s="875" t="s">
        <v>1703</v>
      </c>
      <c r="Q127" s="872" t="s">
        <v>3484</v>
      </c>
      <c r="R127" s="875" t="s">
        <v>1704</v>
      </c>
      <c r="S127" s="872" t="s">
        <v>3485</v>
      </c>
      <c r="T127" s="876" t="s">
        <v>1934</v>
      </c>
      <c r="U127" s="876" t="s">
        <v>1931</v>
      </c>
      <c r="V127" s="876" t="s">
        <v>2029</v>
      </c>
      <c r="W127" s="873"/>
      <c r="AB127" s="826"/>
      <c r="AC127" s="902"/>
      <c r="AD127" s="903" t="s">
        <v>3903</v>
      </c>
      <c r="AE127" s="904">
        <v>2</v>
      </c>
      <c r="AF127" s="904">
        <v>90</v>
      </c>
      <c r="AG127" s="920" t="s">
        <v>3904</v>
      </c>
      <c r="AH127" s="906" t="s">
        <v>3905</v>
      </c>
      <c r="AI127" s="892"/>
      <c r="AJ127" s="887"/>
      <c r="AO127" s="1379"/>
      <c r="AP127" s="1379"/>
    </row>
    <row r="128" spans="1:42" s="815" customFormat="1" ht="18" customHeight="1" x14ac:dyDescent="0.2">
      <c r="A128" s="872" t="s">
        <v>3974</v>
      </c>
      <c r="B128" s="873">
        <v>12</v>
      </c>
      <c r="C128" s="873">
        <v>15</v>
      </c>
      <c r="D128" s="873">
        <v>35</v>
      </c>
      <c r="E128" s="873">
        <v>9</v>
      </c>
      <c r="F128" s="873">
        <v>18</v>
      </c>
      <c r="G128" s="873">
        <v>32</v>
      </c>
      <c r="H128" s="873">
        <v>2</v>
      </c>
      <c r="I128" s="874" t="s">
        <v>3441</v>
      </c>
      <c r="J128" s="874" t="s">
        <v>1890</v>
      </c>
      <c r="K128" s="873" t="s">
        <v>1685</v>
      </c>
      <c r="L128" s="875" t="s">
        <v>1813</v>
      </c>
      <c r="M128" s="872" t="s">
        <v>3484</v>
      </c>
      <c r="N128" s="875" t="s">
        <v>1690</v>
      </c>
      <c r="O128" s="872" t="s">
        <v>3484</v>
      </c>
      <c r="P128" s="875" t="s">
        <v>1703</v>
      </c>
      <c r="Q128" s="872" t="s">
        <v>3484</v>
      </c>
      <c r="R128" s="875" t="s">
        <v>1704</v>
      </c>
      <c r="S128" s="872" t="s">
        <v>3485</v>
      </c>
      <c r="T128" s="876" t="s">
        <v>1934</v>
      </c>
      <c r="U128" s="876" t="s">
        <v>1931</v>
      </c>
      <c r="V128" s="876" t="s">
        <v>2029</v>
      </c>
      <c r="W128" s="873"/>
      <c r="AB128" s="826"/>
      <c r="AC128" s="902"/>
      <c r="AD128" s="903" t="s">
        <v>3907</v>
      </c>
      <c r="AE128" s="904">
        <v>3</v>
      </c>
      <c r="AF128" s="904">
        <v>95</v>
      </c>
      <c r="AG128" s="920" t="s">
        <v>3908</v>
      </c>
      <c r="AH128" s="906" t="s">
        <v>3909</v>
      </c>
      <c r="AI128" s="892"/>
      <c r="AJ128" s="887"/>
      <c r="AO128" s="1379"/>
      <c r="AP128" s="1379"/>
    </row>
    <row r="129" spans="1:42" s="815" customFormat="1" ht="18" customHeight="1" x14ac:dyDescent="0.2">
      <c r="A129" s="872" t="s">
        <v>3976</v>
      </c>
      <c r="B129" s="873">
        <v>18</v>
      </c>
      <c r="C129" s="873">
        <v>22</v>
      </c>
      <c r="D129" s="873">
        <v>50</v>
      </c>
      <c r="E129" s="873">
        <v>12</v>
      </c>
      <c r="F129" s="873">
        <v>24</v>
      </c>
      <c r="G129" s="873">
        <v>42</v>
      </c>
      <c r="H129" s="873">
        <v>2</v>
      </c>
      <c r="I129" s="874" t="s">
        <v>3441</v>
      </c>
      <c r="J129" s="874" t="s">
        <v>1890</v>
      </c>
      <c r="K129" s="873" t="s">
        <v>1685</v>
      </c>
      <c r="L129" s="875" t="s">
        <v>1813</v>
      </c>
      <c r="M129" s="872" t="s">
        <v>3484</v>
      </c>
      <c r="N129" s="875" t="s">
        <v>1690</v>
      </c>
      <c r="O129" s="872" t="s">
        <v>3484</v>
      </c>
      <c r="P129" s="875" t="s">
        <v>1703</v>
      </c>
      <c r="Q129" s="872" t="s">
        <v>3484</v>
      </c>
      <c r="R129" s="875" t="s">
        <v>1704</v>
      </c>
      <c r="S129" s="872" t="s">
        <v>3485</v>
      </c>
      <c r="T129" s="876" t="s">
        <v>1934</v>
      </c>
      <c r="U129" s="876" t="s">
        <v>1931</v>
      </c>
      <c r="V129" s="876" t="s">
        <v>2029</v>
      </c>
      <c r="W129" s="873"/>
      <c r="AB129" s="826"/>
      <c r="AC129" s="910"/>
      <c r="AD129" s="911" t="s">
        <v>3911</v>
      </c>
      <c r="AE129" s="916"/>
      <c r="AF129" s="912"/>
      <c r="AG129" s="921"/>
      <c r="AH129" s="914"/>
      <c r="AI129" s="886"/>
      <c r="AJ129" s="887"/>
      <c r="AO129" s="1379"/>
      <c r="AP129" s="1379"/>
    </row>
    <row r="130" spans="1:42" s="815" customFormat="1" ht="18" customHeight="1" x14ac:dyDescent="0.2">
      <c r="A130" s="872" t="s">
        <v>3981</v>
      </c>
      <c r="B130" s="873">
        <v>26</v>
      </c>
      <c r="C130" s="873">
        <v>32</v>
      </c>
      <c r="D130" s="873">
        <v>65</v>
      </c>
      <c r="E130" s="873">
        <v>15</v>
      </c>
      <c r="F130" s="873">
        <v>30</v>
      </c>
      <c r="G130" s="873">
        <v>53</v>
      </c>
      <c r="H130" s="873">
        <v>3</v>
      </c>
      <c r="I130" s="874" t="s">
        <v>3441</v>
      </c>
      <c r="J130" s="874" t="s">
        <v>1890</v>
      </c>
      <c r="K130" s="873" t="s">
        <v>1685</v>
      </c>
      <c r="L130" s="875" t="s">
        <v>1813</v>
      </c>
      <c r="M130" s="872" t="s">
        <v>3484</v>
      </c>
      <c r="N130" s="875" t="s">
        <v>1690</v>
      </c>
      <c r="O130" s="872" t="s">
        <v>3484</v>
      </c>
      <c r="P130" s="875" t="s">
        <v>1703</v>
      </c>
      <c r="Q130" s="872" t="s">
        <v>3484</v>
      </c>
      <c r="R130" s="875" t="s">
        <v>1704</v>
      </c>
      <c r="S130" s="872" t="s">
        <v>3485</v>
      </c>
      <c r="T130" s="876" t="s">
        <v>1934</v>
      </c>
      <c r="U130" s="876" t="s">
        <v>1931</v>
      </c>
      <c r="V130" s="876" t="s">
        <v>2029</v>
      </c>
      <c r="W130" s="873"/>
      <c r="AB130" s="826"/>
      <c r="AC130" s="902"/>
      <c r="AD130" s="903" t="s">
        <v>3912</v>
      </c>
      <c r="AE130" s="904">
        <v>1</v>
      </c>
      <c r="AF130" s="904">
        <v>30</v>
      </c>
      <c r="AG130" s="920" t="s">
        <v>3913</v>
      </c>
      <c r="AH130" s="906" t="s">
        <v>3914</v>
      </c>
      <c r="AI130" s="892" t="s">
        <v>3915</v>
      </c>
      <c r="AJ130" s="887"/>
      <c r="AO130" s="1379"/>
      <c r="AP130" s="1379"/>
    </row>
    <row r="131" spans="1:42" s="815" customFormat="1" ht="18" customHeight="1" x14ac:dyDescent="0.2">
      <c r="A131" s="872" t="s">
        <v>3985</v>
      </c>
      <c r="B131" s="873">
        <v>30</v>
      </c>
      <c r="C131" s="873">
        <v>36</v>
      </c>
      <c r="D131" s="873">
        <v>75</v>
      </c>
      <c r="E131" s="873">
        <v>18</v>
      </c>
      <c r="F131" s="873">
        <v>36</v>
      </c>
      <c r="G131" s="873">
        <v>63</v>
      </c>
      <c r="H131" s="873">
        <v>3</v>
      </c>
      <c r="I131" s="874" t="s">
        <v>3441</v>
      </c>
      <c r="J131" s="874" t="s">
        <v>1890</v>
      </c>
      <c r="K131" s="873" t="s">
        <v>1685</v>
      </c>
      <c r="L131" s="875" t="s">
        <v>1813</v>
      </c>
      <c r="M131" s="872" t="s">
        <v>3484</v>
      </c>
      <c r="N131" s="875" t="s">
        <v>1690</v>
      </c>
      <c r="O131" s="872" t="s">
        <v>3484</v>
      </c>
      <c r="P131" s="875" t="s">
        <v>1703</v>
      </c>
      <c r="Q131" s="872" t="s">
        <v>3484</v>
      </c>
      <c r="R131" s="875" t="s">
        <v>1704</v>
      </c>
      <c r="S131" s="872" t="s">
        <v>3485</v>
      </c>
      <c r="T131" s="876" t="s">
        <v>1934</v>
      </c>
      <c r="U131" s="876" t="s">
        <v>1931</v>
      </c>
      <c r="V131" s="876" t="s">
        <v>2029</v>
      </c>
      <c r="W131" s="873"/>
      <c r="AB131" s="826"/>
      <c r="AC131" s="902"/>
      <c r="AD131" s="903" t="s">
        <v>3917</v>
      </c>
      <c r="AE131" s="904">
        <v>1</v>
      </c>
      <c r="AF131" s="904">
        <v>25</v>
      </c>
      <c r="AG131" s="920" t="s">
        <v>3918</v>
      </c>
      <c r="AH131" s="906" t="s">
        <v>3919</v>
      </c>
      <c r="AI131" s="892"/>
      <c r="AJ131" s="887"/>
      <c r="AO131" s="1379"/>
      <c r="AP131" s="1379"/>
    </row>
    <row r="132" spans="1:42" s="815" customFormat="1" ht="18" customHeight="1" x14ac:dyDescent="0.2">
      <c r="A132" s="824" t="s">
        <v>3488</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3921</v>
      </c>
      <c r="AE132" s="904">
        <v>1</v>
      </c>
      <c r="AF132" s="904">
        <v>35</v>
      </c>
      <c r="AG132" s="920" t="s">
        <v>3922</v>
      </c>
      <c r="AH132" s="906" t="s">
        <v>3923</v>
      </c>
      <c r="AI132" s="892" t="s">
        <v>3924</v>
      </c>
      <c r="AJ132" s="887"/>
      <c r="AO132" s="1379"/>
      <c r="AP132" s="1379"/>
    </row>
    <row r="133" spans="1:42" s="815" customFormat="1" ht="18" customHeight="1" x14ac:dyDescent="0.2">
      <c r="A133" s="872" t="s">
        <v>3991</v>
      </c>
      <c r="B133" s="873">
        <v>1</v>
      </c>
      <c r="C133" s="873">
        <v>2</v>
      </c>
      <c r="D133" s="873">
        <v>5</v>
      </c>
      <c r="E133" s="873">
        <v>1</v>
      </c>
      <c r="F133" s="873">
        <v>2</v>
      </c>
      <c r="G133" s="873">
        <v>4</v>
      </c>
      <c r="H133" s="873">
        <v>1</v>
      </c>
      <c r="I133" s="874" t="s">
        <v>3436</v>
      </c>
      <c r="J133" s="874" t="s">
        <v>1890</v>
      </c>
      <c r="K133" s="873" t="s">
        <v>1685</v>
      </c>
      <c r="L133" s="875" t="s">
        <v>1813</v>
      </c>
      <c r="M133" s="872" t="s">
        <v>3484</v>
      </c>
      <c r="N133" s="875" t="s">
        <v>1690</v>
      </c>
      <c r="O133" s="872" t="s">
        <v>3484</v>
      </c>
      <c r="P133" s="875" t="s">
        <v>1703</v>
      </c>
      <c r="Q133" s="872" t="s">
        <v>3484</v>
      </c>
      <c r="R133" s="875" t="s">
        <v>1704</v>
      </c>
      <c r="S133" s="872" t="s">
        <v>3485</v>
      </c>
      <c r="T133" s="876" t="s">
        <v>1931</v>
      </c>
      <c r="U133" s="876" t="s">
        <v>2029</v>
      </c>
      <c r="V133" s="876" t="s">
        <v>2030</v>
      </c>
      <c r="W133" s="873"/>
      <c r="AB133" s="826"/>
      <c r="AC133" s="902"/>
      <c r="AD133" s="903" t="s">
        <v>3926</v>
      </c>
      <c r="AE133" s="904">
        <v>2</v>
      </c>
      <c r="AF133" s="904">
        <v>45</v>
      </c>
      <c r="AG133" s="920" t="s">
        <v>3927</v>
      </c>
      <c r="AH133" s="906" t="s">
        <v>3928</v>
      </c>
      <c r="AI133" s="892" t="s">
        <v>3929</v>
      </c>
      <c r="AJ133" s="887"/>
      <c r="AO133" s="1379"/>
      <c r="AP133" s="1379"/>
    </row>
    <row r="134" spans="1:42" s="815" customFormat="1" ht="18" customHeight="1" x14ac:dyDescent="0.2">
      <c r="A134" s="872" t="s">
        <v>3996</v>
      </c>
      <c r="B134" s="873">
        <v>2</v>
      </c>
      <c r="C134" s="873">
        <v>4</v>
      </c>
      <c r="D134" s="873">
        <v>5</v>
      </c>
      <c r="E134" s="873">
        <v>1</v>
      </c>
      <c r="F134" s="873">
        <v>2</v>
      </c>
      <c r="G134" s="873">
        <v>4</v>
      </c>
      <c r="H134" s="873">
        <v>1</v>
      </c>
      <c r="I134" s="874" t="s">
        <v>3436</v>
      </c>
      <c r="J134" s="874" t="s">
        <v>1890</v>
      </c>
      <c r="K134" s="873" t="s">
        <v>1685</v>
      </c>
      <c r="L134" s="875" t="s">
        <v>1813</v>
      </c>
      <c r="M134" s="872" t="s">
        <v>3484</v>
      </c>
      <c r="N134" s="875" t="s">
        <v>1690</v>
      </c>
      <c r="O134" s="872" t="s">
        <v>3484</v>
      </c>
      <c r="P134" s="875" t="s">
        <v>1703</v>
      </c>
      <c r="Q134" s="872" t="s">
        <v>3484</v>
      </c>
      <c r="R134" s="875" t="s">
        <v>1704</v>
      </c>
      <c r="S134" s="872" t="s">
        <v>3485</v>
      </c>
      <c r="T134" s="876" t="s">
        <v>1931</v>
      </c>
      <c r="U134" s="876" t="s">
        <v>2029</v>
      </c>
      <c r="V134" s="876" t="s">
        <v>2030</v>
      </c>
      <c r="W134" s="873"/>
      <c r="AB134" s="826"/>
      <c r="AC134" s="902"/>
      <c r="AD134" s="903" t="s">
        <v>3931</v>
      </c>
      <c r="AE134" s="904">
        <v>2</v>
      </c>
      <c r="AF134" s="904">
        <v>75</v>
      </c>
      <c r="AG134" s="920" t="s">
        <v>3932</v>
      </c>
      <c r="AH134" s="906" t="s">
        <v>3933</v>
      </c>
      <c r="AI134" s="892"/>
      <c r="AJ134" s="887"/>
      <c r="AO134" s="1379"/>
      <c r="AP134" s="1379"/>
    </row>
    <row r="135" spans="1:42" s="815" customFormat="1" ht="18" customHeight="1" x14ac:dyDescent="0.2">
      <c r="A135" s="872" t="s">
        <v>4001</v>
      </c>
      <c r="B135" s="873">
        <v>3</v>
      </c>
      <c r="C135" s="873">
        <v>5</v>
      </c>
      <c r="D135" s="873">
        <v>10</v>
      </c>
      <c r="E135" s="873">
        <v>1</v>
      </c>
      <c r="F135" s="873">
        <v>2</v>
      </c>
      <c r="G135" s="873">
        <v>4</v>
      </c>
      <c r="H135" s="873">
        <v>1</v>
      </c>
      <c r="I135" s="874" t="s">
        <v>3436</v>
      </c>
      <c r="J135" s="874" t="s">
        <v>1890</v>
      </c>
      <c r="K135" s="873" t="s">
        <v>1685</v>
      </c>
      <c r="L135" s="875" t="s">
        <v>1813</v>
      </c>
      <c r="M135" s="872" t="s">
        <v>3484</v>
      </c>
      <c r="N135" s="875" t="s">
        <v>1690</v>
      </c>
      <c r="O135" s="872" t="s">
        <v>3484</v>
      </c>
      <c r="P135" s="875" t="s">
        <v>1703</v>
      </c>
      <c r="Q135" s="872" t="s">
        <v>3484</v>
      </c>
      <c r="R135" s="875" t="s">
        <v>1704</v>
      </c>
      <c r="S135" s="872" t="s">
        <v>3485</v>
      </c>
      <c r="T135" s="876" t="s">
        <v>1931</v>
      </c>
      <c r="U135" s="876" t="s">
        <v>2029</v>
      </c>
      <c r="V135" s="876" t="s">
        <v>2030</v>
      </c>
      <c r="W135" s="873"/>
      <c r="AB135" s="826"/>
      <c r="AC135" s="902"/>
      <c r="AD135" s="903" t="s">
        <v>3935</v>
      </c>
      <c r="AE135" s="904">
        <v>3</v>
      </c>
      <c r="AF135" s="904">
        <v>95</v>
      </c>
      <c r="AG135" s="920" t="s">
        <v>3936</v>
      </c>
      <c r="AH135" s="906" t="s">
        <v>3937</v>
      </c>
      <c r="AI135" s="892" t="s">
        <v>3685</v>
      </c>
      <c r="AJ135" s="887"/>
      <c r="AO135" s="1379"/>
      <c r="AP135" s="1379"/>
    </row>
    <row r="136" spans="1:42" s="815" customFormat="1" ht="18" customHeight="1" x14ac:dyDescent="0.2">
      <c r="A136" s="872" t="s">
        <v>4003</v>
      </c>
      <c r="B136" s="873">
        <v>4</v>
      </c>
      <c r="C136" s="873">
        <v>6</v>
      </c>
      <c r="D136" s="873">
        <v>10</v>
      </c>
      <c r="E136" s="873">
        <v>2</v>
      </c>
      <c r="F136" s="873">
        <v>4</v>
      </c>
      <c r="G136" s="873">
        <v>7</v>
      </c>
      <c r="H136" s="873">
        <v>1</v>
      </c>
      <c r="I136" s="874" t="s">
        <v>3436</v>
      </c>
      <c r="J136" s="874" t="s">
        <v>1890</v>
      </c>
      <c r="K136" s="873" t="s">
        <v>1685</v>
      </c>
      <c r="L136" s="875" t="s">
        <v>1813</v>
      </c>
      <c r="M136" s="872" t="s">
        <v>3484</v>
      </c>
      <c r="N136" s="875" t="s">
        <v>1690</v>
      </c>
      <c r="O136" s="872" t="s">
        <v>3484</v>
      </c>
      <c r="P136" s="875" t="s">
        <v>1703</v>
      </c>
      <c r="Q136" s="872" t="s">
        <v>3484</v>
      </c>
      <c r="R136" s="875" t="s">
        <v>1704</v>
      </c>
      <c r="S136" s="872" t="s">
        <v>3485</v>
      </c>
      <c r="T136" s="876" t="s">
        <v>1931</v>
      </c>
      <c r="U136" s="876" t="s">
        <v>2029</v>
      </c>
      <c r="V136" s="876" t="s">
        <v>2030</v>
      </c>
      <c r="W136" s="873"/>
      <c r="AB136" s="826"/>
      <c r="AC136" s="910"/>
      <c r="AD136" s="911" t="s">
        <v>3939</v>
      </c>
      <c r="AE136" s="916"/>
      <c r="AF136" s="912"/>
      <c r="AG136" s="921"/>
      <c r="AH136" s="914"/>
      <c r="AI136" s="886"/>
      <c r="AJ136" s="887"/>
      <c r="AO136" s="1379"/>
      <c r="AP136" s="1379"/>
    </row>
    <row r="137" spans="1:42" s="815" customFormat="1" ht="18" customHeight="1" x14ac:dyDescent="0.2">
      <c r="A137" s="872" t="s">
        <v>4008</v>
      </c>
      <c r="B137" s="873">
        <v>6</v>
      </c>
      <c r="C137" s="873">
        <v>9</v>
      </c>
      <c r="D137" s="873">
        <v>15</v>
      </c>
      <c r="E137" s="873">
        <v>3</v>
      </c>
      <c r="F137" s="873">
        <v>6</v>
      </c>
      <c r="G137" s="873">
        <v>11</v>
      </c>
      <c r="H137" s="873">
        <v>1</v>
      </c>
      <c r="I137" s="874" t="s">
        <v>3436</v>
      </c>
      <c r="J137" s="874" t="s">
        <v>1890</v>
      </c>
      <c r="K137" s="873" t="s">
        <v>1685</v>
      </c>
      <c r="L137" s="875" t="s">
        <v>1813</v>
      </c>
      <c r="M137" s="872" t="s">
        <v>3484</v>
      </c>
      <c r="N137" s="875" t="s">
        <v>1690</v>
      </c>
      <c r="O137" s="872" t="s">
        <v>3484</v>
      </c>
      <c r="P137" s="875" t="s">
        <v>1703</v>
      </c>
      <c r="Q137" s="872" t="s">
        <v>3484</v>
      </c>
      <c r="R137" s="875" t="s">
        <v>1704</v>
      </c>
      <c r="S137" s="872" t="s">
        <v>3485</v>
      </c>
      <c r="T137" s="876" t="s">
        <v>1931</v>
      </c>
      <c r="U137" s="876" t="s">
        <v>2029</v>
      </c>
      <c r="V137" s="876" t="s">
        <v>2030</v>
      </c>
      <c r="W137" s="873"/>
      <c r="AB137" s="826"/>
      <c r="AC137" s="902"/>
      <c r="AD137" s="903" t="s">
        <v>3941</v>
      </c>
      <c r="AE137" s="904">
        <v>1</v>
      </c>
      <c r="AF137" s="904">
        <v>20</v>
      </c>
      <c r="AG137" s="920" t="s">
        <v>3942</v>
      </c>
      <c r="AH137" s="906" t="s">
        <v>3943</v>
      </c>
      <c r="AI137" s="892"/>
      <c r="AJ137" s="887"/>
      <c r="AO137" s="1379"/>
      <c r="AP137" s="1379"/>
    </row>
    <row r="138" spans="1:42" s="815" customFormat="1" ht="18" customHeight="1" x14ac:dyDescent="0.2">
      <c r="A138" s="872" t="s">
        <v>4013</v>
      </c>
      <c r="B138" s="873">
        <v>8</v>
      </c>
      <c r="C138" s="873">
        <v>11</v>
      </c>
      <c r="D138" s="873">
        <v>20</v>
      </c>
      <c r="E138" s="873">
        <v>4</v>
      </c>
      <c r="F138" s="873">
        <v>8</v>
      </c>
      <c r="G138" s="873">
        <v>14</v>
      </c>
      <c r="H138" s="873">
        <v>1</v>
      </c>
      <c r="I138" s="874" t="s">
        <v>3436</v>
      </c>
      <c r="J138" s="874" t="s">
        <v>1890</v>
      </c>
      <c r="K138" s="873" t="s">
        <v>1685</v>
      </c>
      <c r="L138" s="875" t="s">
        <v>1813</v>
      </c>
      <c r="M138" s="872" t="s">
        <v>3484</v>
      </c>
      <c r="N138" s="875" t="s">
        <v>1690</v>
      </c>
      <c r="O138" s="872" t="s">
        <v>3484</v>
      </c>
      <c r="P138" s="875" t="s">
        <v>1703</v>
      </c>
      <c r="Q138" s="872" t="s">
        <v>3484</v>
      </c>
      <c r="R138" s="875" t="s">
        <v>1704</v>
      </c>
      <c r="S138" s="872" t="s">
        <v>3485</v>
      </c>
      <c r="T138" s="876" t="s">
        <v>1931</v>
      </c>
      <c r="U138" s="876" t="s">
        <v>2029</v>
      </c>
      <c r="V138" s="876" t="s">
        <v>2030</v>
      </c>
      <c r="W138" s="873"/>
      <c r="AB138" s="826"/>
      <c r="AC138" s="902"/>
      <c r="AD138" s="903" t="s">
        <v>3945</v>
      </c>
      <c r="AE138" s="904">
        <v>1</v>
      </c>
      <c r="AF138" s="904">
        <v>20</v>
      </c>
      <c r="AG138" s="920" t="s">
        <v>3946</v>
      </c>
      <c r="AH138" s="906" t="s">
        <v>3947</v>
      </c>
      <c r="AI138" s="892"/>
      <c r="AJ138" s="887"/>
      <c r="AO138" s="1379"/>
      <c r="AP138" s="1379"/>
    </row>
    <row r="139" spans="1:42" s="815" customFormat="1" ht="18" customHeight="1" x14ac:dyDescent="0.2">
      <c r="A139" s="872" t="s">
        <v>4018</v>
      </c>
      <c r="B139" s="873">
        <v>10</v>
      </c>
      <c r="C139" s="873">
        <v>13</v>
      </c>
      <c r="D139" s="873">
        <v>25</v>
      </c>
      <c r="E139" s="873">
        <v>6</v>
      </c>
      <c r="F139" s="873">
        <v>12</v>
      </c>
      <c r="G139" s="873">
        <v>21</v>
      </c>
      <c r="H139" s="873">
        <v>1</v>
      </c>
      <c r="I139" s="874" t="s">
        <v>3436</v>
      </c>
      <c r="J139" s="874" t="s">
        <v>1890</v>
      </c>
      <c r="K139" s="873" t="s">
        <v>1685</v>
      </c>
      <c r="L139" s="875" t="s">
        <v>1813</v>
      </c>
      <c r="M139" s="872" t="s">
        <v>3484</v>
      </c>
      <c r="N139" s="875" t="s">
        <v>1690</v>
      </c>
      <c r="O139" s="872" t="s">
        <v>3484</v>
      </c>
      <c r="P139" s="875" t="s">
        <v>1703</v>
      </c>
      <c r="Q139" s="872" t="s">
        <v>3484</v>
      </c>
      <c r="R139" s="875" t="s">
        <v>1704</v>
      </c>
      <c r="S139" s="872" t="s">
        <v>3485</v>
      </c>
      <c r="T139" s="876" t="s">
        <v>1931</v>
      </c>
      <c r="U139" s="876" t="s">
        <v>2029</v>
      </c>
      <c r="V139" s="876" t="s">
        <v>2030</v>
      </c>
      <c r="W139" s="873"/>
      <c r="AB139" s="826"/>
      <c r="AC139" s="902"/>
      <c r="AD139" s="903" t="s">
        <v>3949</v>
      </c>
      <c r="AE139" s="904">
        <v>1</v>
      </c>
      <c r="AF139" s="904">
        <v>25</v>
      </c>
      <c r="AG139" s="920" t="s">
        <v>3950</v>
      </c>
      <c r="AH139" s="906" t="s">
        <v>3951</v>
      </c>
      <c r="AI139" s="892"/>
      <c r="AJ139" s="887"/>
      <c r="AO139" s="1379"/>
      <c r="AP139" s="1379"/>
    </row>
    <row r="140" spans="1:42" s="815" customFormat="1" ht="18" customHeight="1" x14ac:dyDescent="0.2">
      <c r="A140" s="872" t="s">
        <v>4023</v>
      </c>
      <c r="B140" s="873">
        <v>12</v>
      </c>
      <c r="C140" s="873">
        <v>15</v>
      </c>
      <c r="D140" s="873">
        <v>30</v>
      </c>
      <c r="E140" s="873">
        <v>8</v>
      </c>
      <c r="F140" s="873">
        <v>16</v>
      </c>
      <c r="G140" s="873">
        <v>28</v>
      </c>
      <c r="H140" s="873">
        <v>2</v>
      </c>
      <c r="I140" s="874" t="s">
        <v>3436</v>
      </c>
      <c r="J140" s="874" t="s">
        <v>1890</v>
      </c>
      <c r="K140" s="873" t="s">
        <v>1685</v>
      </c>
      <c r="L140" s="875" t="s">
        <v>1813</v>
      </c>
      <c r="M140" s="872" t="s">
        <v>3484</v>
      </c>
      <c r="N140" s="875" t="s">
        <v>1690</v>
      </c>
      <c r="O140" s="872" t="s">
        <v>3484</v>
      </c>
      <c r="P140" s="875" t="s">
        <v>1703</v>
      </c>
      <c r="Q140" s="872" t="s">
        <v>3484</v>
      </c>
      <c r="R140" s="875" t="s">
        <v>1704</v>
      </c>
      <c r="S140" s="872" t="s">
        <v>3485</v>
      </c>
      <c r="T140" s="876" t="s">
        <v>1931</v>
      </c>
      <c r="U140" s="876" t="s">
        <v>2029</v>
      </c>
      <c r="V140" s="876" t="s">
        <v>2030</v>
      </c>
      <c r="W140" s="873"/>
      <c r="AB140" s="826"/>
      <c r="AC140" s="902"/>
      <c r="AD140" s="903" t="s">
        <v>3953</v>
      </c>
      <c r="AE140" s="904">
        <v>1</v>
      </c>
      <c r="AF140" s="904">
        <v>30</v>
      </c>
      <c r="AG140" s="920" t="s">
        <v>3954</v>
      </c>
      <c r="AH140" s="906" t="s">
        <v>3955</v>
      </c>
      <c r="AI140" s="892" t="s">
        <v>3685</v>
      </c>
      <c r="AJ140" s="887"/>
      <c r="AO140" s="1379"/>
      <c r="AP140" s="1379"/>
    </row>
    <row r="141" spans="1:42" s="815" customFormat="1" ht="18" customHeight="1" x14ac:dyDescent="0.2">
      <c r="A141" s="872" t="s">
        <v>4028</v>
      </c>
      <c r="B141" s="873">
        <v>16</v>
      </c>
      <c r="C141" s="873">
        <v>20</v>
      </c>
      <c r="D141" s="873">
        <v>35</v>
      </c>
      <c r="E141" s="873">
        <v>10</v>
      </c>
      <c r="F141" s="873">
        <v>20</v>
      </c>
      <c r="G141" s="873">
        <v>35</v>
      </c>
      <c r="H141" s="873">
        <v>2</v>
      </c>
      <c r="I141" s="874" t="s">
        <v>3436</v>
      </c>
      <c r="J141" s="874" t="s">
        <v>1890</v>
      </c>
      <c r="K141" s="873" t="s">
        <v>1685</v>
      </c>
      <c r="L141" s="875" t="s">
        <v>1813</v>
      </c>
      <c r="M141" s="872" t="s">
        <v>3484</v>
      </c>
      <c r="N141" s="875" t="s">
        <v>1690</v>
      </c>
      <c r="O141" s="872" t="s">
        <v>3484</v>
      </c>
      <c r="P141" s="875" t="s">
        <v>1703</v>
      </c>
      <c r="Q141" s="872" t="s">
        <v>3484</v>
      </c>
      <c r="R141" s="875" t="s">
        <v>1704</v>
      </c>
      <c r="S141" s="872" t="s">
        <v>3485</v>
      </c>
      <c r="T141" s="876" t="s">
        <v>1931</v>
      </c>
      <c r="U141" s="876" t="s">
        <v>2029</v>
      </c>
      <c r="V141" s="876" t="s">
        <v>2030</v>
      </c>
      <c r="W141" s="873"/>
      <c r="AB141" s="826"/>
      <c r="AC141" s="902"/>
      <c r="AD141" s="903" t="s">
        <v>3957</v>
      </c>
      <c r="AE141" s="904">
        <v>1</v>
      </c>
      <c r="AF141" s="904">
        <v>30</v>
      </c>
      <c r="AG141" s="920" t="s">
        <v>3946</v>
      </c>
      <c r="AH141" s="906" t="s">
        <v>3958</v>
      </c>
      <c r="AI141" s="892" t="s">
        <v>3825</v>
      </c>
      <c r="AJ141" s="887"/>
      <c r="AO141" s="1379"/>
      <c r="AP141" s="1379"/>
    </row>
    <row r="142" spans="1:42" s="815" customFormat="1" ht="18" customHeight="1" x14ac:dyDescent="0.2">
      <c r="A142" s="872" t="s">
        <v>4033</v>
      </c>
      <c r="B142" s="873">
        <v>20</v>
      </c>
      <c r="C142" s="873">
        <v>24</v>
      </c>
      <c r="D142" s="873">
        <v>40</v>
      </c>
      <c r="E142" s="873">
        <v>12</v>
      </c>
      <c r="F142" s="873">
        <v>24</v>
      </c>
      <c r="G142" s="873">
        <v>42</v>
      </c>
      <c r="H142" s="873">
        <v>3</v>
      </c>
      <c r="I142" s="874" t="s">
        <v>3436</v>
      </c>
      <c r="J142" s="874" t="s">
        <v>1890</v>
      </c>
      <c r="K142" s="873" t="s">
        <v>1685</v>
      </c>
      <c r="L142" s="875" t="s">
        <v>1813</v>
      </c>
      <c r="M142" s="872" t="s">
        <v>3484</v>
      </c>
      <c r="N142" s="875" t="s">
        <v>1690</v>
      </c>
      <c r="O142" s="872" t="s">
        <v>3484</v>
      </c>
      <c r="P142" s="875" t="s">
        <v>1703</v>
      </c>
      <c r="Q142" s="872" t="s">
        <v>3484</v>
      </c>
      <c r="R142" s="875" t="s">
        <v>1704</v>
      </c>
      <c r="S142" s="872" t="s">
        <v>3485</v>
      </c>
      <c r="T142" s="876" t="s">
        <v>1931</v>
      </c>
      <c r="U142" s="876" t="s">
        <v>2029</v>
      </c>
      <c r="V142" s="876" t="s">
        <v>2030</v>
      </c>
      <c r="W142" s="873"/>
      <c r="AB142" s="826"/>
      <c r="AC142" s="902"/>
      <c r="AD142" s="903" t="s">
        <v>3959</v>
      </c>
      <c r="AE142" s="904">
        <v>1</v>
      </c>
      <c r="AF142" s="904">
        <v>30</v>
      </c>
      <c r="AG142" s="920" t="s">
        <v>3960</v>
      </c>
      <c r="AH142" s="906" t="s">
        <v>3961</v>
      </c>
      <c r="AI142" s="892"/>
      <c r="AJ142" s="887"/>
      <c r="AO142" s="1379"/>
      <c r="AP142" s="1379"/>
    </row>
    <row r="143" spans="1:42" s="815" customFormat="1" ht="18" customHeight="1" x14ac:dyDescent="0.2">
      <c r="A143" s="872" t="s">
        <v>4035</v>
      </c>
      <c r="B143" s="873">
        <v>24</v>
      </c>
      <c r="C143" s="873">
        <v>29</v>
      </c>
      <c r="D143" s="873">
        <v>45</v>
      </c>
      <c r="E143" s="873">
        <v>14</v>
      </c>
      <c r="F143" s="873">
        <v>28</v>
      </c>
      <c r="G143" s="873">
        <v>49</v>
      </c>
      <c r="H143" s="873">
        <v>3</v>
      </c>
      <c r="I143" s="874" t="s">
        <v>3436</v>
      </c>
      <c r="J143" s="874" t="s">
        <v>1890</v>
      </c>
      <c r="K143" s="873" t="s">
        <v>1685</v>
      </c>
      <c r="L143" s="875" t="s">
        <v>1813</v>
      </c>
      <c r="M143" s="872" t="s">
        <v>3484</v>
      </c>
      <c r="N143" s="875" t="s">
        <v>1690</v>
      </c>
      <c r="O143" s="872" t="s">
        <v>3484</v>
      </c>
      <c r="P143" s="875" t="s">
        <v>1703</v>
      </c>
      <c r="Q143" s="872" t="s">
        <v>3484</v>
      </c>
      <c r="R143" s="875" t="s">
        <v>1704</v>
      </c>
      <c r="S143" s="872" t="s">
        <v>3485</v>
      </c>
      <c r="T143" s="876" t="s">
        <v>1931</v>
      </c>
      <c r="U143" s="876" t="s">
        <v>2029</v>
      </c>
      <c r="V143" s="876" t="s">
        <v>2030</v>
      </c>
      <c r="W143" s="873"/>
      <c r="AB143" s="826"/>
      <c r="AC143" s="902"/>
      <c r="AD143" s="903" t="s">
        <v>3963</v>
      </c>
      <c r="AE143" s="904">
        <v>2</v>
      </c>
      <c r="AF143" s="904">
        <v>50</v>
      </c>
      <c r="AG143" s="920" t="s">
        <v>3964</v>
      </c>
      <c r="AH143" s="906" t="s">
        <v>3965</v>
      </c>
      <c r="AI143" s="892"/>
      <c r="AJ143" s="887"/>
      <c r="AO143" s="1379"/>
      <c r="AP143" s="1379"/>
    </row>
    <row r="144" spans="1:42" s="815" customFormat="1" ht="18" customHeight="1" x14ac:dyDescent="0.2">
      <c r="A144" s="824" t="s">
        <v>3491</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3967</v>
      </c>
      <c r="AE144" s="904">
        <v>2</v>
      </c>
      <c r="AF144" s="904">
        <v>70</v>
      </c>
      <c r="AG144" s="920" t="s">
        <v>3968</v>
      </c>
      <c r="AH144" s="906" t="s">
        <v>3969</v>
      </c>
      <c r="AI144" s="892"/>
      <c r="AJ144" s="887"/>
      <c r="AO144" s="1379"/>
      <c r="AP144" s="1379"/>
    </row>
    <row r="145" spans="1:42" s="815" customFormat="1" ht="18" customHeight="1" x14ac:dyDescent="0.2">
      <c r="A145" s="872" t="s">
        <v>4043</v>
      </c>
      <c r="B145" s="873">
        <v>2</v>
      </c>
      <c r="C145" s="873">
        <v>4</v>
      </c>
      <c r="D145" s="873">
        <v>5</v>
      </c>
      <c r="E145" s="873">
        <v>1</v>
      </c>
      <c r="F145" s="873">
        <v>2</v>
      </c>
      <c r="G145" s="873">
        <v>4</v>
      </c>
      <c r="H145" s="873">
        <v>1</v>
      </c>
      <c r="I145" s="874" t="s">
        <v>3436</v>
      </c>
      <c r="J145" s="874" t="s">
        <v>1890</v>
      </c>
      <c r="K145" s="873" t="s">
        <v>1690</v>
      </c>
      <c r="L145" s="875" t="s">
        <v>1685</v>
      </c>
      <c r="M145" s="872" t="s">
        <v>3575</v>
      </c>
      <c r="N145" s="875" t="s">
        <v>1813</v>
      </c>
      <c r="O145" s="872" t="s">
        <v>3485</v>
      </c>
      <c r="P145" s="875" t="s">
        <v>1703</v>
      </c>
      <c r="Q145" s="872" t="s">
        <v>3484</v>
      </c>
      <c r="R145" s="875" t="s">
        <v>1704</v>
      </c>
      <c r="S145" s="872" t="s">
        <v>3484</v>
      </c>
      <c r="T145" s="876" t="s">
        <v>1934</v>
      </c>
      <c r="U145" s="876" t="s">
        <v>2029</v>
      </c>
      <c r="V145" s="876" t="s">
        <v>2034</v>
      </c>
      <c r="W145" s="873"/>
      <c r="AB145" s="826"/>
      <c r="AC145" s="902"/>
      <c r="AD145" s="903" t="s">
        <v>3971</v>
      </c>
      <c r="AE145" s="904">
        <v>2</v>
      </c>
      <c r="AF145" s="904">
        <v>85</v>
      </c>
      <c r="AG145" s="920" t="s">
        <v>3972</v>
      </c>
      <c r="AH145" s="906" t="s">
        <v>3973</v>
      </c>
      <c r="AI145" s="892"/>
      <c r="AJ145" s="887"/>
      <c r="AO145" s="1379"/>
      <c r="AP145" s="1379"/>
    </row>
    <row r="146" spans="1:42" s="815" customFormat="1" ht="18" customHeight="1" x14ac:dyDescent="0.2">
      <c r="A146" s="872" t="s">
        <v>4048</v>
      </c>
      <c r="B146" s="873">
        <v>4</v>
      </c>
      <c r="C146" s="873">
        <v>6</v>
      </c>
      <c r="D146" s="873">
        <v>5</v>
      </c>
      <c r="E146" s="873">
        <v>2</v>
      </c>
      <c r="F146" s="873">
        <v>4</v>
      </c>
      <c r="G146" s="873">
        <v>7</v>
      </c>
      <c r="H146" s="873">
        <v>1</v>
      </c>
      <c r="I146" s="874" t="s">
        <v>3436</v>
      </c>
      <c r="J146" s="874" t="s">
        <v>1890</v>
      </c>
      <c r="K146" s="873" t="s">
        <v>1690</v>
      </c>
      <c r="L146" s="875" t="s">
        <v>1685</v>
      </c>
      <c r="M146" s="872" t="s">
        <v>3575</v>
      </c>
      <c r="N146" s="875" t="s">
        <v>1813</v>
      </c>
      <c r="O146" s="872" t="s">
        <v>3485</v>
      </c>
      <c r="P146" s="875" t="s">
        <v>1703</v>
      </c>
      <c r="Q146" s="872" t="s">
        <v>3484</v>
      </c>
      <c r="R146" s="875" t="s">
        <v>1704</v>
      </c>
      <c r="S146" s="872" t="s">
        <v>3484</v>
      </c>
      <c r="T146" s="876" t="s">
        <v>1934</v>
      </c>
      <c r="U146" s="876" t="s">
        <v>2029</v>
      </c>
      <c r="V146" s="876" t="s">
        <v>2034</v>
      </c>
      <c r="W146" s="873"/>
      <c r="AB146" s="826"/>
      <c r="AC146" s="910"/>
      <c r="AD146" s="911" t="s">
        <v>3975</v>
      </c>
      <c r="AE146" s="916"/>
      <c r="AF146" s="912"/>
      <c r="AG146" s="921"/>
      <c r="AH146" s="914"/>
      <c r="AI146" s="886"/>
      <c r="AJ146" s="887"/>
      <c r="AO146" s="1379"/>
      <c r="AP146" s="1379"/>
    </row>
    <row r="147" spans="1:42" s="815" customFormat="1" ht="18" customHeight="1" x14ac:dyDescent="0.2">
      <c r="A147" s="872" t="s">
        <v>4052</v>
      </c>
      <c r="B147" s="873">
        <v>6</v>
      </c>
      <c r="C147" s="873">
        <v>9</v>
      </c>
      <c r="D147" s="873">
        <v>5</v>
      </c>
      <c r="E147" s="873">
        <v>3</v>
      </c>
      <c r="F147" s="873">
        <v>6</v>
      </c>
      <c r="G147" s="873">
        <v>11</v>
      </c>
      <c r="H147" s="873">
        <v>1</v>
      </c>
      <c r="I147" s="874" t="s">
        <v>3436</v>
      </c>
      <c r="J147" s="874" t="s">
        <v>1890</v>
      </c>
      <c r="K147" s="873" t="s">
        <v>1690</v>
      </c>
      <c r="L147" s="875" t="s">
        <v>1685</v>
      </c>
      <c r="M147" s="872" t="s">
        <v>3575</v>
      </c>
      <c r="N147" s="875" t="s">
        <v>1813</v>
      </c>
      <c r="O147" s="872" t="s">
        <v>3485</v>
      </c>
      <c r="P147" s="875" t="s">
        <v>1703</v>
      </c>
      <c r="Q147" s="872" t="s">
        <v>3484</v>
      </c>
      <c r="R147" s="875" t="s">
        <v>1704</v>
      </c>
      <c r="S147" s="872" t="s">
        <v>3484</v>
      </c>
      <c r="T147" s="876" t="s">
        <v>1934</v>
      </c>
      <c r="U147" s="876" t="s">
        <v>2029</v>
      </c>
      <c r="V147" s="876" t="s">
        <v>2034</v>
      </c>
      <c r="W147" s="873"/>
      <c r="AB147" s="826"/>
      <c r="AC147" s="902"/>
      <c r="AD147" s="903" t="s">
        <v>3977</v>
      </c>
      <c r="AE147" s="904">
        <v>1</v>
      </c>
      <c r="AF147" s="904">
        <v>30</v>
      </c>
      <c r="AG147" s="920" t="s">
        <v>3978</v>
      </c>
      <c r="AH147" s="906" t="s">
        <v>3979</v>
      </c>
      <c r="AI147" s="892" t="s">
        <v>3980</v>
      </c>
      <c r="AJ147" s="887"/>
      <c r="AO147" s="1379"/>
      <c r="AP147" s="1379"/>
    </row>
    <row r="148" spans="1:42" s="815" customFormat="1" ht="18" customHeight="1" x14ac:dyDescent="0.2">
      <c r="A148" s="872" t="s">
        <v>4055</v>
      </c>
      <c r="B148" s="873">
        <v>8</v>
      </c>
      <c r="C148" s="873">
        <v>11</v>
      </c>
      <c r="D148" s="873">
        <v>10</v>
      </c>
      <c r="E148" s="873">
        <v>4</v>
      </c>
      <c r="F148" s="873">
        <v>8</v>
      </c>
      <c r="G148" s="873">
        <v>14</v>
      </c>
      <c r="H148" s="873">
        <v>1</v>
      </c>
      <c r="I148" s="874" t="s">
        <v>3436</v>
      </c>
      <c r="J148" s="874" t="s">
        <v>1890</v>
      </c>
      <c r="K148" s="873" t="s">
        <v>1690</v>
      </c>
      <c r="L148" s="875" t="s">
        <v>1685</v>
      </c>
      <c r="M148" s="872" t="s">
        <v>3575</v>
      </c>
      <c r="N148" s="875" t="s">
        <v>1813</v>
      </c>
      <c r="O148" s="872" t="s">
        <v>3485</v>
      </c>
      <c r="P148" s="875" t="s">
        <v>1703</v>
      </c>
      <c r="Q148" s="872" t="s">
        <v>3484</v>
      </c>
      <c r="R148" s="875" t="s">
        <v>1704</v>
      </c>
      <c r="S148" s="872" t="s">
        <v>3484</v>
      </c>
      <c r="T148" s="876" t="s">
        <v>1934</v>
      </c>
      <c r="U148" s="876" t="s">
        <v>2029</v>
      </c>
      <c r="V148" s="876" t="s">
        <v>2034</v>
      </c>
      <c r="W148" s="873"/>
      <c r="AB148" s="826"/>
      <c r="AC148" s="902"/>
      <c r="AD148" s="903" t="s">
        <v>3982</v>
      </c>
      <c r="AE148" s="904">
        <v>1</v>
      </c>
      <c r="AF148" s="904">
        <v>20</v>
      </c>
      <c r="AG148" s="920" t="s">
        <v>3983</v>
      </c>
      <c r="AH148" s="906" t="s">
        <v>3984</v>
      </c>
      <c r="AI148" s="892"/>
      <c r="AJ148" s="887"/>
      <c r="AO148" s="1379"/>
      <c r="AP148" s="1379"/>
    </row>
    <row r="149" spans="1:42" s="815" customFormat="1" ht="18" customHeight="1" x14ac:dyDescent="0.2">
      <c r="A149" s="872" t="s">
        <v>4060</v>
      </c>
      <c r="B149" s="873">
        <v>12</v>
      </c>
      <c r="C149" s="873">
        <v>15</v>
      </c>
      <c r="D149" s="873">
        <v>15</v>
      </c>
      <c r="E149" s="873">
        <v>6</v>
      </c>
      <c r="F149" s="873">
        <v>12</v>
      </c>
      <c r="G149" s="873">
        <v>21</v>
      </c>
      <c r="H149" s="873">
        <v>1</v>
      </c>
      <c r="I149" s="874" t="s">
        <v>3436</v>
      </c>
      <c r="J149" s="874" t="s">
        <v>1890</v>
      </c>
      <c r="K149" s="873" t="s">
        <v>1690</v>
      </c>
      <c r="L149" s="875" t="s">
        <v>1685</v>
      </c>
      <c r="M149" s="872" t="s">
        <v>3575</v>
      </c>
      <c r="N149" s="875" t="s">
        <v>1813</v>
      </c>
      <c r="O149" s="872" t="s">
        <v>3485</v>
      </c>
      <c r="P149" s="875" t="s">
        <v>1703</v>
      </c>
      <c r="Q149" s="872" t="s">
        <v>3484</v>
      </c>
      <c r="R149" s="875" t="s">
        <v>1704</v>
      </c>
      <c r="S149" s="872" t="s">
        <v>3484</v>
      </c>
      <c r="T149" s="876" t="s">
        <v>1934</v>
      </c>
      <c r="U149" s="876" t="s">
        <v>2029</v>
      </c>
      <c r="V149" s="876" t="s">
        <v>2034</v>
      </c>
      <c r="W149" s="873"/>
      <c r="AB149" s="826"/>
      <c r="AC149" s="902"/>
      <c r="AD149" s="903" t="s">
        <v>3986</v>
      </c>
      <c r="AE149" s="904">
        <v>1</v>
      </c>
      <c r="AF149" s="904">
        <v>20</v>
      </c>
      <c r="AG149" s="920" t="s">
        <v>3987</v>
      </c>
      <c r="AH149" s="906" t="s">
        <v>3988</v>
      </c>
      <c r="AI149" s="892"/>
      <c r="AJ149" s="887"/>
      <c r="AO149" s="1379"/>
      <c r="AP149" s="1379"/>
    </row>
    <row r="150" spans="1:42" s="815" customFormat="1" ht="18" customHeight="1" x14ac:dyDescent="0.2">
      <c r="A150" s="872" t="s">
        <v>4062</v>
      </c>
      <c r="B150" s="873">
        <v>16</v>
      </c>
      <c r="C150" s="873">
        <v>20</v>
      </c>
      <c r="D150" s="873">
        <v>25</v>
      </c>
      <c r="E150" s="873">
        <v>8</v>
      </c>
      <c r="F150" s="873">
        <v>16</v>
      </c>
      <c r="G150" s="873">
        <v>28</v>
      </c>
      <c r="H150" s="873">
        <v>2</v>
      </c>
      <c r="I150" s="874" t="s">
        <v>3436</v>
      </c>
      <c r="J150" s="874" t="s">
        <v>1890</v>
      </c>
      <c r="K150" s="873" t="s">
        <v>1690</v>
      </c>
      <c r="L150" s="875" t="s">
        <v>1685</v>
      </c>
      <c r="M150" s="872" t="s">
        <v>3575</v>
      </c>
      <c r="N150" s="875" t="s">
        <v>1813</v>
      </c>
      <c r="O150" s="872" t="s">
        <v>3485</v>
      </c>
      <c r="P150" s="875" t="s">
        <v>1703</v>
      </c>
      <c r="Q150" s="872" t="s">
        <v>3484</v>
      </c>
      <c r="R150" s="875" t="s">
        <v>1704</v>
      </c>
      <c r="S150" s="872" t="s">
        <v>3484</v>
      </c>
      <c r="T150" s="876" t="s">
        <v>1934</v>
      </c>
      <c r="U150" s="876" t="s">
        <v>2029</v>
      </c>
      <c r="V150" s="876" t="s">
        <v>2034</v>
      </c>
      <c r="W150" s="873"/>
      <c r="AB150" s="826"/>
      <c r="AC150" s="922"/>
      <c r="AD150" s="903" t="s">
        <v>3989</v>
      </c>
      <c r="AE150" s="904">
        <v>2</v>
      </c>
      <c r="AF150" s="923">
        <v>50</v>
      </c>
      <c r="AG150" s="924" t="s">
        <v>3904</v>
      </c>
      <c r="AH150" s="925" t="s">
        <v>3990</v>
      </c>
      <c r="AI150" s="926"/>
      <c r="AJ150" s="887"/>
      <c r="AO150" s="1379"/>
      <c r="AP150" s="1379"/>
    </row>
    <row r="151" spans="1:42" s="815" customFormat="1" ht="18" customHeight="1" x14ac:dyDescent="0.2">
      <c r="A151" s="872" t="s">
        <v>4067</v>
      </c>
      <c r="B151" s="873">
        <v>20</v>
      </c>
      <c r="C151" s="873">
        <v>24</v>
      </c>
      <c r="D151" s="873">
        <v>35</v>
      </c>
      <c r="E151" s="873">
        <v>10</v>
      </c>
      <c r="F151" s="873">
        <v>20</v>
      </c>
      <c r="G151" s="873">
        <v>35</v>
      </c>
      <c r="H151" s="873">
        <v>2</v>
      </c>
      <c r="I151" s="874" t="s">
        <v>3436</v>
      </c>
      <c r="J151" s="874" t="s">
        <v>1890</v>
      </c>
      <c r="K151" s="873" t="s">
        <v>1690</v>
      </c>
      <c r="L151" s="875" t="s">
        <v>1685</v>
      </c>
      <c r="M151" s="872" t="s">
        <v>3575</v>
      </c>
      <c r="N151" s="875" t="s">
        <v>1813</v>
      </c>
      <c r="O151" s="872" t="s">
        <v>3485</v>
      </c>
      <c r="P151" s="875" t="s">
        <v>1703</v>
      </c>
      <c r="Q151" s="872" t="s">
        <v>3484</v>
      </c>
      <c r="R151" s="875" t="s">
        <v>1704</v>
      </c>
      <c r="S151" s="872" t="s">
        <v>3484</v>
      </c>
      <c r="T151" s="876" t="s">
        <v>1934</v>
      </c>
      <c r="U151" s="876" t="s">
        <v>2029</v>
      </c>
      <c r="V151" s="876" t="s">
        <v>2034</v>
      </c>
      <c r="W151" s="873"/>
      <c r="AB151" s="826"/>
      <c r="AC151" s="922"/>
      <c r="AD151" s="903" t="s">
        <v>3992</v>
      </c>
      <c r="AE151" s="904">
        <v>2</v>
      </c>
      <c r="AF151" s="923">
        <v>70</v>
      </c>
      <c r="AG151" s="924" t="s">
        <v>3993</v>
      </c>
      <c r="AH151" s="925" t="s">
        <v>3994</v>
      </c>
      <c r="AI151" s="926" t="s">
        <v>3995</v>
      </c>
      <c r="AJ151" s="887"/>
      <c r="AO151" s="1379"/>
      <c r="AP151" s="1379"/>
    </row>
    <row r="152" spans="1:42" s="815" customFormat="1" ht="18" customHeight="1" x14ac:dyDescent="0.2">
      <c r="A152" s="872" t="s">
        <v>4070</v>
      </c>
      <c r="B152" s="873">
        <v>26</v>
      </c>
      <c r="C152" s="873">
        <v>32</v>
      </c>
      <c r="D152" s="873">
        <v>45</v>
      </c>
      <c r="E152" s="873">
        <v>12</v>
      </c>
      <c r="F152" s="873">
        <v>24</v>
      </c>
      <c r="G152" s="873">
        <v>42</v>
      </c>
      <c r="H152" s="873">
        <v>3</v>
      </c>
      <c r="I152" s="874" t="s">
        <v>3436</v>
      </c>
      <c r="J152" s="874" t="s">
        <v>1890</v>
      </c>
      <c r="K152" s="873" t="s">
        <v>1690</v>
      </c>
      <c r="L152" s="875" t="s">
        <v>1685</v>
      </c>
      <c r="M152" s="872" t="s">
        <v>3575</v>
      </c>
      <c r="N152" s="875" t="s">
        <v>1813</v>
      </c>
      <c r="O152" s="872" t="s">
        <v>3485</v>
      </c>
      <c r="P152" s="875" t="s">
        <v>1703</v>
      </c>
      <c r="Q152" s="872" t="s">
        <v>3484</v>
      </c>
      <c r="R152" s="875" t="s">
        <v>1704</v>
      </c>
      <c r="S152" s="872" t="s">
        <v>3484</v>
      </c>
      <c r="T152" s="876" t="s">
        <v>1934</v>
      </c>
      <c r="U152" s="876" t="s">
        <v>2029</v>
      </c>
      <c r="V152" s="876" t="s">
        <v>2034</v>
      </c>
      <c r="W152" s="873"/>
      <c r="AB152" s="826"/>
      <c r="AC152" s="902"/>
      <c r="AD152" s="903" t="s">
        <v>3997</v>
      </c>
      <c r="AE152" s="904">
        <v>3</v>
      </c>
      <c r="AF152" s="904">
        <v>75</v>
      </c>
      <c r="AG152" s="920" t="s">
        <v>3998</v>
      </c>
      <c r="AH152" s="906" t="s">
        <v>3999</v>
      </c>
      <c r="AI152" s="892" t="s">
        <v>4000</v>
      </c>
      <c r="AJ152" s="887"/>
      <c r="AO152" s="1379"/>
      <c r="AP152" s="1379"/>
    </row>
    <row r="153" spans="1:42" s="815" customFormat="1" ht="18" customHeight="1" x14ac:dyDescent="0.2">
      <c r="A153" s="824" t="s">
        <v>3496</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4002</v>
      </c>
      <c r="AE153" s="916"/>
      <c r="AF153" s="912"/>
      <c r="AG153" s="921"/>
      <c r="AH153" s="914"/>
      <c r="AI153" s="886"/>
      <c r="AJ153" s="887"/>
      <c r="AO153" s="1379"/>
      <c r="AP153" s="1379"/>
    </row>
    <row r="154" spans="1:42" s="815" customFormat="1" ht="18" customHeight="1" x14ac:dyDescent="0.2">
      <c r="A154" s="872" t="s">
        <v>4076</v>
      </c>
      <c r="B154" s="873">
        <v>1</v>
      </c>
      <c r="C154" s="873">
        <v>2</v>
      </c>
      <c r="D154" s="873">
        <v>5</v>
      </c>
      <c r="E154" s="873">
        <v>1</v>
      </c>
      <c r="F154" s="873">
        <v>2</v>
      </c>
      <c r="G154" s="873">
        <v>4</v>
      </c>
      <c r="H154" s="873">
        <v>1</v>
      </c>
      <c r="I154" s="874" t="s">
        <v>3436</v>
      </c>
      <c r="J154" s="874" t="s">
        <v>1537</v>
      </c>
      <c r="K154" s="873" t="s">
        <v>1695</v>
      </c>
      <c r="L154" s="875" t="s">
        <v>1813</v>
      </c>
      <c r="M154" s="872" t="s">
        <v>3575</v>
      </c>
      <c r="N154" s="875" t="s">
        <v>1690</v>
      </c>
      <c r="O154" s="872" t="s">
        <v>3485</v>
      </c>
      <c r="P154" s="875" t="s">
        <v>1703</v>
      </c>
      <c r="Q154" s="872" t="s">
        <v>3484</v>
      </c>
      <c r="R154" s="875" t="s">
        <v>1704</v>
      </c>
      <c r="S154" s="872" t="s">
        <v>3575</v>
      </c>
      <c r="T154" s="876" t="s">
        <v>1938</v>
      </c>
      <c r="U154" s="876" t="s">
        <v>2034</v>
      </c>
      <c r="V154" s="873" t="s">
        <v>3361</v>
      </c>
      <c r="W154" s="873"/>
      <c r="AB154" s="826"/>
      <c r="AC154" s="902"/>
      <c r="AD154" s="903" t="s">
        <v>4004</v>
      </c>
      <c r="AE154" s="904">
        <v>1</v>
      </c>
      <c r="AF154" s="904">
        <v>25</v>
      </c>
      <c r="AG154" s="920" t="s">
        <v>4005</v>
      </c>
      <c r="AH154" s="906" t="s">
        <v>4006</v>
      </c>
      <c r="AI154" s="892" t="s">
        <v>4007</v>
      </c>
      <c r="AJ154" s="887"/>
      <c r="AO154" s="1379"/>
      <c r="AP154" s="1379"/>
    </row>
    <row r="155" spans="1:42" s="815" customFormat="1" ht="18" customHeight="1" x14ac:dyDescent="0.2">
      <c r="A155" s="872" t="s">
        <v>4080</v>
      </c>
      <c r="B155" s="873">
        <v>2</v>
      </c>
      <c r="C155" s="873">
        <v>4</v>
      </c>
      <c r="D155" s="873">
        <v>5</v>
      </c>
      <c r="E155" s="873">
        <v>1</v>
      </c>
      <c r="F155" s="873">
        <v>2</v>
      </c>
      <c r="G155" s="873">
        <v>4</v>
      </c>
      <c r="H155" s="873">
        <v>1</v>
      </c>
      <c r="I155" s="874" t="s">
        <v>3436</v>
      </c>
      <c r="J155" s="874" t="s">
        <v>1537</v>
      </c>
      <c r="K155" s="873" t="s">
        <v>1695</v>
      </c>
      <c r="L155" s="875" t="s">
        <v>1813</v>
      </c>
      <c r="M155" s="872" t="s">
        <v>3575</v>
      </c>
      <c r="N155" s="875" t="s">
        <v>1690</v>
      </c>
      <c r="O155" s="872" t="s">
        <v>3485</v>
      </c>
      <c r="P155" s="875" t="s">
        <v>1703</v>
      </c>
      <c r="Q155" s="872" t="s">
        <v>3484</v>
      </c>
      <c r="R155" s="875" t="s">
        <v>1704</v>
      </c>
      <c r="S155" s="872" t="s">
        <v>3575</v>
      </c>
      <c r="T155" s="876" t="s">
        <v>1938</v>
      </c>
      <c r="U155" s="876" t="s">
        <v>2034</v>
      </c>
      <c r="V155" s="873" t="s">
        <v>3361</v>
      </c>
      <c r="W155" s="873"/>
      <c r="AB155" s="826"/>
      <c r="AC155" s="902"/>
      <c r="AD155" s="903" t="s">
        <v>4009</v>
      </c>
      <c r="AE155" s="904">
        <v>1</v>
      </c>
      <c r="AF155" s="904">
        <v>45</v>
      </c>
      <c r="AG155" s="920" t="s">
        <v>4010</v>
      </c>
      <c r="AH155" s="906" t="s">
        <v>4011</v>
      </c>
      <c r="AI155" s="892" t="s">
        <v>4012</v>
      </c>
      <c r="AJ155" s="887"/>
      <c r="AO155" s="1379"/>
      <c r="AP155" s="1379"/>
    </row>
    <row r="156" spans="1:42" s="815" customFormat="1" ht="18" customHeight="1" x14ac:dyDescent="0.2">
      <c r="A156" s="872" t="s">
        <v>4084</v>
      </c>
      <c r="B156" s="873">
        <v>3</v>
      </c>
      <c r="C156" s="873">
        <v>5</v>
      </c>
      <c r="D156" s="873">
        <v>10</v>
      </c>
      <c r="E156" s="873">
        <v>1</v>
      </c>
      <c r="F156" s="873">
        <v>2</v>
      </c>
      <c r="G156" s="873">
        <v>4</v>
      </c>
      <c r="H156" s="873">
        <v>1</v>
      </c>
      <c r="I156" s="874" t="s">
        <v>3436</v>
      </c>
      <c r="J156" s="874" t="s">
        <v>1537</v>
      </c>
      <c r="K156" s="873" t="s">
        <v>1695</v>
      </c>
      <c r="L156" s="875" t="s">
        <v>1813</v>
      </c>
      <c r="M156" s="872" t="s">
        <v>3575</v>
      </c>
      <c r="N156" s="875" t="s">
        <v>1690</v>
      </c>
      <c r="O156" s="872" t="s">
        <v>3485</v>
      </c>
      <c r="P156" s="875" t="s">
        <v>1703</v>
      </c>
      <c r="Q156" s="872" t="s">
        <v>3484</v>
      </c>
      <c r="R156" s="875" t="s">
        <v>1704</v>
      </c>
      <c r="S156" s="872" t="s">
        <v>3575</v>
      </c>
      <c r="T156" s="876" t="s">
        <v>1938</v>
      </c>
      <c r="U156" s="876" t="s">
        <v>2034</v>
      </c>
      <c r="V156" s="873" t="s">
        <v>3361</v>
      </c>
      <c r="W156" s="873"/>
      <c r="AB156" s="826"/>
      <c r="AC156" s="902"/>
      <c r="AD156" s="903" t="s">
        <v>4014</v>
      </c>
      <c r="AE156" s="904">
        <v>2</v>
      </c>
      <c r="AF156" s="904">
        <v>65</v>
      </c>
      <c r="AG156" s="920" t="s">
        <v>4015</v>
      </c>
      <c r="AH156" s="906" t="s">
        <v>4016</v>
      </c>
      <c r="AI156" s="892" t="s">
        <v>4017</v>
      </c>
      <c r="AJ156" s="887"/>
      <c r="AO156" s="1379"/>
      <c r="AP156" s="1379"/>
    </row>
    <row r="157" spans="1:42" s="815" customFormat="1" ht="18" customHeight="1" x14ac:dyDescent="0.2">
      <c r="A157" s="872" t="s">
        <v>4088</v>
      </c>
      <c r="B157" s="873">
        <v>4</v>
      </c>
      <c r="C157" s="873">
        <v>6</v>
      </c>
      <c r="D157" s="873">
        <v>15</v>
      </c>
      <c r="E157" s="873">
        <v>2</v>
      </c>
      <c r="F157" s="873">
        <v>4</v>
      </c>
      <c r="G157" s="873">
        <v>7</v>
      </c>
      <c r="H157" s="873">
        <v>1</v>
      </c>
      <c r="I157" s="874" t="s">
        <v>3436</v>
      </c>
      <c r="J157" s="874" t="s">
        <v>1537</v>
      </c>
      <c r="K157" s="873" t="s">
        <v>1695</v>
      </c>
      <c r="L157" s="875" t="s">
        <v>1813</v>
      </c>
      <c r="M157" s="872" t="s">
        <v>3575</v>
      </c>
      <c r="N157" s="875" t="s">
        <v>1690</v>
      </c>
      <c r="O157" s="872" t="s">
        <v>3485</v>
      </c>
      <c r="P157" s="875" t="s">
        <v>1703</v>
      </c>
      <c r="Q157" s="872" t="s">
        <v>3484</v>
      </c>
      <c r="R157" s="875" t="s">
        <v>1704</v>
      </c>
      <c r="S157" s="872" t="s">
        <v>3575</v>
      </c>
      <c r="T157" s="876" t="s">
        <v>1938</v>
      </c>
      <c r="U157" s="876" t="s">
        <v>2034</v>
      </c>
      <c r="V157" s="873" t="s">
        <v>3361</v>
      </c>
      <c r="W157" s="873"/>
      <c r="AB157" s="826"/>
      <c r="AC157" s="902"/>
      <c r="AD157" s="903" t="s">
        <v>4019</v>
      </c>
      <c r="AE157" s="904">
        <v>2</v>
      </c>
      <c r="AF157" s="904">
        <v>75</v>
      </c>
      <c r="AG157" s="920" t="s">
        <v>4020</v>
      </c>
      <c r="AH157" s="906" t="s">
        <v>4021</v>
      </c>
      <c r="AI157" s="892" t="s">
        <v>4022</v>
      </c>
      <c r="AJ157" s="887"/>
      <c r="AO157" s="1379"/>
      <c r="AP157" s="1379"/>
    </row>
    <row r="158" spans="1:42" s="815" customFormat="1" ht="18" customHeight="1" x14ac:dyDescent="0.2">
      <c r="A158" s="872" t="s">
        <v>4092</v>
      </c>
      <c r="B158" s="873">
        <v>6</v>
      </c>
      <c r="C158" s="873">
        <v>9</v>
      </c>
      <c r="D158" s="873">
        <v>20</v>
      </c>
      <c r="E158" s="873">
        <v>3</v>
      </c>
      <c r="F158" s="873">
        <v>6</v>
      </c>
      <c r="G158" s="873">
        <v>11</v>
      </c>
      <c r="H158" s="873">
        <v>1</v>
      </c>
      <c r="I158" s="874" t="s">
        <v>3436</v>
      </c>
      <c r="J158" s="874" t="s">
        <v>1537</v>
      </c>
      <c r="K158" s="873" t="s">
        <v>1695</v>
      </c>
      <c r="L158" s="875" t="s">
        <v>1813</v>
      </c>
      <c r="M158" s="872" t="s">
        <v>3575</v>
      </c>
      <c r="N158" s="875" t="s">
        <v>1690</v>
      </c>
      <c r="O158" s="872" t="s">
        <v>3485</v>
      </c>
      <c r="P158" s="875" t="s">
        <v>1703</v>
      </c>
      <c r="Q158" s="872" t="s">
        <v>3484</v>
      </c>
      <c r="R158" s="875" t="s">
        <v>1704</v>
      </c>
      <c r="S158" s="872" t="s">
        <v>3575</v>
      </c>
      <c r="T158" s="876" t="s">
        <v>1938</v>
      </c>
      <c r="U158" s="876" t="s">
        <v>2034</v>
      </c>
      <c r="V158" s="873" t="s">
        <v>3361</v>
      </c>
      <c r="W158" s="873"/>
      <c r="AB158" s="826"/>
      <c r="AC158" s="902"/>
      <c r="AD158" s="903" t="s">
        <v>4024</v>
      </c>
      <c r="AE158" s="904">
        <v>3</v>
      </c>
      <c r="AF158" s="904">
        <v>110</v>
      </c>
      <c r="AG158" s="920" t="s">
        <v>4025</v>
      </c>
      <c r="AH158" s="891" t="s">
        <v>4026</v>
      </c>
      <c r="AI158" s="892" t="s">
        <v>4027</v>
      </c>
      <c r="AJ158" s="887"/>
      <c r="AO158" s="1379"/>
      <c r="AP158" s="1379"/>
    </row>
    <row r="159" spans="1:42" s="815" customFormat="1" ht="18" customHeight="1" x14ac:dyDescent="0.2">
      <c r="A159" s="872" t="s">
        <v>4097</v>
      </c>
      <c r="B159" s="873">
        <v>8</v>
      </c>
      <c r="C159" s="873">
        <v>11</v>
      </c>
      <c r="D159" s="873">
        <v>25</v>
      </c>
      <c r="E159" s="873">
        <v>4</v>
      </c>
      <c r="F159" s="873">
        <v>8</v>
      </c>
      <c r="G159" s="873">
        <v>14</v>
      </c>
      <c r="H159" s="873">
        <v>1</v>
      </c>
      <c r="I159" s="874" t="s">
        <v>3436</v>
      </c>
      <c r="J159" s="874" t="s">
        <v>1537</v>
      </c>
      <c r="K159" s="873" t="s">
        <v>1695</v>
      </c>
      <c r="L159" s="875" t="s">
        <v>1813</v>
      </c>
      <c r="M159" s="872" t="s">
        <v>3575</v>
      </c>
      <c r="N159" s="875" t="s">
        <v>1690</v>
      </c>
      <c r="O159" s="872" t="s">
        <v>3485</v>
      </c>
      <c r="P159" s="875" t="s">
        <v>1703</v>
      </c>
      <c r="Q159" s="872" t="s">
        <v>3484</v>
      </c>
      <c r="R159" s="875" t="s">
        <v>1704</v>
      </c>
      <c r="S159" s="872" t="s">
        <v>3575</v>
      </c>
      <c r="T159" s="876" t="s">
        <v>1938</v>
      </c>
      <c r="U159" s="876" t="s">
        <v>2034</v>
      </c>
      <c r="V159" s="873" t="s">
        <v>3361</v>
      </c>
      <c r="W159" s="873"/>
      <c r="AB159" s="826"/>
      <c r="AC159" s="902"/>
      <c r="AD159" s="903" t="s">
        <v>4029</v>
      </c>
      <c r="AE159" s="904">
        <v>3</v>
      </c>
      <c r="AF159" s="904">
        <v>110</v>
      </c>
      <c r="AG159" s="920" t="s">
        <v>4030</v>
      </c>
      <c r="AH159" s="906" t="s">
        <v>4031</v>
      </c>
      <c r="AI159" s="892" t="s">
        <v>4032</v>
      </c>
      <c r="AJ159" s="887"/>
      <c r="AO159" s="1379"/>
      <c r="AP159" s="1379"/>
    </row>
    <row r="160" spans="1:42" s="815" customFormat="1" ht="18" customHeight="1" x14ac:dyDescent="0.2">
      <c r="A160" s="872" t="s">
        <v>4099</v>
      </c>
      <c r="B160" s="873">
        <v>10</v>
      </c>
      <c r="C160" s="873">
        <v>13</v>
      </c>
      <c r="D160" s="873">
        <v>30</v>
      </c>
      <c r="E160" s="873">
        <v>5</v>
      </c>
      <c r="F160" s="873">
        <v>10</v>
      </c>
      <c r="G160" s="873">
        <v>18</v>
      </c>
      <c r="H160" s="873">
        <v>1</v>
      </c>
      <c r="I160" s="874" t="s">
        <v>3436</v>
      </c>
      <c r="J160" s="874" t="s">
        <v>1537</v>
      </c>
      <c r="K160" s="873" t="s">
        <v>1695</v>
      </c>
      <c r="L160" s="875" t="s">
        <v>1813</v>
      </c>
      <c r="M160" s="872" t="s">
        <v>3575</v>
      </c>
      <c r="N160" s="875" t="s">
        <v>1690</v>
      </c>
      <c r="O160" s="872" t="s">
        <v>3485</v>
      </c>
      <c r="P160" s="875" t="s">
        <v>1703</v>
      </c>
      <c r="Q160" s="872" t="s">
        <v>3484</v>
      </c>
      <c r="R160" s="875" t="s">
        <v>1704</v>
      </c>
      <c r="S160" s="872" t="s">
        <v>3575</v>
      </c>
      <c r="T160" s="876" t="s">
        <v>1938</v>
      </c>
      <c r="U160" s="876" t="s">
        <v>2034</v>
      </c>
      <c r="V160" s="873" t="s">
        <v>3361</v>
      </c>
      <c r="W160" s="873"/>
      <c r="AB160" s="826"/>
      <c r="AC160" s="910"/>
      <c r="AD160" s="911" t="s">
        <v>4034</v>
      </c>
      <c r="AE160" s="916"/>
      <c r="AF160" s="912"/>
      <c r="AG160" s="921"/>
      <c r="AH160" s="914"/>
      <c r="AI160" s="886"/>
      <c r="AJ160" s="887"/>
      <c r="AO160" s="1379"/>
      <c r="AP160" s="1379"/>
    </row>
    <row r="161" spans="1:37" x14ac:dyDescent="0.2">
      <c r="A161" s="927" t="s">
        <v>4103</v>
      </c>
      <c r="B161" s="928">
        <v>14</v>
      </c>
      <c r="C161" s="928">
        <v>18</v>
      </c>
      <c r="D161" s="928">
        <v>35</v>
      </c>
      <c r="E161" s="928">
        <v>6</v>
      </c>
      <c r="F161" s="928">
        <v>12</v>
      </c>
      <c r="G161" s="928">
        <v>21</v>
      </c>
      <c r="H161" s="928">
        <v>2</v>
      </c>
      <c r="I161" s="929" t="s">
        <v>3436</v>
      </c>
      <c r="J161" s="929" t="s">
        <v>1537</v>
      </c>
      <c r="K161" s="928" t="s">
        <v>1695</v>
      </c>
      <c r="L161" s="930" t="s">
        <v>1813</v>
      </c>
      <c r="M161" s="927" t="s">
        <v>3575</v>
      </c>
      <c r="N161" s="930" t="s">
        <v>1690</v>
      </c>
      <c r="O161" s="927" t="s">
        <v>3485</v>
      </c>
      <c r="P161" s="930" t="s">
        <v>1703</v>
      </c>
      <c r="Q161" s="927" t="s">
        <v>3484</v>
      </c>
      <c r="R161" s="930" t="s">
        <v>1704</v>
      </c>
      <c r="S161" s="927" t="s">
        <v>3575</v>
      </c>
      <c r="T161" s="931" t="s">
        <v>1938</v>
      </c>
      <c r="U161" s="931" t="s">
        <v>2034</v>
      </c>
      <c r="V161" s="873" t="s">
        <v>3361</v>
      </c>
      <c r="W161" s="928"/>
      <c r="AC161" s="902"/>
      <c r="AD161" s="903" t="s">
        <v>4036</v>
      </c>
      <c r="AE161" s="904">
        <v>1</v>
      </c>
      <c r="AF161" s="904">
        <v>20</v>
      </c>
      <c r="AG161" s="920" t="s">
        <v>4037</v>
      </c>
      <c r="AH161" s="906" t="s">
        <v>4038</v>
      </c>
      <c r="AI161" s="892" t="s">
        <v>4017</v>
      </c>
      <c r="AJ161" s="887"/>
      <c r="AK161" s="815"/>
    </row>
    <row r="162" spans="1:37" x14ac:dyDescent="0.2">
      <c r="A162" s="927" t="s">
        <v>4107</v>
      </c>
      <c r="B162" s="928">
        <v>16</v>
      </c>
      <c r="C162" s="928">
        <v>20</v>
      </c>
      <c r="D162" s="928">
        <v>40</v>
      </c>
      <c r="E162" s="928">
        <v>8</v>
      </c>
      <c r="F162" s="928">
        <v>16</v>
      </c>
      <c r="G162" s="928">
        <v>28</v>
      </c>
      <c r="H162" s="928">
        <v>2</v>
      </c>
      <c r="I162" s="929" t="s">
        <v>3436</v>
      </c>
      <c r="J162" s="929" t="s">
        <v>1537</v>
      </c>
      <c r="K162" s="928" t="s">
        <v>1695</v>
      </c>
      <c r="L162" s="930" t="s">
        <v>1813</v>
      </c>
      <c r="M162" s="927" t="s">
        <v>3575</v>
      </c>
      <c r="N162" s="930" t="s">
        <v>1690</v>
      </c>
      <c r="O162" s="927" t="s">
        <v>3485</v>
      </c>
      <c r="P162" s="930" t="s">
        <v>1703</v>
      </c>
      <c r="Q162" s="927" t="s">
        <v>3484</v>
      </c>
      <c r="R162" s="930" t="s">
        <v>1704</v>
      </c>
      <c r="S162" s="927" t="s">
        <v>3575</v>
      </c>
      <c r="T162" s="931" t="s">
        <v>1938</v>
      </c>
      <c r="U162" s="931" t="s">
        <v>2034</v>
      </c>
      <c r="V162" s="873" t="s">
        <v>3361</v>
      </c>
      <c r="W162" s="928"/>
      <c r="AC162" s="902"/>
      <c r="AD162" s="903" t="s">
        <v>4039</v>
      </c>
      <c r="AE162" s="904">
        <v>1</v>
      </c>
      <c r="AF162" s="904">
        <v>25</v>
      </c>
      <c r="AG162" s="920" t="s">
        <v>4040</v>
      </c>
      <c r="AH162" s="906" t="s">
        <v>4041</v>
      </c>
      <c r="AI162" s="892" t="s">
        <v>4042</v>
      </c>
      <c r="AJ162" s="887"/>
    </row>
    <row r="163" spans="1:37" x14ac:dyDescent="0.2">
      <c r="A163" s="927" t="s">
        <v>4111</v>
      </c>
      <c r="B163" s="928">
        <v>18</v>
      </c>
      <c r="C163" s="928">
        <v>22</v>
      </c>
      <c r="D163" s="928">
        <v>45</v>
      </c>
      <c r="E163" s="928">
        <v>10</v>
      </c>
      <c r="F163" s="928">
        <v>20</v>
      </c>
      <c r="G163" s="928">
        <v>35</v>
      </c>
      <c r="H163" s="928">
        <v>3</v>
      </c>
      <c r="I163" s="929" t="s">
        <v>3436</v>
      </c>
      <c r="J163" s="929" t="s">
        <v>1537</v>
      </c>
      <c r="K163" s="928" t="s">
        <v>1695</v>
      </c>
      <c r="L163" s="930" t="s">
        <v>1813</v>
      </c>
      <c r="M163" s="927" t="s">
        <v>3575</v>
      </c>
      <c r="N163" s="930" t="s">
        <v>1690</v>
      </c>
      <c r="O163" s="927" t="s">
        <v>3485</v>
      </c>
      <c r="P163" s="930" t="s">
        <v>1703</v>
      </c>
      <c r="Q163" s="927" t="s">
        <v>3484</v>
      </c>
      <c r="R163" s="930" t="s">
        <v>1704</v>
      </c>
      <c r="S163" s="927" t="s">
        <v>3575</v>
      </c>
      <c r="T163" s="931" t="s">
        <v>1938</v>
      </c>
      <c r="U163" s="931" t="s">
        <v>2034</v>
      </c>
      <c r="V163" s="873" t="s">
        <v>3361</v>
      </c>
      <c r="W163" s="928"/>
      <c r="AC163" s="902"/>
      <c r="AD163" s="903" t="s">
        <v>4044</v>
      </c>
      <c r="AE163" s="904">
        <v>2</v>
      </c>
      <c r="AF163" s="904">
        <v>65</v>
      </c>
      <c r="AG163" s="920" t="s">
        <v>4045</v>
      </c>
      <c r="AH163" s="906" t="s">
        <v>4046</v>
      </c>
      <c r="AI163" s="892" t="s">
        <v>4047</v>
      </c>
      <c r="AJ163" s="887"/>
    </row>
    <row r="164" spans="1:37" x14ac:dyDescent="0.2">
      <c r="A164" s="927" t="s">
        <v>4115</v>
      </c>
      <c r="B164" s="928">
        <v>20</v>
      </c>
      <c r="C164" s="928">
        <v>24</v>
      </c>
      <c r="D164" s="928">
        <v>50</v>
      </c>
      <c r="E164" s="928">
        <v>12</v>
      </c>
      <c r="F164" s="928">
        <v>24</v>
      </c>
      <c r="G164" s="928">
        <v>42</v>
      </c>
      <c r="H164" s="928">
        <v>3</v>
      </c>
      <c r="I164" s="929" t="s">
        <v>3436</v>
      </c>
      <c r="J164" s="929" t="s">
        <v>1537</v>
      </c>
      <c r="K164" s="928" t="s">
        <v>1695</v>
      </c>
      <c r="L164" s="930" t="s">
        <v>1813</v>
      </c>
      <c r="M164" s="927" t="s">
        <v>3575</v>
      </c>
      <c r="N164" s="930" t="s">
        <v>1690</v>
      </c>
      <c r="O164" s="927" t="s">
        <v>3485</v>
      </c>
      <c r="P164" s="930" t="s">
        <v>1703</v>
      </c>
      <c r="Q164" s="927" t="s">
        <v>3484</v>
      </c>
      <c r="R164" s="930" t="s">
        <v>1704</v>
      </c>
      <c r="S164" s="927" t="s">
        <v>3575</v>
      </c>
      <c r="T164" s="931" t="s">
        <v>1938</v>
      </c>
      <c r="U164" s="931" t="s">
        <v>2034</v>
      </c>
      <c r="V164" s="873" t="s">
        <v>3361</v>
      </c>
      <c r="W164" s="928"/>
      <c r="AC164" s="902"/>
      <c r="AD164" s="903" t="s">
        <v>4049</v>
      </c>
      <c r="AE164" s="904">
        <v>2</v>
      </c>
      <c r="AF164" s="904">
        <v>50</v>
      </c>
      <c r="AG164" s="920" t="s">
        <v>4050</v>
      </c>
      <c r="AH164" s="906" t="s">
        <v>4051</v>
      </c>
      <c r="AI164" s="892" t="s">
        <v>4047</v>
      </c>
      <c r="AJ164" s="887"/>
    </row>
    <row r="165" spans="1:37" x14ac:dyDescent="0.2">
      <c r="A165" s="933" t="s">
        <v>4119</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4053</v>
      </c>
      <c r="AE165" s="904">
        <v>2</v>
      </c>
      <c r="AF165" s="904">
        <v>60</v>
      </c>
      <c r="AG165" s="920" t="s">
        <v>4050</v>
      </c>
      <c r="AH165" s="906" t="s">
        <v>4054</v>
      </c>
      <c r="AI165" s="892" t="s">
        <v>4047</v>
      </c>
      <c r="AJ165" s="887"/>
    </row>
    <row r="166" spans="1:37" x14ac:dyDescent="0.2">
      <c r="A166" s="927" t="s">
        <v>4121</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4056</v>
      </c>
      <c r="AE166" s="904">
        <v>3</v>
      </c>
      <c r="AF166" s="904">
        <v>90</v>
      </c>
      <c r="AG166" s="920" t="s">
        <v>4057</v>
      </c>
      <c r="AH166" s="906" t="s">
        <v>4058</v>
      </c>
      <c r="AI166" s="892" t="s">
        <v>4059</v>
      </c>
      <c r="AJ166" s="887"/>
    </row>
    <row r="167" spans="1:37" x14ac:dyDescent="0.2">
      <c r="A167" s="927" t="s">
        <v>4125</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4061</v>
      </c>
      <c r="AE167" s="916"/>
      <c r="AF167" s="912"/>
      <c r="AG167" s="921"/>
      <c r="AH167" s="914"/>
      <c r="AI167" s="886"/>
      <c r="AJ167" s="887"/>
    </row>
    <row r="168" spans="1:37" x14ac:dyDescent="0.2">
      <c r="A168" s="927" t="s">
        <v>4129</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4063</v>
      </c>
      <c r="AE168" s="904">
        <v>1</v>
      </c>
      <c r="AF168" s="904">
        <v>50</v>
      </c>
      <c r="AG168" s="920" t="s">
        <v>4064</v>
      </c>
      <c r="AH168" s="906" t="s">
        <v>4065</v>
      </c>
      <c r="AI168" s="892" t="s">
        <v>4066</v>
      </c>
      <c r="AJ168" s="887"/>
    </row>
    <row r="169" spans="1:37" x14ac:dyDescent="0.2">
      <c r="A169" s="927" t="s">
        <v>4134</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4068</v>
      </c>
      <c r="AE169" s="904">
        <v>1</v>
      </c>
      <c r="AF169" s="904">
        <v>25</v>
      </c>
      <c r="AG169" s="920" t="s">
        <v>3987</v>
      </c>
      <c r="AH169" s="906" t="s">
        <v>4069</v>
      </c>
      <c r="AI169" s="892" t="s">
        <v>4066</v>
      </c>
      <c r="AJ169" s="887"/>
    </row>
    <row r="170" spans="1:37" x14ac:dyDescent="0.2">
      <c r="A170" s="933" t="s">
        <v>4138</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4071</v>
      </c>
      <c r="AE170" s="904">
        <v>1</v>
      </c>
      <c r="AF170" s="904">
        <v>35</v>
      </c>
      <c r="AG170" s="920" t="s">
        <v>3993</v>
      </c>
      <c r="AH170" s="906" t="s">
        <v>4072</v>
      </c>
      <c r="AI170" s="892" t="s">
        <v>4066</v>
      </c>
      <c r="AJ170" s="887"/>
    </row>
    <row r="171" spans="1:37" x14ac:dyDescent="0.2">
      <c r="A171" s="927" t="s">
        <v>4143</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4073</v>
      </c>
      <c r="AE171" s="904">
        <v>2</v>
      </c>
      <c r="AF171" s="904">
        <v>65</v>
      </c>
      <c r="AG171" s="920" t="s">
        <v>4074</v>
      </c>
      <c r="AH171" s="906" t="s">
        <v>4075</v>
      </c>
      <c r="AI171" s="892" t="s">
        <v>4066</v>
      </c>
      <c r="AJ171" s="887"/>
    </row>
    <row r="172" spans="1:37" x14ac:dyDescent="0.2">
      <c r="A172" s="769" t="s">
        <v>3502</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4077</v>
      </c>
      <c r="AE172" s="904">
        <v>2</v>
      </c>
      <c r="AF172" s="904">
        <v>60</v>
      </c>
      <c r="AG172" s="920" t="s">
        <v>4078</v>
      </c>
      <c r="AH172" s="906" t="s">
        <v>4079</v>
      </c>
      <c r="AI172" s="892" t="s">
        <v>4066</v>
      </c>
      <c r="AJ172" s="887"/>
    </row>
    <row r="173" spans="1:37" x14ac:dyDescent="0.2">
      <c r="A173" s="927" t="s">
        <v>4144</v>
      </c>
      <c r="B173" s="928">
        <v>2</v>
      </c>
      <c r="C173" s="928">
        <v>4</v>
      </c>
      <c r="D173" s="928">
        <v>10</v>
      </c>
      <c r="E173" s="928">
        <v>1</v>
      </c>
      <c r="F173" s="928">
        <v>2</v>
      </c>
      <c r="G173" s="928">
        <v>4</v>
      </c>
      <c r="H173" s="928">
        <v>1</v>
      </c>
      <c r="I173" s="929" t="s">
        <v>3441</v>
      </c>
      <c r="J173" s="929" t="s">
        <v>1537</v>
      </c>
      <c r="K173" s="928" t="s">
        <v>1695</v>
      </c>
      <c r="L173" s="930" t="s">
        <v>1813</v>
      </c>
      <c r="M173" s="927" t="s">
        <v>3575</v>
      </c>
      <c r="N173" s="930" t="s">
        <v>1690</v>
      </c>
      <c r="O173" s="927" t="s">
        <v>3485</v>
      </c>
      <c r="P173" s="930" t="s">
        <v>1703</v>
      </c>
      <c r="Q173" s="927" t="s">
        <v>3484</v>
      </c>
      <c r="R173" s="930" t="s">
        <v>1704</v>
      </c>
      <c r="S173" s="927" t="s">
        <v>3484</v>
      </c>
      <c r="T173" s="931" t="s">
        <v>1938</v>
      </c>
      <c r="U173" s="931" t="s">
        <v>2034</v>
      </c>
      <c r="V173" s="873" t="s">
        <v>3361</v>
      </c>
      <c r="W173" s="928"/>
      <c r="AC173" s="902"/>
      <c r="AD173" s="903" t="s">
        <v>4081</v>
      </c>
      <c r="AE173" s="904">
        <v>2</v>
      </c>
      <c r="AF173" s="904">
        <v>100</v>
      </c>
      <c r="AG173" s="920" t="s">
        <v>4082</v>
      </c>
      <c r="AH173" s="906" t="s">
        <v>4083</v>
      </c>
      <c r="AI173" s="892" t="s">
        <v>4066</v>
      </c>
      <c r="AJ173" s="887"/>
    </row>
    <row r="174" spans="1:37" x14ac:dyDescent="0.2">
      <c r="A174" s="927" t="s">
        <v>4145</v>
      </c>
      <c r="B174" s="928">
        <v>3</v>
      </c>
      <c r="C174" s="928">
        <v>5</v>
      </c>
      <c r="D174" s="928">
        <v>15</v>
      </c>
      <c r="E174" s="928">
        <v>2</v>
      </c>
      <c r="F174" s="928">
        <v>4</v>
      </c>
      <c r="G174" s="928">
        <v>7</v>
      </c>
      <c r="H174" s="928">
        <v>1</v>
      </c>
      <c r="I174" s="929" t="s">
        <v>3441</v>
      </c>
      <c r="J174" s="929" t="s">
        <v>1537</v>
      </c>
      <c r="K174" s="928" t="s">
        <v>1695</v>
      </c>
      <c r="L174" s="930" t="s">
        <v>1813</v>
      </c>
      <c r="M174" s="927" t="s">
        <v>3575</v>
      </c>
      <c r="N174" s="930" t="s">
        <v>1690</v>
      </c>
      <c r="O174" s="927" t="s">
        <v>3485</v>
      </c>
      <c r="P174" s="930" t="s">
        <v>1703</v>
      </c>
      <c r="Q174" s="927" t="s">
        <v>3484</v>
      </c>
      <c r="R174" s="930" t="s">
        <v>1704</v>
      </c>
      <c r="S174" s="927" t="s">
        <v>3484</v>
      </c>
      <c r="T174" s="931" t="s">
        <v>1938</v>
      </c>
      <c r="U174" s="931" t="s">
        <v>2034</v>
      </c>
      <c r="V174" s="873" t="s">
        <v>3361</v>
      </c>
      <c r="W174" s="928"/>
      <c r="AC174" s="902"/>
      <c r="AD174" s="903" t="s">
        <v>4085</v>
      </c>
      <c r="AE174" s="904">
        <v>2</v>
      </c>
      <c r="AF174" s="904">
        <v>65</v>
      </c>
      <c r="AG174" s="920" t="s">
        <v>3987</v>
      </c>
      <c r="AH174" s="906" t="s">
        <v>4086</v>
      </c>
      <c r="AI174" s="892" t="s">
        <v>4087</v>
      </c>
      <c r="AJ174" s="887"/>
    </row>
    <row r="175" spans="1:37" x14ac:dyDescent="0.2">
      <c r="A175" s="927" t="s">
        <v>4146</v>
      </c>
      <c r="B175" s="928">
        <v>5</v>
      </c>
      <c r="C175" s="928">
        <v>8</v>
      </c>
      <c r="D175" s="928">
        <v>20</v>
      </c>
      <c r="E175" s="928">
        <v>3</v>
      </c>
      <c r="F175" s="928">
        <v>6</v>
      </c>
      <c r="G175" s="928">
        <v>11</v>
      </c>
      <c r="H175" s="928">
        <v>1</v>
      </c>
      <c r="I175" s="929" t="s">
        <v>3441</v>
      </c>
      <c r="J175" s="929" t="s">
        <v>1537</v>
      </c>
      <c r="K175" s="928" t="s">
        <v>1695</v>
      </c>
      <c r="L175" s="930" t="s">
        <v>1813</v>
      </c>
      <c r="M175" s="927" t="s">
        <v>3575</v>
      </c>
      <c r="N175" s="930" t="s">
        <v>1690</v>
      </c>
      <c r="O175" s="927" t="s">
        <v>3485</v>
      </c>
      <c r="P175" s="930" t="s">
        <v>1703</v>
      </c>
      <c r="Q175" s="927" t="s">
        <v>3484</v>
      </c>
      <c r="R175" s="930" t="s">
        <v>1704</v>
      </c>
      <c r="S175" s="927" t="s">
        <v>3484</v>
      </c>
      <c r="T175" s="931" t="s">
        <v>1938</v>
      </c>
      <c r="U175" s="931" t="s">
        <v>2034</v>
      </c>
      <c r="V175" s="873" t="s">
        <v>3361</v>
      </c>
      <c r="W175" s="928"/>
      <c r="AC175" s="902"/>
      <c r="AD175" s="903" t="s">
        <v>4089</v>
      </c>
      <c r="AE175" s="904">
        <v>3</v>
      </c>
      <c r="AF175" s="904">
        <v>95</v>
      </c>
      <c r="AG175" s="920" t="s">
        <v>4090</v>
      </c>
      <c r="AH175" s="906" t="s">
        <v>4091</v>
      </c>
      <c r="AI175" s="892" t="s">
        <v>4066</v>
      </c>
      <c r="AJ175" s="887"/>
    </row>
    <row r="176" spans="1:37" x14ac:dyDescent="0.2">
      <c r="A176" s="927" t="s">
        <v>4147</v>
      </c>
      <c r="B176" s="928">
        <v>7</v>
      </c>
      <c r="C176" s="928">
        <v>10</v>
      </c>
      <c r="D176" s="928">
        <v>25</v>
      </c>
      <c r="E176" s="928">
        <v>4</v>
      </c>
      <c r="F176" s="928">
        <v>8</v>
      </c>
      <c r="G176" s="928">
        <v>14</v>
      </c>
      <c r="H176" s="928">
        <v>2</v>
      </c>
      <c r="I176" s="929" t="s">
        <v>3441</v>
      </c>
      <c r="J176" s="929" t="s">
        <v>1537</v>
      </c>
      <c r="K176" s="928" t="s">
        <v>1695</v>
      </c>
      <c r="L176" s="930" t="s">
        <v>1813</v>
      </c>
      <c r="M176" s="927" t="s">
        <v>3575</v>
      </c>
      <c r="N176" s="930" t="s">
        <v>1690</v>
      </c>
      <c r="O176" s="927" t="s">
        <v>3485</v>
      </c>
      <c r="P176" s="930" t="s">
        <v>1703</v>
      </c>
      <c r="Q176" s="927" t="s">
        <v>3484</v>
      </c>
      <c r="R176" s="930" t="s">
        <v>1704</v>
      </c>
      <c r="S176" s="927" t="s">
        <v>3484</v>
      </c>
      <c r="T176" s="931" t="s">
        <v>1938</v>
      </c>
      <c r="U176" s="931" t="s">
        <v>2034</v>
      </c>
      <c r="V176" s="873" t="s">
        <v>3361</v>
      </c>
      <c r="W176" s="928"/>
      <c r="AC176" s="902"/>
      <c r="AD176" s="903" t="s">
        <v>4093</v>
      </c>
      <c r="AE176" s="904">
        <v>3</v>
      </c>
      <c r="AF176" s="904">
        <v>80</v>
      </c>
      <c r="AG176" s="920" t="s">
        <v>4094</v>
      </c>
      <c r="AH176" s="906" t="s">
        <v>4095</v>
      </c>
      <c r="AI176" s="892" t="s">
        <v>4096</v>
      </c>
      <c r="AJ176" s="887"/>
    </row>
    <row r="177" spans="1:36" x14ac:dyDescent="0.2">
      <c r="A177" s="927" t="s">
        <v>4148</v>
      </c>
      <c r="B177" s="928">
        <v>10</v>
      </c>
      <c r="C177" s="928">
        <v>13</v>
      </c>
      <c r="D177" s="928">
        <v>35</v>
      </c>
      <c r="E177" s="928">
        <v>6</v>
      </c>
      <c r="F177" s="928">
        <v>12</v>
      </c>
      <c r="G177" s="928">
        <v>21</v>
      </c>
      <c r="H177" s="928">
        <v>2</v>
      </c>
      <c r="I177" s="929" t="s">
        <v>3441</v>
      </c>
      <c r="J177" s="929" t="s">
        <v>1537</v>
      </c>
      <c r="K177" s="928" t="s">
        <v>1695</v>
      </c>
      <c r="L177" s="930" t="s">
        <v>1813</v>
      </c>
      <c r="M177" s="927" t="s">
        <v>3575</v>
      </c>
      <c r="N177" s="930" t="s">
        <v>1690</v>
      </c>
      <c r="O177" s="927" t="s">
        <v>3485</v>
      </c>
      <c r="P177" s="930" t="s">
        <v>1703</v>
      </c>
      <c r="Q177" s="927" t="s">
        <v>3484</v>
      </c>
      <c r="R177" s="930" t="s">
        <v>1704</v>
      </c>
      <c r="S177" s="927" t="s">
        <v>3484</v>
      </c>
      <c r="T177" s="931" t="s">
        <v>1938</v>
      </c>
      <c r="U177" s="931" t="s">
        <v>2034</v>
      </c>
      <c r="V177" s="873" t="s">
        <v>3361</v>
      </c>
      <c r="W177" s="928"/>
      <c r="AC177" s="910"/>
      <c r="AD177" s="911" t="s">
        <v>4098</v>
      </c>
      <c r="AE177" s="916"/>
      <c r="AF177" s="912"/>
      <c r="AG177" s="921"/>
      <c r="AH177" s="914"/>
      <c r="AI177" s="886"/>
      <c r="AJ177" s="887"/>
    </row>
    <row r="178" spans="1:36" x14ac:dyDescent="0.2">
      <c r="A178" s="927" t="s">
        <v>4149</v>
      </c>
      <c r="B178" s="928">
        <v>12</v>
      </c>
      <c r="C178" s="928">
        <v>15</v>
      </c>
      <c r="D178" s="928">
        <v>40</v>
      </c>
      <c r="E178" s="928">
        <v>8</v>
      </c>
      <c r="F178" s="928">
        <v>16</v>
      </c>
      <c r="G178" s="928">
        <v>28</v>
      </c>
      <c r="H178" s="928">
        <v>3</v>
      </c>
      <c r="I178" s="929" t="s">
        <v>3441</v>
      </c>
      <c r="J178" s="929" t="s">
        <v>1537</v>
      </c>
      <c r="K178" s="928" t="s">
        <v>1695</v>
      </c>
      <c r="L178" s="930" t="s">
        <v>1813</v>
      </c>
      <c r="M178" s="927" t="s">
        <v>3575</v>
      </c>
      <c r="N178" s="930" t="s">
        <v>1690</v>
      </c>
      <c r="O178" s="927" t="s">
        <v>3485</v>
      </c>
      <c r="P178" s="930" t="s">
        <v>1703</v>
      </c>
      <c r="Q178" s="927" t="s">
        <v>3484</v>
      </c>
      <c r="R178" s="930" t="s">
        <v>1704</v>
      </c>
      <c r="S178" s="927" t="s">
        <v>3484</v>
      </c>
      <c r="T178" s="931" t="s">
        <v>1938</v>
      </c>
      <c r="U178" s="931" t="s">
        <v>2034</v>
      </c>
      <c r="V178" s="873" t="s">
        <v>3361</v>
      </c>
      <c r="W178" s="928"/>
      <c r="AC178" s="902"/>
      <c r="AD178" s="903" t="s">
        <v>4100</v>
      </c>
      <c r="AE178" s="904">
        <v>1</v>
      </c>
      <c r="AF178" s="904">
        <v>35</v>
      </c>
      <c r="AG178" s="920" t="s">
        <v>4101</v>
      </c>
      <c r="AH178" s="906" t="s">
        <v>4102</v>
      </c>
      <c r="AI178" s="892"/>
      <c r="AJ178" s="887"/>
    </row>
    <row r="179" spans="1:36" x14ac:dyDescent="0.2">
      <c r="A179" s="927" t="s">
        <v>4150</v>
      </c>
      <c r="B179" s="928">
        <v>14</v>
      </c>
      <c r="C179" s="928">
        <v>18</v>
      </c>
      <c r="D179" s="928">
        <v>50</v>
      </c>
      <c r="E179" s="928">
        <v>10</v>
      </c>
      <c r="F179" s="928">
        <v>20</v>
      </c>
      <c r="G179" s="928">
        <v>35</v>
      </c>
      <c r="H179" s="928">
        <v>3</v>
      </c>
      <c r="I179" s="929" t="s">
        <v>3441</v>
      </c>
      <c r="J179" s="929" t="s">
        <v>1537</v>
      </c>
      <c r="K179" s="928" t="s">
        <v>1695</v>
      </c>
      <c r="L179" s="930" t="s">
        <v>1813</v>
      </c>
      <c r="M179" s="927" t="s">
        <v>3575</v>
      </c>
      <c r="N179" s="930" t="s">
        <v>1690</v>
      </c>
      <c r="O179" s="927" t="s">
        <v>3485</v>
      </c>
      <c r="P179" s="930" t="s">
        <v>1703</v>
      </c>
      <c r="Q179" s="927" t="s">
        <v>3484</v>
      </c>
      <c r="R179" s="930" t="s">
        <v>1704</v>
      </c>
      <c r="S179" s="927" t="s">
        <v>3484</v>
      </c>
      <c r="T179" s="931" t="s">
        <v>1938</v>
      </c>
      <c r="U179" s="931" t="s">
        <v>2034</v>
      </c>
      <c r="V179" s="873" t="s">
        <v>3361</v>
      </c>
      <c r="W179" s="928"/>
      <c r="AC179" s="902"/>
      <c r="AD179" s="903" t="s">
        <v>4104</v>
      </c>
      <c r="AE179" s="904">
        <v>1</v>
      </c>
      <c r="AF179" s="904">
        <v>25</v>
      </c>
      <c r="AG179" s="920" t="s">
        <v>4105</v>
      </c>
      <c r="AH179" s="906" t="s">
        <v>4106</v>
      </c>
      <c r="AI179" s="892"/>
      <c r="AJ179" s="932"/>
    </row>
    <row r="180" spans="1:36" x14ac:dyDescent="0.2">
      <c r="A180" s="769" t="s">
        <v>3507</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4108</v>
      </c>
      <c r="AE180" s="904">
        <v>2</v>
      </c>
      <c r="AF180" s="904">
        <v>45</v>
      </c>
      <c r="AG180" s="920" t="s">
        <v>4109</v>
      </c>
      <c r="AH180" s="906" t="s">
        <v>4110</v>
      </c>
      <c r="AI180" s="892"/>
      <c r="AJ180" s="932"/>
    </row>
    <row r="181" spans="1:36" x14ac:dyDescent="0.2">
      <c r="A181" s="927" t="s">
        <v>4151</v>
      </c>
      <c r="B181" s="928">
        <v>10</v>
      </c>
      <c r="C181" s="928">
        <v>15</v>
      </c>
      <c r="D181" s="928">
        <v>25</v>
      </c>
      <c r="E181" s="928">
        <v>4</v>
      </c>
      <c r="F181" s="928">
        <v>8</v>
      </c>
      <c r="G181" s="928">
        <v>14</v>
      </c>
      <c r="H181" s="928">
        <v>1</v>
      </c>
      <c r="I181" s="929" t="s">
        <v>3436</v>
      </c>
      <c r="J181" s="929" t="s">
        <v>1537</v>
      </c>
      <c r="K181" s="928" t="s">
        <v>1695</v>
      </c>
      <c r="L181" s="930" t="s">
        <v>1813</v>
      </c>
      <c r="M181" s="927" t="s">
        <v>3484</v>
      </c>
      <c r="N181" s="930" t="s">
        <v>1690</v>
      </c>
      <c r="O181" s="927" t="s">
        <v>3485</v>
      </c>
      <c r="P181" s="930" t="s">
        <v>1703</v>
      </c>
      <c r="Q181" s="927" t="s">
        <v>3575</v>
      </c>
      <c r="R181" s="930" t="s">
        <v>1704</v>
      </c>
      <c r="S181" s="927" t="s">
        <v>3575</v>
      </c>
      <c r="T181" s="931" t="s">
        <v>1938</v>
      </c>
      <c r="U181" s="931" t="s">
        <v>2034</v>
      </c>
      <c r="V181" s="873" t="s">
        <v>3361</v>
      </c>
      <c r="W181" s="928"/>
      <c r="AC181" s="902"/>
      <c r="AD181" s="903" t="s">
        <v>4112</v>
      </c>
      <c r="AE181" s="904">
        <v>2</v>
      </c>
      <c r="AF181" s="904">
        <v>45</v>
      </c>
      <c r="AG181" s="920" t="s">
        <v>4113</v>
      </c>
      <c r="AH181" s="906" t="s">
        <v>4114</v>
      </c>
      <c r="AI181" s="892"/>
      <c r="AJ181" s="932"/>
    </row>
    <row r="182" spans="1:36" x14ac:dyDescent="0.2">
      <c r="A182" s="927" t="s">
        <v>4152</v>
      </c>
      <c r="B182" s="928">
        <v>15</v>
      </c>
      <c r="C182" s="928">
        <v>20</v>
      </c>
      <c r="D182" s="928">
        <v>40</v>
      </c>
      <c r="E182" s="928">
        <v>8</v>
      </c>
      <c r="F182" s="928">
        <v>16</v>
      </c>
      <c r="G182" s="928">
        <v>28</v>
      </c>
      <c r="H182" s="928">
        <v>2</v>
      </c>
      <c r="I182" s="929" t="s">
        <v>3436</v>
      </c>
      <c r="J182" s="929" t="s">
        <v>1537</v>
      </c>
      <c r="K182" s="928" t="s">
        <v>1695</v>
      </c>
      <c r="L182" s="930" t="s">
        <v>1813</v>
      </c>
      <c r="M182" s="927" t="s">
        <v>3484</v>
      </c>
      <c r="N182" s="930" t="s">
        <v>1690</v>
      </c>
      <c r="O182" s="927" t="s">
        <v>3485</v>
      </c>
      <c r="P182" s="930" t="s">
        <v>1703</v>
      </c>
      <c r="Q182" s="927" t="s">
        <v>3575</v>
      </c>
      <c r="R182" s="930" t="s">
        <v>1704</v>
      </c>
      <c r="S182" s="927" t="s">
        <v>3575</v>
      </c>
      <c r="T182" s="931" t="s">
        <v>1938</v>
      </c>
      <c r="U182" s="931" t="s">
        <v>2034</v>
      </c>
      <c r="V182" s="873" t="s">
        <v>3361</v>
      </c>
      <c r="W182" s="928"/>
      <c r="AC182" s="902"/>
      <c r="AD182" s="903" t="s">
        <v>4116</v>
      </c>
      <c r="AE182" s="904">
        <v>3</v>
      </c>
      <c r="AF182" s="904">
        <v>75</v>
      </c>
      <c r="AG182" s="920" t="s">
        <v>4117</v>
      </c>
      <c r="AH182" s="906" t="s">
        <v>4118</v>
      </c>
      <c r="AI182" s="892"/>
      <c r="AJ182" s="932"/>
    </row>
    <row r="183" spans="1:36" x14ac:dyDescent="0.2">
      <c r="A183" s="927" t="s">
        <v>4153</v>
      </c>
      <c r="B183" s="928">
        <v>20</v>
      </c>
      <c r="C183" s="928">
        <v>30</v>
      </c>
      <c r="D183" s="928">
        <v>80</v>
      </c>
      <c r="E183" s="928">
        <v>12</v>
      </c>
      <c r="F183" s="928">
        <v>24</v>
      </c>
      <c r="G183" s="928">
        <v>42</v>
      </c>
      <c r="H183" s="928">
        <v>3</v>
      </c>
      <c r="I183" s="929" t="s">
        <v>3436</v>
      </c>
      <c r="J183" s="929" t="s">
        <v>1537</v>
      </c>
      <c r="K183" s="928" t="s">
        <v>1695</v>
      </c>
      <c r="L183" s="930" t="s">
        <v>1813</v>
      </c>
      <c r="M183" s="927" t="s">
        <v>3484</v>
      </c>
      <c r="N183" s="930" t="s">
        <v>1690</v>
      </c>
      <c r="O183" s="927" t="s">
        <v>3485</v>
      </c>
      <c r="P183" s="930" t="s">
        <v>1703</v>
      </c>
      <c r="Q183" s="927" t="s">
        <v>3575</v>
      </c>
      <c r="R183" s="930" t="s">
        <v>1704</v>
      </c>
      <c r="S183" s="927" t="s">
        <v>3575</v>
      </c>
      <c r="T183" s="931" t="s">
        <v>1938</v>
      </c>
      <c r="U183" s="931" t="s">
        <v>2034</v>
      </c>
      <c r="V183" s="873" t="s">
        <v>3361</v>
      </c>
      <c r="W183" s="928"/>
      <c r="AC183" s="910"/>
      <c r="AD183" s="911" t="s">
        <v>4120</v>
      </c>
      <c r="AE183" s="916"/>
      <c r="AF183" s="912"/>
      <c r="AG183" s="921"/>
      <c r="AH183" s="914"/>
      <c r="AI183" s="886"/>
      <c r="AJ183" s="932"/>
    </row>
    <row r="184" spans="1:36" x14ac:dyDescent="0.2">
      <c r="A184" s="769" t="s">
        <v>3512</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4122</v>
      </c>
      <c r="AE184" s="904">
        <v>1</v>
      </c>
      <c r="AF184" s="904">
        <v>50</v>
      </c>
      <c r="AG184" s="920" t="s">
        <v>4123</v>
      </c>
      <c r="AH184" s="906" t="s">
        <v>4124</v>
      </c>
      <c r="AI184" s="892"/>
      <c r="AJ184" s="932"/>
    </row>
    <row r="185" spans="1:36" x14ac:dyDescent="0.2">
      <c r="A185" s="927" t="s">
        <v>4154</v>
      </c>
      <c r="B185" s="928">
        <v>20</v>
      </c>
      <c r="C185" s="928">
        <v>30</v>
      </c>
      <c r="D185" s="928">
        <v>40</v>
      </c>
      <c r="E185" s="928">
        <v>8</v>
      </c>
      <c r="F185" s="928">
        <v>16</v>
      </c>
      <c r="G185" s="928">
        <v>28</v>
      </c>
      <c r="H185" s="928">
        <v>1</v>
      </c>
      <c r="I185" s="929" t="s">
        <v>3441</v>
      </c>
      <c r="J185" s="929" t="s">
        <v>1537</v>
      </c>
      <c r="K185" s="928" t="s">
        <v>1695</v>
      </c>
      <c r="L185" s="930" t="s">
        <v>1813</v>
      </c>
      <c r="M185" s="927" t="s">
        <v>3484</v>
      </c>
      <c r="N185" s="930" t="s">
        <v>1690</v>
      </c>
      <c r="O185" s="927" t="s">
        <v>3485</v>
      </c>
      <c r="P185" s="930" t="s">
        <v>1703</v>
      </c>
      <c r="Q185" s="927" t="s">
        <v>3575</v>
      </c>
      <c r="R185" s="930" t="s">
        <v>1704</v>
      </c>
      <c r="S185" s="927" t="s">
        <v>3575</v>
      </c>
      <c r="T185" s="931" t="s">
        <v>1938</v>
      </c>
      <c r="U185" s="931" t="s">
        <v>2034</v>
      </c>
      <c r="V185" s="873" t="s">
        <v>3361</v>
      </c>
      <c r="W185" s="928"/>
      <c r="AC185" s="902"/>
      <c r="AD185" s="903" t="s">
        <v>4126</v>
      </c>
      <c r="AE185" s="904">
        <v>1</v>
      </c>
      <c r="AF185" s="904">
        <v>40</v>
      </c>
      <c r="AG185" s="920" t="s">
        <v>4127</v>
      </c>
      <c r="AH185" s="906" t="s">
        <v>4128</v>
      </c>
      <c r="AI185" s="892"/>
      <c r="AJ185" s="932"/>
    </row>
    <row r="186" spans="1:36" x14ac:dyDescent="0.2">
      <c r="A186" s="927" t="s">
        <v>4155</v>
      </c>
      <c r="B186" s="928">
        <v>30</v>
      </c>
      <c r="C186" s="928">
        <v>36</v>
      </c>
      <c r="D186" s="928">
        <v>70</v>
      </c>
      <c r="E186" s="928">
        <v>16</v>
      </c>
      <c r="F186" s="928">
        <v>32</v>
      </c>
      <c r="G186" s="928">
        <v>56</v>
      </c>
      <c r="H186" s="928">
        <v>2</v>
      </c>
      <c r="I186" s="929" t="s">
        <v>3441</v>
      </c>
      <c r="J186" s="929" t="s">
        <v>1537</v>
      </c>
      <c r="K186" s="928" t="s">
        <v>1695</v>
      </c>
      <c r="L186" s="930" t="s">
        <v>1813</v>
      </c>
      <c r="M186" s="927" t="s">
        <v>3484</v>
      </c>
      <c r="N186" s="930" t="s">
        <v>1690</v>
      </c>
      <c r="O186" s="927" t="s">
        <v>3485</v>
      </c>
      <c r="P186" s="930" t="s">
        <v>1703</v>
      </c>
      <c r="Q186" s="927" t="s">
        <v>3575</v>
      </c>
      <c r="R186" s="930" t="s">
        <v>1704</v>
      </c>
      <c r="S186" s="927" t="s">
        <v>3575</v>
      </c>
      <c r="T186" s="931" t="s">
        <v>1938</v>
      </c>
      <c r="U186" s="931" t="s">
        <v>2034</v>
      </c>
      <c r="V186" s="873" t="s">
        <v>3361</v>
      </c>
      <c r="W186" s="928"/>
      <c r="AC186" s="902"/>
      <c r="AD186" s="903" t="s">
        <v>4130</v>
      </c>
      <c r="AE186" s="904">
        <v>2</v>
      </c>
      <c r="AF186" s="904">
        <v>100</v>
      </c>
      <c r="AG186" s="920" t="s">
        <v>4131</v>
      </c>
      <c r="AH186" s="906" t="s">
        <v>4132</v>
      </c>
      <c r="AI186" s="892" t="s">
        <v>4133</v>
      </c>
      <c r="AJ186" s="932"/>
    </row>
    <row r="187" spans="1:36" x14ac:dyDescent="0.2">
      <c r="A187" s="927" t="s">
        <v>4156</v>
      </c>
      <c r="B187" s="928">
        <v>40</v>
      </c>
      <c r="C187" s="928">
        <v>48</v>
      </c>
      <c r="D187" s="928">
        <v>100</v>
      </c>
      <c r="E187" s="928">
        <v>22</v>
      </c>
      <c r="F187" s="928">
        <v>44</v>
      </c>
      <c r="G187" s="928">
        <v>77</v>
      </c>
      <c r="H187" s="928">
        <v>3</v>
      </c>
      <c r="I187" s="929" t="s">
        <v>3441</v>
      </c>
      <c r="J187" s="929" t="s">
        <v>1537</v>
      </c>
      <c r="K187" s="928" t="s">
        <v>1695</v>
      </c>
      <c r="L187" s="930" t="s">
        <v>1813</v>
      </c>
      <c r="M187" s="927" t="s">
        <v>3484</v>
      </c>
      <c r="N187" s="930" t="s">
        <v>1690</v>
      </c>
      <c r="O187" s="927" t="s">
        <v>3485</v>
      </c>
      <c r="P187" s="930" t="s">
        <v>1703</v>
      </c>
      <c r="Q187" s="927" t="s">
        <v>3575</v>
      </c>
      <c r="R187" s="930" t="s">
        <v>1704</v>
      </c>
      <c r="S187" s="927" t="s">
        <v>3575</v>
      </c>
      <c r="T187" s="931" t="s">
        <v>1938</v>
      </c>
      <c r="U187" s="931" t="s">
        <v>2034</v>
      </c>
      <c r="V187" s="873" t="s">
        <v>3361</v>
      </c>
      <c r="W187" s="928"/>
      <c r="AC187" s="902"/>
      <c r="AD187" s="903" t="s">
        <v>4135</v>
      </c>
      <c r="AE187" s="904">
        <v>2</v>
      </c>
      <c r="AF187" s="904">
        <v>100</v>
      </c>
      <c r="AG187" s="920" t="s">
        <v>4136</v>
      </c>
      <c r="AH187" s="906" t="s">
        <v>4137</v>
      </c>
      <c r="AI187" s="892"/>
      <c r="AJ187" s="932"/>
    </row>
    <row r="188" spans="1:36" ht="13.5" thickBot="1" x14ac:dyDescent="0.25">
      <c r="A188" s="927" t="s">
        <v>3517</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4139</v>
      </c>
      <c r="AE188" s="941">
        <v>3</v>
      </c>
      <c r="AF188" s="941">
        <v>200</v>
      </c>
      <c r="AG188" s="942" t="s">
        <v>4140</v>
      </c>
      <c r="AH188" s="943" t="s">
        <v>4141</v>
      </c>
      <c r="AI188" s="944" t="s">
        <v>4142</v>
      </c>
      <c r="AJ188" s="945"/>
    </row>
    <row r="189" spans="1:36" x14ac:dyDescent="0.2">
      <c r="A189" s="927" t="s">
        <v>4157</v>
      </c>
      <c r="B189" s="928">
        <v>1</v>
      </c>
      <c r="C189" s="928">
        <v>2</v>
      </c>
      <c r="D189" s="928">
        <v>5</v>
      </c>
      <c r="E189" s="928">
        <v>1</v>
      </c>
      <c r="F189" s="928">
        <v>2</v>
      </c>
      <c r="G189" s="928">
        <v>4</v>
      </c>
      <c r="H189" s="928">
        <v>1</v>
      </c>
      <c r="I189" s="929" t="s">
        <v>3436</v>
      </c>
      <c r="J189" s="929" t="s">
        <v>1537</v>
      </c>
      <c r="K189" s="928" t="s">
        <v>1695</v>
      </c>
      <c r="L189" s="930" t="s">
        <v>1813</v>
      </c>
      <c r="M189" s="927" t="s">
        <v>3575</v>
      </c>
      <c r="N189" s="930" t="s">
        <v>1690</v>
      </c>
      <c r="O189" s="927" t="s">
        <v>3485</v>
      </c>
      <c r="P189" s="930" t="s">
        <v>1703</v>
      </c>
      <c r="Q189" s="927" t="s">
        <v>3484</v>
      </c>
      <c r="R189" s="930" t="s">
        <v>1704</v>
      </c>
      <c r="S189" s="927" t="s">
        <v>3484</v>
      </c>
      <c r="T189" s="931" t="s">
        <v>1938</v>
      </c>
      <c r="U189" s="931" t="s">
        <v>2034</v>
      </c>
      <c r="V189" s="873" t="s">
        <v>3361</v>
      </c>
      <c r="W189" s="928"/>
    </row>
    <row r="190" spans="1:36" x14ac:dyDescent="0.2">
      <c r="A190" s="927" t="s">
        <v>4158</v>
      </c>
      <c r="B190" s="928">
        <v>3</v>
      </c>
      <c r="C190" s="928">
        <v>5</v>
      </c>
      <c r="D190" s="928">
        <v>10</v>
      </c>
      <c r="E190" s="928">
        <v>2</v>
      </c>
      <c r="F190" s="928">
        <v>4</v>
      </c>
      <c r="G190" s="928">
        <v>7</v>
      </c>
      <c r="H190" s="928">
        <v>1</v>
      </c>
      <c r="I190" s="929" t="s">
        <v>3436</v>
      </c>
      <c r="J190" s="929" t="s">
        <v>1537</v>
      </c>
      <c r="K190" s="928" t="s">
        <v>1695</v>
      </c>
      <c r="L190" s="930" t="s">
        <v>1813</v>
      </c>
      <c r="M190" s="927" t="s">
        <v>3575</v>
      </c>
      <c r="N190" s="930" t="s">
        <v>1690</v>
      </c>
      <c r="O190" s="927" t="s">
        <v>3485</v>
      </c>
      <c r="P190" s="930" t="s">
        <v>1703</v>
      </c>
      <c r="Q190" s="927" t="s">
        <v>3484</v>
      </c>
      <c r="R190" s="930" t="s">
        <v>1704</v>
      </c>
      <c r="S190" s="927" t="s">
        <v>3484</v>
      </c>
      <c r="T190" s="931" t="s">
        <v>1938</v>
      </c>
      <c r="U190" s="931" t="s">
        <v>2034</v>
      </c>
      <c r="V190" s="873" t="s">
        <v>3361</v>
      </c>
      <c r="W190" s="928"/>
    </row>
    <row r="191" spans="1:36" x14ac:dyDescent="0.2">
      <c r="A191" s="927" t="s">
        <v>4159</v>
      </c>
      <c r="B191" s="928">
        <v>5</v>
      </c>
      <c r="C191" s="928">
        <v>8</v>
      </c>
      <c r="D191" s="928">
        <v>15</v>
      </c>
      <c r="E191" s="928">
        <v>3</v>
      </c>
      <c r="F191" s="928">
        <v>6</v>
      </c>
      <c r="G191" s="928">
        <v>11</v>
      </c>
      <c r="H191" s="928">
        <v>1</v>
      </c>
      <c r="I191" s="929" t="s">
        <v>3436</v>
      </c>
      <c r="J191" s="929" t="s">
        <v>1537</v>
      </c>
      <c r="K191" s="928" t="s">
        <v>1695</v>
      </c>
      <c r="L191" s="930" t="s">
        <v>1813</v>
      </c>
      <c r="M191" s="927" t="s">
        <v>3575</v>
      </c>
      <c r="N191" s="930" t="s">
        <v>1690</v>
      </c>
      <c r="O191" s="927" t="s">
        <v>3485</v>
      </c>
      <c r="P191" s="930" t="s">
        <v>1703</v>
      </c>
      <c r="Q191" s="927" t="s">
        <v>3484</v>
      </c>
      <c r="R191" s="930" t="s">
        <v>1704</v>
      </c>
      <c r="S191" s="927" t="s">
        <v>3484</v>
      </c>
      <c r="T191" s="931" t="s">
        <v>1938</v>
      </c>
      <c r="U191" s="931" t="s">
        <v>2034</v>
      </c>
      <c r="V191" s="873" t="s">
        <v>3361</v>
      </c>
      <c r="W191" s="928"/>
    </row>
    <row r="192" spans="1:36" x14ac:dyDescent="0.2">
      <c r="A192" s="927" t="s">
        <v>4160</v>
      </c>
      <c r="B192" s="928">
        <v>7</v>
      </c>
      <c r="C192" s="928">
        <v>10</v>
      </c>
      <c r="D192" s="928">
        <v>20</v>
      </c>
      <c r="E192" s="928">
        <v>5</v>
      </c>
      <c r="F192" s="928">
        <v>10</v>
      </c>
      <c r="G192" s="928">
        <v>18</v>
      </c>
      <c r="H192" s="928">
        <v>2</v>
      </c>
      <c r="I192" s="929" t="s">
        <v>3436</v>
      </c>
      <c r="J192" s="929" t="s">
        <v>1537</v>
      </c>
      <c r="K192" s="928" t="s">
        <v>1695</v>
      </c>
      <c r="L192" s="930" t="s">
        <v>1813</v>
      </c>
      <c r="M192" s="927" t="s">
        <v>3575</v>
      </c>
      <c r="N192" s="930" t="s">
        <v>1690</v>
      </c>
      <c r="O192" s="927" t="s">
        <v>3485</v>
      </c>
      <c r="P192" s="930" t="s">
        <v>1703</v>
      </c>
      <c r="Q192" s="927" t="s">
        <v>3484</v>
      </c>
      <c r="R192" s="930" t="s">
        <v>1704</v>
      </c>
      <c r="S192" s="927" t="s">
        <v>3484</v>
      </c>
      <c r="T192" s="931" t="s">
        <v>1938</v>
      </c>
      <c r="U192" s="931" t="s">
        <v>2034</v>
      </c>
      <c r="V192" s="873" t="s">
        <v>3361</v>
      </c>
      <c r="W192" s="928"/>
    </row>
    <row r="193" spans="1:23" x14ac:dyDescent="0.2">
      <c r="A193" s="927" t="s">
        <v>4161</v>
      </c>
      <c r="B193" s="928">
        <v>9</v>
      </c>
      <c r="C193" s="928">
        <v>12</v>
      </c>
      <c r="D193" s="928">
        <v>25</v>
      </c>
      <c r="E193" s="928">
        <v>7</v>
      </c>
      <c r="F193" s="928">
        <v>14</v>
      </c>
      <c r="G193" s="928">
        <v>25</v>
      </c>
      <c r="H193" s="928">
        <v>2</v>
      </c>
      <c r="I193" s="929" t="s">
        <v>3436</v>
      </c>
      <c r="J193" s="929" t="s">
        <v>1537</v>
      </c>
      <c r="K193" s="928" t="s">
        <v>1695</v>
      </c>
      <c r="L193" s="930" t="s">
        <v>1813</v>
      </c>
      <c r="M193" s="927" t="s">
        <v>3575</v>
      </c>
      <c r="N193" s="930" t="s">
        <v>1690</v>
      </c>
      <c r="O193" s="927" t="s">
        <v>3485</v>
      </c>
      <c r="P193" s="930" t="s">
        <v>1703</v>
      </c>
      <c r="Q193" s="927" t="s">
        <v>3484</v>
      </c>
      <c r="R193" s="930" t="s">
        <v>1704</v>
      </c>
      <c r="S193" s="927" t="s">
        <v>3484</v>
      </c>
      <c r="T193" s="931" t="s">
        <v>1938</v>
      </c>
      <c r="U193" s="931" t="s">
        <v>2034</v>
      </c>
      <c r="V193" s="873" t="s">
        <v>3361</v>
      </c>
      <c r="W193" s="928"/>
    </row>
    <row r="194" spans="1:23" x14ac:dyDescent="0.2">
      <c r="A194" s="927" t="s">
        <v>4162</v>
      </c>
      <c r="B194" s="928">
        <v>12</v>
      </c>
      <c r="C194" s="928">
        <v>15</v>
      </c>
      <c r="D194" s="928">
        <v>30</v>
      </c>
      <c r="E194" s="928">
        <v>9</v>
      </c>
      <c r="F194" s="928">
        <v>18</v>
      </c>
      <c r="G194" s="928">
        <v>32</v>
      </c>
      <c r="H194" s="928">
        <v>3</v>
      </c>
      <c r="I194" s="929" t="s">
        <v>3436</v>
      </c>
      <c r="J194" s="929" t="s">
        <v>1537</v>
      </c>
      <c r="K194" s="928" t="s">
        <v>1695</v>
      </c>
      <c r="L194" s="930" t="s">
        <v>1813</v>
      </c>
      <c r="M194" s="927" t="s">
        <v>3575</v>
      </c>
      <c r="N194" s="930" t="s">
        <v>1690</v>
      </c>
      <c r="O194" s="927" t="s">
        <v>3485</v>
      </c>
      <c r="P194" s="930" t="s">
        <v>1703</v>
      </c>
      <c r="Q194" s="927" t="s">
        <v>3484</v>
      </c>
      <c r="R194" s="930" t="s">
        <v>1704</v>
      </c>
      <c r="S194" s="927" t="s">
        <v>3484</v>
      </c>
      <c r="T194" s="931" t="s">
        <v>1938</v>
      </c>
      <c r="U194" s="931" t="s">
        <v>2034</v>
      </c>
      <c r="V194" s="873" t="s">
        <v>3361</v>
      </c>
      <c r="W194" s="928"/>
    </row>
    <row r="195" spans="1:23" x14ac:dyDescent="0.2">
      <c r="A195" s="927" t="s">
        <v>4163</v>
      </c>
      <c r="B195" s="928">
        <v>15</v>
      </c>
      <c r="C195" s="928">
        <v>19</v>
      </c>
      <c r="D195" s="928">
        <v>35</v>
      </c>
      <c r="E195" s="928">
        <v>12</v>
      </c>
      <c r="F195" s="928">
        <v>24</v>
      </c>
      <c r="G195" s="928">
        <v>42</v>
      </c>
      <c r="H195" s="928">
        <v>3</v>
      </c>
      <c r="I195" s="929" t="s">
        <v>3436</v>
      </c>
      <c r="J195" s="929" t="s">
        <v>1537</v>
      </c>
      <c r="K195" s="928" t="s">
        <v>1695</v>
      </c>
      <c r="L195" s="930" t="s">
        <v>1813</v>
      </c>
      <c r="M195" s="927" t="s">
        <v>3575</v>
      </c>
      <c r="N195" s="930" t="s">
        <v>1690</v>
      </c>
      <c r="O195" s="927" t="s">
        <v>3485</v>
      </c>
      <c r="P195" s="930" t="s">
        <v>1703</v>
      </c>
      <c r="Q195" s="927" t="s">
        <v>3484</v>
      </c>
      <c r="R195" s="930" t="s">
        <v>1704</v>
      </c>
      <c r="S195" s="927" t="s">
        <v>3484</v>
      </c>
      <c r="T195" s="931" t="s">
        <v>1938</v>
      </c>
      <c r="U195" s="931" t="s">
        <v>2034</v>
      </c>
      <c r="V195" s="873" t="s">
        <v>3361</v>
      </c>
      <c r="W195" s="928"/>
    </row>
    <row r="196" spans="1:23" x14ac:dyDescent="0.2">
      <c r="A196" s="769" t="s">
        <v>3520</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4164</v>
      </c>
      <c r="B197" s="928">
        <v>3</v>
      </c>
      <c r="C197" s="928">
        <v>5</v>
      </c>
      <c r="D197" s="928">
        <v>10</v>
      </c>
      <c r="E197" s="928">
        <v>2</v>
      </c>
      <c r="F197" s="928">
        <v>4</v>
      </c>
      <c r="G197" s="928">
        <v>7</v>
      </c>
      <c r="H197" s="928">
        <v>1</v>
      </c>
      <c r="I197" s="929" t="s">
        <v>3441</v>
      </c>
      <c r="J197" s="929" t="s">
        <v>1537</v>
      </c>
      <c r="K197" s="928" t="s">
        <v>1695</v>
      </c>
      <c r="L197" s="930" t="s">
        <v>1813</v>
      </c>
      <c r="M197" s="927" t="s">
        <v>3575</v>
      </c>
      <c r="N197" s="930" t="s">
        <v>1690</v>
      </c>
      <c r="O197" s="927" t="s">
        <v>3485</v>
      </c>
      <c r="P197" s="930" t="s">
        <v>1703</v>
      </c>
      <c r="Q197" s="927" t="s">
        <v>3484</v>
      </c>
      <c r="R197" s="930" t="s">
        <v>1704</v>
      </c>
      <c r="S197" s="927" t="s">
        <v>3484</v>
      </c>
      <c r="T197" s="931" t="s">
        <v>1938</v>
      </c>
      <c r="U197" s="931" t="s">
        <v>2034</v>
      </c>
      <c r="V197" s="873" t="s">
        <v>3361</v>
      </c>
      <c r="W197" s="928"/>
    </row>
    <row r="198" spans="1:23" x14ac:dyDescent="0.2">
      <c r="A198" s="927" t="s">
        <v>4165</v>
      </c>
      <c r="B198" s="928">
        <v>5</v>
      </c>
      <c r="C198" s="928">
        <v>8</v>
      </c>
      <c r="D198" s="928">
        <v>15</v>
      </c>
      <c r="E198" s="928">
        <v>5</v>
      </c>
      <c r="F198" s="928">
        <v>10</v>
      </c>
      <c r="G198" s="928">
        <v>18</v>
      </c>
      <c r="H198" s="928">
        <v>1</v>
      </c>
      <c r="I198" s="929" t="s">
        <v>3441</v>
      </c>
      <c r="J198" s="929" t="s">
        <v>1537</v>
      </c>
      <c r="K198" s="928" t="s">
        <v>1695</v>
      </c>
      <c r="L198" s="930" t="s">
        <v>1813</v>
      </c>
      <c r="M198" s="927" t="s">
        <v>3575</v>
      </c>
      <c r="N198" s="930" t="s">
        <v>1690</v>
      </c>
      <c r="O198" s="927" t="s">
        <v>3485</v>
      </c>
      <c r="P198" s="930" t="s">
        <v>1703</v>
      </c>
      <c r="Q198" s="927" t="s">
        <v>3484</v>
      </c>
      <c r="R198" s="930" t="s">
        <v>1704</v>
      </c>
      <c r="S198" s="927" t="s">
        <v>3484</v>
      </c>
      <c r="T198" s="931" t="s">
        <v>1938</v>
      </c>
      <c r="U198" s="931" t="s">
        <v>2034</v>
      </c>
      <c r="V198" s="873" t="s">
        <v>3361</v>
      </c>
      <c r="W198" s="928"/>
    </row>
    <row r="199" spans="1:23" x14ac:dyDescent="0.2">
      <c r="A199" s="927" t="s">
        <v>4166</v>
      </c>
      <c r="B199" s="928">
        <v>8</v>
      </c>
      <c r="C199" s="928">
        <v>11</v>
      </c>
      <c r="D199" s="928">
        <v>20</v>
      </c>
      <c r="E199" s="928">
        <v>6</v>
      </c>
      <c r="F199" s="928">
        <v>12</v>
      </c>
      <c r="G199" s="928">
        <v>21</v>
      </c>
      <c r="H199" s="928">
        <v>1</v>
      </c>
      <c r="I199" s="929" t="s">
        <v>3441</v>
      </c>
      <c r="J199" s="929" t="s">
        <v>1537</v>
      </c>
      <c r="K199" s="928" t="s">
        <v>1695</v>
      </c>
      <c r="L199" s="930" t="s">
        <v>1813</v>
      </c>
      <c r="M199" s="927" t="s">
        <v>3575</v>
      </c>
      <c r="N199" s="930" t="s">
        <v>1690</v>
      </c>
      <c r="O199" s="927" t="s">
        <v>3485</v>
      </c>
      <c r="P199" s="930" t="s">
        <v>1703</v>
      </c>
      <c r="Q199" s="927" t="s">
        <v>3484</v>
      </c>
      <c r="R199" s="930" t="s">
        <v>1704</v>
      </c>
      <c r="S199" s="927" t="s">
        <v>3484</v>
      </c>
      <c r="T199" s="931" t="s">
        <v>1938</v>
      </c>
      <c r="U199" s="931" t="s">
        <v>2034</v>
      </c>
      <c r="V199" s="873" t="s">
        <v>3361</v>
      </c>
      <c r="W199" s="928"/>
    </row>
    <row r="200" spans="1:23" x14ac:dyDescent="0.2">
      <c r="A200" s="927" t="s">
        <v>4167</v>
      </c>
      <c r="B200" s="928">
        <v>12</v>
      </c>
      <c r="C200" s="928">
        <v>15</v>
      </c>
      <c r="D200" s="928">
        <v>30</v>
      </c>
      <c r="E200" s="928">
        <v>8</v>
      </c>
      <c r="F200" s="928">
        <v>16</v>
      </c>
      <c r="G200" s="928">
        <v>28</v>
      </c>
      <c r="H200" s="928">
        <v>2</v>
      </c>
      <c r="I200" s="929" t="s">
        <v>3441</v>
      </c>
      <c r="J200" s="929" t="s">
        <v>1537</v>
      </c>
      <c r="K200" s="928" t="s">
        <v>1695</v>
      </c>
      <c r="L200" s="930" t="s">
        <v>1813</v>
      </c>
      <c r="M200" s="927" t="s">
        <v>3575</v>
      </c>
      <c r="N200" s="930" t="s">
        <v>1690</v>
      </c>
      <c r="O200" s="927" t="s">
        <v>3485</v>
      </c>
      <c r="P200" s="930" t="s">
        <v>1703</v>
      </c>
      <c r="Q200" s="927" t="s">
        <v>3484</v>
      </c>
      <c r="R200" s="930" t="s">
        <v>1704</v>
      </c>
      <c r="S200" s="927" t="s">
        <v>3484</v>
      </c>
      <c r="T200" s="931" t="s">
        <v>1938</v>
      </c>
      <c r="U200" s="931" t="s">
        <v>2034</v>
      </c>
      <c r="V200" s="873" t="s">
        <v>3361</v>
      </c>
      <c r="W200" s="928"/>
    </row>
    <row r="201" spans="1:23" x14ac:dyDescent="0.2">
      <c r="A201" s="927" t="s">
        <v>4168</v>
      </c>
      <c r="B201" s="928">
        <v>15</v>
      </c>
      <c r="C201" s="928">
        <v>19</v>
      </c>
      <c r="D201" s="928">
        <v>40</v>
      </c>
      <c r="E201" s="928">
        <v>10</v>
      </c>
      <c r="F201" s="928">
        <v>20</v>
      </c>
      <c r="G201" s="928">
        <v>35</v>
      </c>
      <c r="H201" s="928">
        <v>2</v>
      </c>
      <c r="I201" s="929" t="s">
        <v>3441</v>
      </c>
      <c r="J201" s="929" t="s">
        <v>1537</v>
      </c>
      <c r="K201" s="928" t="s">
        <v>1695</v>
      </c>
      <c r="L201" s="930" t="s">
        <v>1813</v>
      </c>
      <c r="M201" s="927" t="s">
        <v>3575</v>
      </c>
      <c r="N201" s="930" t="s">
        <v>1690</v>
      </c>
      <c r="O201" s="927" t="s">
        <v>3485</v>
      </c>
      <c r="P201" s="930" t="s">
        <v>1703</v>
      </c>
      <c r="Q201" s="927" t="s">
        <v>3484</v>
      </c>
      <c r="R201" s="930" t="s">
        <v>1704</v>
      </c>
      <c r="S201" s="927" t="s">
        <v>3484</v>
      </c>
      <c r="T201" s="931" t="s">
        <v>1938</v>
      </c>
      <c r="U201" s="931" t="s">
        <v>2034</v>
      </c>
      <c r="V201" s="873" t="s">
        <v>3361</v>
      </c>
      <c r="W201" s="928"/>
    </row>
    <row r="202" spans="1:23" x14ac:dyDescent="0.2">
      <c r="A202" s="927" t="s">
        <v>4169</v>
      </c>
      <c r="B202" s="928">
        <v>18</v>
      </c>
      <c r="C202" s="928">
        <v>22</v>
      </c>
      <c r="D202" s="928">
        <v>50</v>
      </c>
      <c r="E202" s="928">
        <v>12</v>
      </c>
      <c r="F202" s="928">
        <v>24</v>
      </c>
      <c r="G202" s="928">
        <v>42</v>
      </c>
      <c r="H202" s="928">
        <v>3</v>
      </c>
      <c r="I202" s="929" t="s">
        <v>3441</v>
      </c>
      <c r="J202" s="929" t="s">
        <v>1537</v>
      </c>
      <c r="K202" s="928" t="s">
        <v>1695</v>
      </c>
      <c r="L202" s="930" t="s">
        <v>1813</v>
      </c>
      <c r="M202" s="927" t="s">
        <v>3575</v>
      </c>
      <c r="N202" s="930" t="s">
        <v>1690</v>
      </c>
      <c r="O202" s="927" t="s">
        <v>3485</v>
      </c>
      <c r="P202" s="930" t="s">
        <v>1703</v>
      </c>
      <c r="Q202" s="927" t="s">
        <v>3484</v>
      </c>
      <c r="R202" s="930" t="s">
        <v>1704</v>
      </c>
      <c r="S202" s="927" t="s">
        <v>3484</v>
      </c>
      <c r="T202" s="931" t="s">
        <v>1938</v>
      </c>
      <c r="U202" s="931" t="s">
        <v>2034</v>
      </c>
      <c r="V202" s="873" t="s">
        <v>3361</v>
      </c>
      <c r="W202" s="928"/>
    </row>
    <row r="203" spans="1:23" x14ac:dyDescent="0.2">
      <c r="A203" s="762" t="s">
        <v>3525</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3530</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4170</v>
      </c>
      <c r="B205" s="928">
        <v>6</v>
      </c>
      <c r="C205" s="928">
        <v>9</v>
      </c>
      <c r="D205" s="928">
        <v>20</v>
      </c>
      <c r="E205" s="928">
        <v>3</v>
      </c>
      <c r="F205" s="928">
        <v>6</v>
      </c>
      <c r="G205" s="928">
        <v>11</v>
      </c>
      <c r="H205" s="928">
        <v>1</v>
      </c>
      <c r="I205" s="929" t="s">
        <v>3436</v>
      </c>
      <c r="J205" s="929" t="s">
        <v>1537</v>
      </c>
      <c r="K205" s="928" t="s">
        <v>1690</v>
      </c>
      <c r="L205" s="930" t="s">
        <v>1685</v>
      </c>
      <c r="M205" s="927" t="s">
        <v>3484</v>
      </c>
      <c r="N205" s="930" t="s">
        <v>1813</v>
      </c>
      <c r="O205" s="927" t="s">
        <v>3575</v>
      </c>
      <c r="P205" s="930" t="s">
        <v>1703</v>
      </c>
      <c r="Q205" s="927" t="s">
        <v>3485</v>
      </c>
      <c r="R205" s="930" t="s">
        <v>1704</v>
      </c>
      <c r="S205" s="927" t="s">
        <v>3485</v>
      </c>
      <c r="T205" s="931" t="s">
        <v>1934</v>
      </c>
      <c r="U205" s="931" t="s">
        <v>1931</v>
      </c>
      <c r="V205" s="873" t="s">
        <v>3361</v>
      </c>
      <c r="W205" s="928"/>
    </row>
    <row r="206" spans="1:23" x14ac:dyDescent="0.2">
      <c r="A206" s="927" t="s">
        <v>4171</v>
      </c>
      <c r="B206" s="928">
        <v>12</v>
      </c>
      <c r="C206" s="928">
        <v>15</v>
      </c>
      <c r="D206" s="928">
        <v>30</v>
      </c>
      <c r="E206" s="928">
        <v>6</v>
      </c>
      <c r="F206" s="928">
        <v>12</v>
      </c>
      <c r="G206" s="928">
        <v>21</v>
      </c>
      <c r="H206" s="928">
        <v>1</v>
      </c>
      <c r="I206" s="929" t="s">
        <v>3436</v>
      </c>
      <c r="J206" s="929" t="s">
        <v>1537</v>
      </c>
      <c r="K206" s="928" t="s">
        <v>1690</v>
      </c>
      <c r="L206" s="930" t="s">
        <v>1685</v>
      </c>
      <c r="M206" s="927" t="s">
        <v>3484</v>
      </c>
      <c r="N206" s="930" t="s">
        <v>1813</v>
      </c>
      <c r="O206" s="927" t="s">
        <v>3575</v>
      </c>
      <c r="P206" s="930" t="s">
        <v>1703</v>
      </c>
      <c r="Q206" s="927" t="s">
        <v>3485</v>
      </c>
      <c r="R206" s="930" t="s">
        <v>1704</v>
      </c>
      <c r="S206" s="927" t="s">
        <v>3485</v>
      </c>
      <c r="T206" s="931" t="s">
        <v>1934</v>
      </c>
      <c r="U206" s="931" t="s">
        <v>1931</v>
      </c>
      <c r="V206" s="873" t="s">
        <v>3361</v>
      </c>
      <c r="W206" s="928"/>
    </row>
    <row r="207" spans="1:23" x14ac:dyDescent="0.2">
      <c r="A207" s="927" t="s">
        <v>4172</v>
      </c>
      <c r="B207" s="928">
        <v>18</v>
      </c>
      <c r="C207" s="928">
        <v>22</v>
      </c>
      <c r="D207" s="928">
        <v>40</v>
      </c>
      <c r="E207" s="928">
        <v>9</v>
      </c>
      <c r="F207" s="928">
        <v>18</v>
      </c>
      <c r="G207" s="928">
        <v>32</v>
      </c>
      <c r="H207" s="928">
        <v>1</v>
      </c>
      <c r="I207" s="929" t="s">
        <v>3436</v>
      </c>
      <c r="J207" s="929" t="s">
        <v>1537</v>
      </c>
      <c r="K207" s="928" t="s">
        <v>1690</v>
      </c>
      <c r="L207" s="930" t="s">
        <v>1685</v>
      </c>
      <c r="M207" s="927" t="s">
        <v>3484</v>
      </c>
      <c r="N207" s="930" t="s">
        <v>1813</v>
      </c>
      <c r="O207" s="927" t="s">
        <v>3575</v>
      </c>
      <c r="P207" s="930" t="s">
        <v>1703</v>
      </c>
      <c r="Q207" s="927" t="s">
        <v>3485</v>
      </c>
      <c r="R207" s="930" t="s">
        <v>1704</v>
      </c>
      <c r="S207" s="927" t="s">
        <v>3485</v>
      </c>
      <c r="T207" s="931" t="s">
        <v>1934</v>
      </c>
      <c r="U207" s="931" t="s">
        <v>1931</v>
      </c>
      <c r="V207" s="873" t="s">
        <v>3361</v>
      </c>
      <c r="W207" s="928"/>
    </row>
    <row r="208" spans="1:23" x14ac:dyDescent="0.2">
      <c r="A208" s="927" t="s">
        <v>4173</v>
      </c>
      <c r="B208" s="928">
        <v>24</v>
      </c>
      <c r="C208" s="928">
        <v>29</v>
      </c>
      <c r="D208" s="928">
        <v>50</v>
      </c>
      <c r="E208" s="928">
        <v>12</v>
      </c>
      <c r="F208" s="928">
        <v>24</v>
      </c>
      <c r="G208" s="928">
        <v>42</v>
      </c>
      <c r="H208" s="928">
        <v>2</v>
      </c>
      <c r="I208" s="929" t="s">
        <v>3436</v>
      </c>
      <c r="J208" s="929" t="s">
        <v>1537</v>
      </c>
      <c r="K208" s="928" t="s">
        <v>1690</v>
      </c>
      <c r="L208" s="930" t="s">
        <v>1685</v>
      </c>
      <c r="M208" s="927" t="s">
        <v>3484</v>
      </c>
      <c r="N208" s="930" t="s">
        <v>1813</v>
      </c>
      <c r="O208" s="927" t="s">
        <v>3575</v>
      </c>
      <c r="P208" s="930" t="s">
        <v>1703</v>
      </c>
      <c r="Q208" s="927" t="s">
        <v>3485</v>
      </c>
      <c r="R208" s="930" t="s">
        <v>1704</v>
      </c>
      <c r="S208" s="927" t="s">
        <v>3485</v>
      </c>
      <c r="T208" s="931" t="s">
        <v>1934</v>
      </c>
      <c r="U208" s="931" t="s">
        <v>1931</v>
      </c>
      <c r="V208" s="873" t="s">
        <v>3361</v>
      </c>
      <c r="W208" s="928"/>
    </row>
    <row r="209" spans="1:23" x14ac:dyDescent="0.2">
      <c r="A209" s="927" t="s">
        <v>4174</v>
      </c>
      <c r="B209" s="928">
        <v>30</v>
      </c>
      <c r="C209" s="928">
        <v>36</v>
      </c>
      <c r="D209" s="928">
        <v>60</v>
      </c>
      <c r="E209" s="928">
        <v>15</v>
      </c>
      <c r="F209" s="928">
        <v>30</v>
      </c>
      <c r="G209" s="928">
        <v>53</v>
      </c>
      <c r="H209" s="928">
        <v>3</v>
      </c>
      <c r="I209" s="929" t="s">
        <v>3436</v>
      </c>
      <c r="J209" s="929" t="s">
        <v>1537</v>
      </c>
      <c r="K209" s="928" t="s">
        <v>1690</v>
      </c>
      <c r="L209" s="930" t="s">
        <v>1685</v>
      </c>
      <c r="M209" s="927" t="s">
        <v>3484</v>
      </c>
      <c r="N209" s="930" t="s">
        <v>1813</v>
      </c>
      <c r="O209" s="927" t="s">
        <v>3575</v>
      </c>
      <c r="P209" s="930" t="s">
        <v>1703</v>
      </c>
      <c r="Q209" s="927" t="s">
        <v>3485</v>
      </c>
      <c r="R209" s="930" t="s">
        <v>1704</v>
      </c>
      <c r="S209" s="927" t="s">
        <v>3485</v>
      </c>
      <c r="T209" s="931" t="s">
        <v>1934</v>
      </c>
      <c r="U209" s="931" t="s">
        <v>1931</v>
      </c>
      <c r="V209" s="873" t="s">
        <v>3361</v>
      </c>
      <c r="W209" s="928"/>
    </row>
    <row r="210" spans="1:23" x14ac:dyDescent="0.2">
      <c r="A210" s="933" t="s">
        <v>4175</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4176</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4177</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4178</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4179</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4180</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4181</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3535</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4182</v>
      </c>
      <c r="B218" s="928">
        <v>3</v>
      </c>
      <c r="C218" s="928">
        <v>5</v>
      </c>
      <c r="D218" s="928">
        <v>5</v>
      </c>
      <c r="E218" s="928">
        <v>1</v>
      </c>
      <c r="F218" s="928">
        <v>2</v>
      </c>
      <c r="G218" s="928">
        <v>4</v>
      </c>
      <c r="H218" s="928">
        <v>1</v>
      </c>
      <c r="I218" s="929" t="s">
        <v>3436</v>
      </c>
      <c r="J218" s="929" t="s">
        <v>1537</v>
      </c>
      <c r="K218" s="928" t="s">
        <v>1690</v>
      </c>
      <c r="L218" s="930" t="s">
        <v>1685</v>
      </c>
      <c r="M218" s="927" t="s">
        <v>3484</v>
      </c>
      <c r="N218" s="930" t="s">
        <v>1813</v>
      </c>
      <c r="O218" s="927" t="s">
        <v>3575</v>
      </c>
      <c r="P218" s="930" t="s">
        <v>1703</v>
      </c>
      <c r="Q218" s="927" t="s">
        <v>3485</v>
      </c>
      <c r="R218" s="930" t="s">
        <v>1704</v>
      </c>
      <c r="S218" s="927" t="s">
        <v>3485</v>
      </c>
      <c r="T218" s="931" t="s">
        <v>1934</v>
      </c>
      <c r="U218" s="931" t="s">
        <v>1931</v>
      </c>
      <c r="V218" s="931" t="s">
        <v>2030</v>
      </c>
      <c r="W218" s="928"/>
    </row>
    <row r="219" spans="1:23" x14ac:dyDescent="0.2">
      <c r="A219" s="927" t="s">
        <v>4183</v>
      </c>
      <c r="B219" s="928">
        <v>6</v>
      </c>
      <c r="C219" s="928">
        <v>9</v>
      </c>
      <c r="D219" s="928">
        <v>10</v>
      </c>
      <c r="E219" s="928">
        <v>2</v>
      </c>
      <c r="F219" s="928">
        <v>4</v>
      </c>
      <c r="G219" s="928">
        <v>7</v>
      </c>
      <c r="H219" s="928">
        <v>1</v>
      </c>
      <c r="I219" s="929" t="s">
        <v>3436</v>
      </c>
      <c r="J219" s="929" t="s">
        <v>1537</v>
      </c>
      <c r="K219" s="928" t="s">
        <v>1690</v>
      </c>
      <c r="L219" s="930" t="s">
        <v>1685</v>
      </c>
      <c r="M219" s="927" t="s">
        <v>3484</v>
      </c>
      <c r="N219" s="930" t="s">
        <v>1813</v>
      </c>
      <c r="O219" s="927" t="s">
        <v>3575</v>
      </c>
      <c r="P219" s="930" t="s">
        <v>1703</v>
      </c>
      <c r="Q219" s="927" t="s">
        <v>3485</v>
      </c>
      <c r="R219" s="930" t="s">
        <v>1704</v>
      </c>
      <c r="S219" s="927" t="s">
        <v>3485</v>
      </c>
      <c r="T219" s="931" t="s">
        <v>1934</v>
      </c>
      <c r="U219" s="931" t="s">
        <v>1931</v>
      </c>
      <c r="V219" s="931" t="s">
        <v>2030</v>
      </c>
      <c r="W219" s="928"/>
    </row>
    <row r="220" spans="1:23" x14ac:dyDescent="0.2">
      <c r="A220" s="927" t="s">
        <v>4184</v>
      </c>
      <c r="B220" s="928">
        <v>9</v>
      </c>
      <c r="C220" s="928">
        <v>12</v>
      </c>
      <c r="D220" s="928">
        <v>15</v>
      </c>
      <c r="E220" s="928">
        <v>3</v>
      </c>
      <c r="F220" s="928">
        <v>6</v>
      </c>
      <c r="G220" s="928">
        <v>11</v>
      </c>
      <c r="H220" s="928">
        <v>1</v>
      </c>
      <c r="I220" s="929" t="s">
        <v>3436</v>
      </c>
      <c r="J220" s="929" t="s">
        <v>1537</v>
      </c>
      <c r="K220" s="928" t="s">
        <v>1690</v>
      </c>
      <c r="L220" s="930" t="s">
        <v>1685</v>
      </c>
      <c r="M220" s="927" t="s">
        <v>3484</v>
      </c>
      <c r="N220" s="930" t="s">
        <v>1813</v>
      </c>
      <c r="O220" s="927" t="s">
        <v>3575</v>
      </c>
      <c r="P220" s="930" t="s">
        <v>1703</v>
      </c>
      <c r="Q220" s="927" t="s">
        <v>3485</v>
      </c>
      <c r="R220" s="930" t="s">
        <v>1704</v>
      </c>
      <c r="S220" s="927" t="s">
        <v>3485</v>
      </c>
      <c r="T220" s="931" t="s">
        <v>1934</v>
      </c>
      <c r="U220" s="931" t="s">
        <v>1931</v>
      </c>
      <c r="V220" s="931" t="s">
        <v>2030</v>
      </c>
      <c r="W220" s="928"/>
    </row>
    <row r="221" spans="1:23" x14ac:dyDescent="0.2">
      <c r="A221" s="927" t="s">
        <v>4185</v>
      </c>
      <c r="B221" s="928">
        <v>12</v>
      </c>
      <c r="C221" s="928">
        <v>15</v>
      </c>
      <c r="D221" s="928">
        <v>20</v>
      </c>
      <c r="E221" s="928">
        <v>4</v>
      </c>
      <c r="F221" s="928">
        <v>8</v>
      </c>
      <c r="G221" s="928">
        <v>14</v>
      </c>
      <c r="H221" s="928">
        <v>1</v>
      </c>
      <c r="I221" s="929" t="s">
        <v>3436</v>
      </c>
      <c r="J221" s="929" t="s">
        <v>1537</v>
      </c>
      <c r="K221" s="928" t="s">
        <v>1690</v>
      </c>
      <c r="L221" s="930" t="s">
        <v>1685</v>
      </c>
      <c r="M221" s="927" t="s">
        <v>3484</v>
      </c>
      <c r="N221" s="930" t="s">
        <v>1813</v>
      </c>
      <c r="O221" s="927" t="s">
        <v>3575</v>
      </c>
      <c r="P221" s="930" t="s">
        <v>1703</v>
      </c>
      <c r="Q221" s="927" t="s">
        <v>3485</v>
      </c>
      <c r="R221" s="930" t="s">
        <v>1704</v>
      </c>
      <c r="S221" s="927" t="s">
        <v>3485</v>
      </c>
      <c r="T221" s="931" t="s">
        <v>1934</v>
      </c>
      <c r="U221" s="931" t="s">
        <v>1931</v>
      </c>
      <c r="V221" s="931" t="s">
        <v>2030</v>
      </c>
      <c r="W221" s="928"/>
    </row>
    <row r="222" spans="1:23" x14ac:dyDescent="0.2">
      <c r="A222" s="927" t="s">
        <v>4186</v>
      </c>
      <c r="B222" s="928">
        <v>15</v>
      </c>
      <c r="C222" s="928">
        <v>19</v>
      </c>
      <c r="D222" s="928">
        <v>30</v>
      </c>
      <c r="E222" s="928">
        <v>6</v>
      </c>
      <c r="F222" s="928">
        <v>12</v>
      </c>
      <c r="G222" s="928">
        <v>21</v>
      </c>
      <c r="H222" s="928">
        <v>1</v>
      </c>
      <c r="I222" s="929" t="s">
        <v>3436</v>
      </c>
      <c r="J222" s="929" t="s">
        <v>1537</v>
      </c>
      <c r="K222" s="928" t="s">
        <v>1690</v>
      </c>
      <c r="L222" s="930" t="s">
        <v>1685</v>
      </c>
      <c r="M222" s="927" t="s">
        <v>3484</v>
      </c>
      <c r="N222" s="930" t="s">
        <v>1813</v>
      </c>
      <c r="O222" s="927" t="s">
        <v>3575</v>
      </c>
      <c r="P222" s="930" t="s">
        <v>1703</v>
      </c>
      <c r="Q222" s="927" t="s">
        <v>3485</v>
      </c>
      <c r="R222" s="930" t="s">
        <v>1704</v>
      </c>
      <c r="S222" s="927" t="s">
        <v>3485</v>
      </c>
      <c r="T222" s="931" t="s">
        <v>1934</v>
      </c>
      <c r="U222" s="931" t="s">
        <v>1931</v>
      </c>
      <c r="V222" s="931" t="s">
        <v>2030</v>
      </c>
      <c r="W222" s="928"/>
    </row>
    <row r="223" spans="1:23" x14ac:dyDescent="0.2">
      <c r="A223" s="927" t="s">
        <v>4187</v>
      </c>
      <c r="B223" s="928">
        <v>18</v>
      </c>
      <c r="C223" s="928">
        <v>22</v>
      </c>
      <c r="D223" s="928">
        <v>40</v>
      </c>
      <c r="E223" s="928">
        <v>8</v>
      </c>
      <c r="F223" s="928">
        <v>16</v>
      </c>
      <c r="G223" s="928">
        <v>28</v>
      </c>
      <c r="H223" s="928">
        <v>2</v>
      </c>
      <c r="I223" s="929" t="s">
        <v>3436</v>
      </c>
      <c r="J223" s="929" t="s">
        <v>1537</v>
      </c>
      <c r="K223" s="928" t="s">
        <v>1690</v>
      </c>
      <c r="L223" s="930" t="s">
        <v>1685</v>
      </c>
      <c r="M223" s="927" t="s">
        <v>3484</v>
      </c>
      <c r="N223" s="930" t="s">
        <v>1813</v>
      </c>
      <c r="O223" s="927" t="s">
        <v>3575</v>
      </c>
      <c r="P223" s="930" t="s">
        <v>1703</v>
      </c>
      <c r="Q223" s="927" t="s">
        <v>3485</v>
      </c>
      <c r="R223" s="930" t="s">
        <v>1704</v>
      </c>
      <c r="S223" s="927" t="s">
        <v>3485</v>
      </c>
      <c r="T223" s="931" t="s">
        <v>1934</v>
      </c>
      <c r="U223" s="931" t="s">
        <v>1931</v>
      </c>
      <c r="V223" s="931" t="s">
        <v>2030</v>
      </c>
      <c r="W223" s="928"/>
    </row>
    <row r="224" spans="1:23" x14ac:dyDescent="0.2">
      <c r="A224" s="927" t="s">
        <v>4188</v>
      </c>
      <c r="B224" s="928">
        <v>22</v>
      </c>
      <c r="C224" s="928">
        <v>26</v>
      </c>
      <c r="D224" s="928">
        <v>50</v>
      </c>
      <c r="E224" s="928">
        <v>10</v>
      </c>
      <c r="F224" s="928">
        <v>20</v>
      </c>
      <c r="G224" s="928">
        <v>35</v>
      </c>
      <c r="H224" s="928">
        <v>2</v>
      </c>
      <c r="I224" s="929" t="s">
        <v>3436</v>
      </c>
      <c r="J224" s="929" t="s">
        <v>1537</v>
      </c>
      <c r="K224" s="928" t="s">
        <v>1690</v>
      </c>
      <c r="L224" s="930" t="s">
        <v>1685</v>
      </c>
      <c r="M224" s="927" t="s">
        <v>3484</v>
      </c>
      <c r="N224" s="930" t="s">
        <v>1813</v>
      </c>
      <c r="O224" s="927" t="s">
        <v>3575</v>
      </c>
      <c r="P224" s="930" t="s">
        <v>1703</v>
      </c>
      <c r="Q224" s="927" t="s">
        <v>3485</v>
      </c>
      <c r="R224" s="930" t="s">
        <v>1704</v>
      </c>
      <c r="S224" s="927" t="s">
        <v>3485</v>
      </c>
      <c r="T224" s="931" t="s">
        <v>1934</v>
      </c>
      <c r="U224" s="931" t="s">
        <v>1931</v>
      </c>
      <c r="V224" s="931" t="s">
        <v>2030</v>
      </c>
      <c r="W224" s="928"/>
    </row>
    <row r="225" spans="1:23" x14ac:dyDescent="0.2">
      <c r="A225" s="927" t="s">
        <v>4189</v>
      </c>
      <c r="B225" s="928">
        <v>26</v>
      </c>
      <c r="C225" s="928">
        <v>32</v>
      </c>
      <c r="D225" s="928">
        <v>60</v>
      </c>
      <c r="E225" s="928">
        <v>12</v>
      </c>
      <c r="F225" s="928">
        <v>24</v>
      </c>
      <c r="G225" s="928">
        <v>42</v>
      </c>
      <c r="H225" s="928">
        <v>3</v>
      </c>
      <c r="I225" s="929" t="s">
        <v>3436</v>
      </c>
      <c r="J225" s="929" t="s">
        <v>1537</v>
      </c>
      <c r="K225" s="928" t="s">
        <v>1690</v>
      </c>
      <c r="L225" s="930" t="s">
        <v>1685</v>
      </c>
      <c r="M225" s="927" t="s">
        <v>3484</v>
      </c>
      <c r="N225" s="930" t="s">
        <v>1813</v>
      </c>
      <c r="O225" s="927" t="s">
        <v>3575</v>
      </c>
      <c r="P225" s="930" t="s">
        <v>1703</v>
      </c>
      <c r="Q225" s="927" t="s">
        <v>3485</v>
      </c>
      <c r="R225" s="930" t="s">
        <v>1704</v>
      </c>
      <c r="S225" s="927" t="s">
        <v>3485</v>
      </c>
      <c r="T225" s="931" t="s">
        <v>1934</v>
      </c>
      <c r="U225" s="931" t="s">
        <v>1931</v>
      </c>
      <c r="V225" s="931" t="s">
        <v>2030</v>
      </c>
      <c r="W225" s="928"/>
    </row>
    <row r="226" spans="1:23" x14ac:dyDescent="0.2">
      <c r="A226" s="933" t="s">
        <v>4175</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4176</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3540</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4190</v>
      </c>
      <c r="B229" s="928">
        <v>1</v>
      </c>
      <c r="C229" s="928">
        <v>2</v>
      </c>
      <c r="D229" s="928">
        <v>5</v>
      </c>
      <c r="E229" s="928">
        <v>1</v>
      </c>
      <c r="F229" s="928">
        <v>2</v>
      </c>
      <c r="G229" s="928">
        <v>4</v>
      </c>
      <c r="H229" s="928">
        <v>1</v>
      </c>
      <c r="I229" s="929" t="s">
        <v>3436</v>
      </c>
      <c r="J229" s="929" t="s">
        <v>1890</v>
      </c>
      <c r="K229" s="928" t="s">
        <v>1685</v>
      </c>
      <c r="L229" s="930" t="s">
        <v>1813</v>
      </c>
      <c r="M229" s="927" t="s">
        <v>3484</v>
      </c>
      <c r="N229" s="930" t="s">
        <v>1690</v>
      </c>
      <c r="O229" s="927" t="s">
        <v>3575</v>
      </c>
      <c r="P229" s="930" t="s">
        <v>1703</v>
      </c>
      <c r="Q229" s="927" t="s">
        <v>3485</v>
      </c>
      <c r="R229" s="930" t="s">
        <v>1704</v>
      </c>
      <c r="S229" s="927" t="s">
        <v>3485</v>
      </c>
      <c r="T229" s="931" t="s">
        <v>2029</v>
      </c>
      <c r="U229" s="873" t="s">
        <v>3361</v>
      </c>
      <c r="V229" s="873" t="s">
        <v>3361</v>
      </c>
      <c r="W229" s="928"/>
    </row>
    <row r="230" spans="1:23" x14ac:dyDescent="0.2">
      <c r="A230" s="927" t="s">
        <v>4191</v>
      </c>
      <c r="B230" s="928">
        <v>2</v>
      </c>
      <c r="C230" s="928">
        <v>4</v>
      </c>
      <c r="D230" s="928">
        <v>5</v>
      </c>
      <c r="E230" s="928">
        <v>2</v>
      </c>
      <c r="F230" s="928">
        <v>4</v>
      </c>
      <c r="G230" s="928">
        <v>7</v>
      </c>
      <c r="H230" s="928">
        <v>1</v>
      </c>
      <c r="I230" s="929" t="s">
        <v>3436</v>
      </c>
      <c r="J230" s="929" t="s">
        <v>1890</v>
      </c>
      <c r="K230" s="928" t="s">
        <v>1685</v>
      </c>
      <c r="L230" s="930" t="s">
        <v>1813</v>
      </c>
      <c r="M230" s="927" t="s">
        <v>3484</v>
      </c>
      <c r="N230" s="930" t="s">
        <v>1690</v>
      </c>
      <c r="O230" s="927" t="s">
        <v>3575</v>
      </c>
      <c r="P230" s="930" t="s">
        <v>1703</v>
      </c>
      <c r="Q230" s="927" t="s">
        <v>3485</v>
      </c>
      <c r="R230" s="930" t="s">
        <v>1704</v>
      </c>
      <c r="S230" s="927" t="s">
        <v>3485</v>
      </c>
      <c r="T230" s="931" t="s">
        <v>2029</v>
      </c>
      <c r="U230" s="873" t="s">
        <v>3361</v>
      </c>
      <c r="V230" s="873" t="s">
        <v>3361</v>
      </c>
      <c r="W230" s="928"/>
    </row>
    <row r="231" spans="1:23" x14ac:dyDescent="0.2">
      <c r="A231" s="927" t="s">
        <v>4192</v>
      </c>
      <c r="B231" s="928">
        <v>3</v>
      </c>
      <c r="C231" s="928">
        <v>5</v>
      </c>
      <c r="D231" s="928">
        <v>10</v>
      </c>
      <c r="E231" s="928">
        <v>3</v>
      </c>
      <c r="F231" s="928">
        <v>6</v>
      </c>
      <c r="G231" s="928">
        <v>11</v>
      </c>
      <c r="H231" s="928">
        <v>1</v>
      </c>
      <c r="I231" s="929" t="s">
        <v>3436</v>
      </c>
      <c r="J231" s="929" t="s">
        <v>1890</v>
      </c>
      <c r="K231" s="928" t="s">
        <v>1685</v>
      </c>
      <c r="L231" s="930" t="s">
        <v>1813</v>
      </c>
      <c r="M231" s="927" t="s">
        <v>3484</v>
      </c>
      <c r="N231" s="930" t="s">
        <v>1690</v>
      </c>
      <c r="O231" s="927" t="s">
        <v>3575</v>
      </c>
      <c r="P231" s="930" t="s">
        <v>1703</v>
      </c>
      <c r="Q231" s="927" t="s">
        <v>3485</v>
      </c>
      <c r="R231" s="930" t="s">
        <v>1704</v>
      </c>
      <c r="S231" s="927" t="s">
        <v>3485</v>
      </c>
      <c r="T231" s="931" t="s">
        <v>2029</v>
      </c>
      <c r="U231" s="873" t="s">
        <v>3361</v>
      </c>
      <c r="V231" s="873" t="s">
        <v>3361</v>
      </c>
      <c r="W231" s="928"/>
    </row>
    <row r="232" spans="1:23" x14ac:dyDescent="0.2">
      <c r="A232" s="927" t="s">
        <v>4193</v>
      </c>
      <c r="B232" s="928">
        <v>4</v>
      </c>
      <c r="C232" s="928">
        <v>6</v>
      </c>
      <c r="D232" s="928">
        <v>15</v>
      </c>
      <c r="E232" s="928">
        <v>4</v>
      </c>
      <c r="F232" s="928">
        <v>8</v>
      </c>
      <c r="G232" s="928">
        <v>14</v>
      </c>
      <c r="H232" s="928">
        <v>1</v>
      </c>
      <c r="I232" s="929" t="s">
        <v>3436</v>
      </c>
      <c r="J232" s="929" t="s">
        <v>1890</v>
      </c>
      <c r="K232" s="928" t="s">
        <v>1685</v>
      </c>
      <c r="L232" s="930" t="s">
        <v>1813</v>
      </c>
      <c r="M232" s="927" t="s">
        <v>3484</v>
      </c>
      <c r="N232" s="930" t="s">
        <v>1690</v>
      </c>
      <c r="O232" s="927" t="s">
        <v>3575</v>
      </c>
      <c r="P232" s="930" t="s">
        <v>1703</v>
      </c>
      <c r="Q232" s="927" t="s">
        <v>3485</v>
      </c>
      <c r="R232" s="930" t="s">
        <v>1704</v>
      </c>
      <c r="S232" s="927" t="s">
        <v>3485</v>
      </c>
      <c r="T232" s="931" t="s">
        <v>2029</v>
      </c>
      <c r="U232" s="873" t="s">
        <v>3361</v>
      </c>
      <c r="V232" s="873" t="s">
        <v>3361</v>
      </c>
      <c r="W232" s="928"/>
    </row>
    <row r="233" spans="1:23" x14ac:dyDescent="0.2">
      <c r="A233" s="927" t="s">
        <v>4194</v>
      </c>
      <c r="B233" s="928">
        <v>5</v>
      </c>
      <c r="C233" s="928">
        <v>8</v>
      </c>
      <c r="D233" s="928">
        <v>20</v>
      </c>
      <c r="E233" s="928">
        <v>6</v>
      </c>
      <c r="F233" s="928">
        <v>12</v>
      </c>
      <c r="G233" s="928">
        <v>21</v>
      </c>
      <c r="H233" s="928">
        <v>1</v>
      </c>
      <c r="I233" s="929" t="s">
        <v>3436</v>
      </c>
      <c r="J233" s="929" t="s">
        <v>1890</v>
      </c>
      <c r="K233" s="928" t="s">
        <v>1685</v>
      </c>
      <c r="L233" s="930" t="s">
        <v>1813</v>
      </c>
      <c r="M233" s="927" t="s">
        <v>3484</v>
      </c>
      <c r="N233" s="930" t="s">
        <v>1690</v>
      </c>
      <c r="O233" s="927" t="s">
        <v>3575</v>
      </c>
      <c r="P233" s="930" t="s">
        <v>1703</v>
      </c>
      <c r="Q233" s="927" t="s">
        <v>3485</v>
      </c>
      <c r="R233" s="930" t="s">
        <v>1704</v>
      </c>
      <c r="S233" s="927" t="s">
        <v>3485</v>
      </c>
      <c r="T233" s="931" t="s">
        <v>2029</v>
      </c>
      <c r="U233" s="873" t="s">
        <v>3361</v>
      </c>
      <c r="V233" s="873" t="s">
        <v>3361</v>
      </c>
      <c r="W233" s="928"/>
    </row>
    <row r="234" spans="1:23" x14ac:dyDescent="0.2">
      <c r="A234" s="927" t="s">
        <v>4195</v>
      </c>
      <c r="B234" s="928">
        <v>6</v>
      </c>
      <c r="C234" s="928">
        <v>9</v>
      </c>
      <c r="D234" s="928">
        <v>25</v>
      </c>
      <c r="E234" s="928">
        <v>8</v>
      </c>
      <c r="F234" s="928">
        <v>16</v>
      </c>
      <c r="G234" s="928">
        <v>28</v>
      </c>
      <c r="H234" s="928">
        <v>1</v>
      </c>
      <c r="I234" s="929" t="s">
        <v>3436</v>
      </c>
      <c r="J234" s="929" t="s">
        <v>1890</v>
      </c>
      <c r="K234" s="928" t="s">
        <v>1685</v>
      </c>
      <c r="L234" s="930" t="s">
        <v>1813</v>
      </c>
      <c r="M234" s="927" t="s">
        <v>3484</v>
      </c>
      <c r="N234" s="930" t="s">
        <v>1690</v>
      </c>
      <c r="O234" s="927" t="s">
        <v>3575</v>
      </c>
      <c r="P234" s="930" t="s">
        <v>1703</v>
      </c>
      <c r="Q234" s="927" t="s">
        <v>3485</v>
      </c>
      <c r="R234" s="930" t="s">
        <v>1704</v>
      </c>
      <c r="S234" s="927" t="s">
        <v>3485</v>
      </c>
      <c r="T234" s="931" t="s">
        <v>2029</v>
      </c>
      <c r="U234" s="873" t="s">
        <v>3361</v>
      </c>
      <c r="V234" s="873" t="s">
        <v>3361</v>
      </c>
      <c r="W234" s="928"/>
    </row>
    <row r="235" spans="1:23" x14ac:dyDescent="0.2">
      <c r="A235" s="927" t="s">
        <v>4196</v>
      </c>
      <c r="B235" s="928">
        <v>7</v>
      </c>
      <c r="C235" s="928">
        <v>10</v>
      </c>
      <c r="D235" s="928">
        <v>30</v>
      </c>
      <c r="E235" s="928">
        <v>10</v>
      </c>
      <c r="F235" s="928">
        <v>20</v>
      </c>
      <c r="G235" s="928">
        <v>35</v>
      </c>
      <c r="H235" s="928">
        <v>2</v>
      </c>
      <c r="I235" s="929" t="s">
        <v>3436</v>
      </c>
      <c r="J235" s="929" t="s">
        <v>1890</v>
      </c>
      <c r="K235" s="928" t="s">
        <v>1685</v>
      </c>
      <c r="L235" s="930" t="s">
        <v>1813</v>
      </c>
      <c r="M235" s="927" t="s">
        <v>3484</v>
      </c>
      <c r="N235" s="930" t="s">
        <v>1690</v>
      </c>
      <c r="O235" s="927" t="s">
        <v>3575</v>
      </c>
      <c r="P235" s="930" t="s">
        <v>1703</v>
      </c>
      <c r="Q235" s="927" t="s">
        <v>3485</v>
      </c>
      <c r="R235" s="930" t="s">
        <v>1704</v>
      </c>
      <c r="S235" s="927" t="s">
        <v>3485</v>
      </c>
      <c r="T235" s="931" t="s">
        <v>2029</v>
      </c>
      <c r="U235" s="873" t="s">
        <v>3361</v>
      </c>
      <c r="V235" s="873" t="s">
        <v>3361</v>
      </c>
      <c r="W235" s="928"/>
    </row>
    <row r="236" spans="1:23" x14ac:dyDescent="0.2">
      <c r="A236" s="927" t="s">
        <v>4197</v>
      </c>
      <c r="B236" s="928">
        <v>8</v>
      </c>
      <c r="C236" s="928">
        <v>11</v>
      </c>
      <c r="D236" s="928">
        <v>35</v>
      </c>
      <c r="E236" s="928">
        <v>12</v>
      </c>
      <c r="F236" s="928">
        <v>24</v>
      </c>
      <c r="G236" s="928">
        <v>42</v>
      </c>
      <c r="H236" s="928">
        <v>3</v>
      </c>
      <c r="I236" s="929" t="s">
        <v>3436</v>
      </c>
      <c r="J236" s="929" t="s">
        <v>1890</v>
      </c>
      <c r="K236" s="928" t="s">
        <v>1685</v>
      </c>
      <c r="L236" s="930" t="s">
        <v>1813</v>
      </c>
      <c r="M236" s="927" t="s">
        <v>3484</v>
      </c>
      <c r="N236" s="930" t="s">
        <v>1690</v>
      </c>
      <c r="O236" s="927" t="s">
        <v>3575</v>
      </c>
      <c r="P236" s="930" t="s">
        <v>1703</v>
      </c>
      <c r="Q236" s="927" t="s">
        <v>3485</v>
      </c>
      <c r="R236" s="930" t="s">
        <v>1704</v>
      </c>
      <c r="S236" s="927" t="s">
        <v>3485</v>
      </c>
      <c r="T236" s="931" t="s">
        <v>2029</v>
      </c>
      <c r="U236" s="873" t="s">
        <v>3361</v>
      </c>
      <c r="V236" s="873" t="s">
        <v>3361</v>
      </c>
      <c r="W236" s="928"/>
    </row>
    <row r="237" spans="1:23" x14ac:dyDescent="0.2">
      <c r="A237" s="933" t="s">
        <v>4177</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4178</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3545</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4198</v>
      </c>
      <c r="B240" s="928">
        <v>1</v>
      </c>
      <c r="C240" s="928">
        <v>2</v>
      </c>
      <c r="D240" s="928">
        <v>5</v>
      </c>
      <c r="E240" s="928">
        <v>1</v>
      </c>
      <c r="F240" s="928">
        <v>2</v>
      </c>
      <c r="G240" s="928">
        <v>4</v>
      </c>
      <c r="H240" s="928">
        <v>1</v>
      </c>
      <c r="I240" s="929" t="s">
        <v>3441</v>
      </c>
      <c r="J240" s="929" t="s">
        <v>4199</v>
      </c>
      <c r="K240" s="928" t="s">
        <v>1690</v>
      </c>
      <c r="L240" s="930" t="s">
        <v>1685</v>
      </c>
      <c r="M240" s="927" t="s">
        <v>3575</v>
      </c>
      <c r="N240" s="930" t="s">
        <v>1813</v>
      </c>
      <c r="O240" s="927" t="s">
        <v>3575</v>
      </c>
      <c r="P240" s="930" t="s">
        <v>1703</v>
      </c>
      <c r="Q240" s="927" t="s">
        <v>3485</v>
      </c>
      <c r="R240" s="930" t="s">
        <v>1704</v>
      </c>
      <c r="S240" s="927" t="s">
        <v>3484</v>
      </c>
      <c r="T240" s="931" t="s">
        <v>1931</v>
      </c>
      <c r="U240" s="873" t="s">
        <v>3361</v>
      </c>
      <c r="V240" s="873" t="s">
        <v>3361</v>
      </c>
      <c r="W240" s="928"/>
    </row>
    <row r="241" spans="1:23" x14ac:dyDescent="0.2">
      <c r="A241" s="927" t="s">
        <v>4200</v>
      </c>
      <c r="B241" s="928">
        <v>2</v>
      </c>
      <c r="C241" s="928">
        <v>4</v>
      </c>
      <c r="D241" s="928">
        <v>5</v>
      </c>
      <c r="E241" s="928">
        <v>2</v>
      </c>
      <c r="F241" s="928">
        <v>4</v>
      </c>
      <c r="G241" s="928">
        <v>7</v>
      </c>
      <c r="H241" s="928">
        <v>1</v>
      </c>
      <c r="I241" s="929" t="s">
        <v>3441</v>
      </c>
      <c r="J241" s="929" t="s">
        <v>4199</v>
      </c>
      <c r="K241" s="928" t="s">
        <v>1690</v>
      </c>
      <c r="L241" s="930" t="s">
        <v>1685</v>
      </c>
      <c r="M241" s="927" t="s">
        <v>3575</v>
      </c>
      <c r="N241" s="930" t="s">
        <v>1813</v>
      </c>
      <c r="O241" s="927" t="s">
        <v>3575</v>
      </c>
      <c r="P241" s="930" t="s">
        <v>1703</v>
      </c>
      <c r="Q241" s="927" t="s">
        <v>3485</v>
      </c>
      <c r="R241" s="930" t="s">
        <v>1704</v>
      </c>
      <c r="S241" s="927" t="s">
        <v>3484</v>
      </c>
      <c r="T241" s="931" t="s">
        <v>1931</v>
      </c>
      <c r="U241" s="873" t="s">
        <v>3361</v>
      </c>
      <c r="V241" s="873" t="s">
        <v>3361</v>
      </c>
      <c r="W241" s="928"/>
    </row>
    <row r="242" spans="1:23" x14ac:dyDescent="0.2">
      <c r="A242" s="927" t="s">
        <v>4201</v>
      </c>
      <c r="B242" s="928">
        <v>3</v>
      </c>
      <c r="C242" s="928">
        <v>5</v>
      </c>
      <c r="D242" s="928">
        <v>10</v>
      </c>
      <c r="E242" s="928">
        <v>3</v>
      </c>
      <c r="F242" s="928">
        <v>6</v>
      </c>
      <c r="G242" s="928">
        <v>11</v>
      </c>
      <c r="H242" s="928">
        <v>1</v>
      </c>
      <c r="I242" s="929" t="s">
        <v>3441</v>
      </c>
      <c r="J242" s="929" t="s">
        <v>4199</v>
      </c>
      <c r="K242" s="928" t="s">
        <v>1690</v>
      </c>
      <c r="L242" s="930" t="s">
        <v>1685</v>
      </c>
      <c r="M242" s="927" t="s">
        <v>3575</v>
      </c>
      <c r="N242" s="930" t="s">
        <v>1813</v>
      </c>
      <c r="O242" s="927" t="s">
        <v>3575</v>
      </c>
      <c r="P242" s="930" t="s">
        <v>1703</v>
      </c>
      <c r="Q242" s="927" t="s">
        <v>3485</v>
      </c>
      <c r="R242" s="930" t="s">
        <v>1704</v>
      </c>
      <c r="S242" s="927" t="s">
        <v>3484</v>
      </c>
      <c r="T242" s="931" t="s">
        <v>1931</v>
      </c>
      <c r="U242" s="873" t="s">
        <v>3361</v>
      </c>
      <c r="V242" s="873" t="s">
        <v>3361</v>
      </c>
      <c r="W242" s="928"/>
    </row>
    <row r="243" spans="1:23" x14ac:dyDescent="0.2">
      <c r="A243" s="927" t="s">
        <v>4202</v>
      </c>
      <c r="B243" s="928">
        <v>4</v>
      </c>
      <c r="C243" s="928">
        <v>6</v>
      </c>
      <c r="D243" s="928">
        <v>15</v>
      </c>
      <c r="E243" s="928">
        <v>4</v>
      </c>
      <c r="F243" s="928">
        <v>8</v>
      </c>
      <c r="G243" s="928">
        <v>14</v>
      </c>
      <c r="H243" s="928">
        <v>1</v>
      </c>
      <c r="I243" s="929" t="s">
        <v>3441</v>
      </c>
      <c r="J243" s="929" t="s">
        <v>4199</v>
      </c>
      <c r="K243" s="928" t="s">
        <v>1690</v>
      </c>
      <c r="L243" s="930" t="s">
        <v>1685</v>
      </c>
      <c r="M243" s="927" t="s">
        <v>3575</v>
      </c>
      <c r="N243" s="930" t="s">
        <v>1813</v>
      </c>
      <c r="O243" s="927" t="s">
        <v>3575</v>
      </c>
      <c r="P243" s="930" t="s">
        <v>1703</v>
      </c>
      <c r="Q243" s="927" t="s">
        <v>3485</v>
      </c>
      <c r="R243" s="930" t="s">
        <v>1704</v>
      </c>
      <c r="S243" s="927" t="s">
        <v>3484</v>
      </c>
      <c r="T243" s="931" t="s">
        <v>1931</v>
      </c>
      <c r="U243" s="873" t="s">
        <v>3361</v>
      </c>
      <c r="V243" s="873" t="s">
        <v>3361</v>
      </c>
      <c r="W243" s="928"/>
    </row>
    <row r="244" spans="1:23" x14ac:dyDescent="0.2">
      <c r="A244" s="927" t="s">
        <v>4203</v>
      </c>
      <c r="B244" s="928">
        <v>5</v>
      </c>
      <c r="C244" s="928">
        <v>8</v>
      </c>
      <c r="D244" s="928">
        <v>20</v>
      </c>
      <c r="E244" s="928">
        <v>6</v>
      </c>
      <c r="F244" s="928">
        <v>12</v>
      </c>
      <c r="G244" s="928">
        <v>21</v>
      </c>
      <c r="H244" s="928">
        <v>1</v>
      </c>
      <c r="I244" s="929" t="s">
        <v>3441</v>
      </c>
      <c r="J244" s="929" t="s">
        <v>4199</v>
      </c>
      <c r="K244" s="928" t="s">
        <v>1690</v>
      </c>
      <c r="L244" s="930" t="s">
        <v>1685</v>
      </c>
      <c r="M244" s="927" t="s">
        <v>3575</v>
      </c>
      <c r="N244" s="930" t="s">
        <v>1813</v>
      </c>
      <c r="O244" s="927" t="s">
        <v>3575</v>
      </c>
      <c r="P244" s="930" t="s">
        <v>1703</v>
      </c>
      <c r="Q244" s="927" t="s">
        <v>3485</v>
      </c>
      <c r="R244" s="930" t="s">
        <v>1704</v>
      </c>
      <c r="S244" s="927" t="s">
        <v>3484</v>
      </c>
      <c r="T244" s="931" t="s">
        <v>1931</v>
      </c>
      <c r="U244" s="873" t="s">
        <v>3361</v>
      </c>
      <c r="V244" s="873" t="s">
        <v>3361</v>
      </c>
      <c r="W244" s="928"/>
    </row>
    <row r="245" spans="1:23" x14ac:dyDescent="0.2">
      <c r="A245" s="927" t="s">
        <v>4204</v>
      </c>
      <c r="B245" s="928">
        <v>6</v>
      </c>
      <c r="C245" s="928">
        <v>9</v>
      </c>
      <c r="D245" s="928">
        <v>25</v>
      </c>
      <c r="E245" s="928">
        <v>8</v>
      </c>
      <c r="F245" s="928">
        <v>16</v>
      </c>
      <c r="G245" s="928">
        <v>28</v>
      </c>
      <c r="H245" s="928">
        <v>1</v>
      </c>
      <c r="I245" s="929" t="s">
        <v>3441</v>
      </c>
      <c r="J245" s="929" t="s">
        <v>4199</v>
      </c>
      <c r="K245" s="928" t="s">
        <v>1690</v>
      </c>
      <c r="L245" s="930" t="s">
        <v>1685</v>
      </c>
      <c r="M245" s="927" t="s">
        <v>3575</v>
      </c>
      <c r="N245" s="930" t="s">
        <v>1813</v>
      </c>
      <c r="O245" s="927" t="s">
        <v>3575</v>
      </c>
      <c r="P245" s="930" t="s">
        <v>1703</v>
      </c>
      <c r="Q245" s="927" t="s">
        <v>3485</v>
      </c>
      <c r="R245" s="930" t="s">
        <v>1704</v>
      </c>
      <c r="S245" s="927" t="s">
        <v>3484</v>
      </c>
      <c r="T245" s="931" t="s">
        <v>1931</v>
      </c>
      <c r="U245" s="873" t="s">
        <v>3361</v>
      </c>
      <c r="V245" s="873" t="s">
        <v>3361</v>
      </c>
      <c r="W245" s="928"/>
    </row>
    <row r="246" spans="1:23" x14ac:dyDescent="0.2">
      <c r="A246" s="927" t="s">
        <v>4205</v>
      </c>
      <c r="B246" s="928">
        <v>7</v>
      </c>
      <c r="C246" s="928">
        <v>10</v>
      </c>
      <c r="D246" s="928">
        <v>30</v>
      </c>
      <c r="E246" s="928">
        <v>10</v>
      </c>
      <c r="F246" s="928">
        <v>20</v>
      </c>
      <c r="G246" s="928">
        <v>35</v>
      </c>
      <c r="H246" s="928">
        <v>2</v>
      </c>
      <c r="I246" s="929" t="s">
        <v>3441</v>
      </c>
      <c r="J246" s="929" t="s">
        <v>4199</v>
      </c>
      <c r="K246" s="928" t="s">
        <v>1690</v>
      </c>
      <c r="L246" s="930" t="s">
        <v>1685</v>
      </c>
      <c r="M246" s="927" t="s">
        <v>3575</v>
      </c>
      <c r="N246" s="930" t="s">
        <v>1813</v>
      </c>
      <c r="O246" s="927" t="s">
        <v>3575</v>
      </c>
      <c r="P246" s="930" t="s">
        <v>1703</v>
      </c>
      <c r="Q246" s="927" t="s">
        <v>3485</v>
      </c>
      <c r="R246" s="930" t="s">
        <v>1704</v>
      </c>
      <c r="S246" s="927" t="s">
        <v>3484</v>
      </c>
      <c r="T246" s="931" t="s">
        <v>1931</v>
      </c>
      <c r="U246" s="873" t="s">
        <v>3361</v>
      </c>
      <c r="V246" s="873" t="s">
        <v>3361</v>
      </c>
      <c r="W246" s="928"/>
    </row>
    <row r="247" spans="1:23" x14ac:dyDescent="0.2">
      <c r="A247" s="927" t="s">
        <v>4206</v>
      </c>
      <c r="B247" s="928">
        <v>8</v>
      </c>
      <c r="C247" s="928">
        <v>11</v>
      </c>
      <c r="D247" s="928">
        <v>35</v>
      </c>
      <c r="E247" s="928">
        <v>12</v>
      </c>
      <c r="F247" s="928">
        <v>24</v>
      </c>
      <c r="G247" s="928">
        <v>42</v>
      </c>
      <c r="H247" s="928">
        <v>3</v>
      </c>
      <c r="I247" s="929" t="s">
        <v>3441</v>
      </c>
      <c r="J247" s="929" t="s">
        <v>4199</v>
      </c>
      <c r="K247" s="928" t="s">
        <v>1690</v>
      </c>
      <c r="L247" s="930" t="s">
        <v>1685</v>
      </c>
      <c r="M247" s="927" t="s">
        <v>3575</v>
      </c>
      <c r="N247" s="930" t="s">
        <v>1813</v>
      </c>
      <c r="O247" s="927" t="s">
        <v>3575</v>
      </c>
      <c r="P247" s="930" t="s">
        <v>1703</v>
      </c>
      <c r="Q247" s="927" t="s">
        <v>3485</v>
      </c>
      <c r="R247" s="930" t="s">
        <v>1704</v>
      </c>
      <c r="S247" s="927" t="s">
        <v>3484</v>
      </c>
      <c r="T247" s="931" t="s">
        <v>1931</v>
      </c>
      <c r="U247" s="873" t="s">
        <v>3361</v>
      </c>
      <c r="V247" s="873" t="s">
        <v>3361</v>
      </c>
      <c r="W247" s="928"/>
    </row>
    <row r="248" spans="1:23" x14ac:dyDescent="0.2">
      <c r="A248" s="933" t="s">
        <v>4177</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4178</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3361</v>
      </c>
      <c r="V249" s="873" t="s">
        <v>3361</v>
      </c>
      <c r="W249" s="928"/>
    </row>
    <row r="250" spans="1:23" x14ac:dyDescent="0.2">
      <c r="A250" s="762" t="s">
        <v>3548</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3553</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4207</v>
      </c>
      <c r="B252" s="928">
        <v>1</v>
      </c>
      <c r="C252" s="928">
        <v>2</v>
      </c>
      <c r="D252" s="928">
        <v>5</v>
      </c>
      <c r="E252" s="928">
        <v>1</v>
      </c>
      <c r="F252" s="928">
        <v>2</v>
      </c>
      <c r="G252" s="928">
        <v>4</v>
      </c>
      <c r="H252" s="928">
        <v>1</v>
      </c>
      <c r="I252" s="929" t="s">
        <v>3441</v>
      </c>
      <c r="J252" s="929" t="s">
        <v>4199</v>
      </c>
      <c r="K252" s="928" t="s">
        <v>1685</v>
      </c>
      <c r="L252" s="930" t="s">
        <v>1813</v>
      </c>
      <c r="M252" s="927" t="s">
        <v>3484</v>
      </c>
      <c r="N252" s="930" t="s">
        <v>1690</v>
      </c>
      <c r="O252" s="927" t="s">
        <v>3575</v>
      </c>
      <c r="P252" s="930" t="s">
        <v>1703</v>
      </c>
      <c r="Q252" s="927" t="s">
        <v>3485</v>
      </c>
      <c r="R252" s="930" t="s">
        <v>1704</v>
      </c>
      <c r="S252" s="927" t="s">
        <v>3485</v>
      </c>
      <c r="T252" s="931" t="s">
        <v>1931</v>
      </c>
      <c r="U252" s="873" t="s">
        <v>3361</v>
      </c>
      <c r="V252" s="873" t="s">
        <v>3361</v>
      </c>
      <c r="W252" s="928"/>
    </row>
    <row r="253" spans="1:23" x14ac:dyDescent="0.2">
      <c r="A253" s="927" t="s">
        <v>4208</v>
      </c>
      <c r="B253" s="928">
        <v>2</v>
      </c>
      <c r="C253" s="928">
        <v>4</v>
      </c>
      <c r="D253" s="928">
        <v>10</v>
      </c>
      <c r="E253" s="928">
        <v>1</v>
      </c>
      <c r="F253" s="928">
        <v>2</v>
      </c>
      <c r="G253" s="928">
        <v>4</v>
      </c>
      <c r="H253" s="928">
        <v>1</v>
      </c>
      <c r="I253" s="929" t="s">
        <v>3441</v>
      </c>
      <c r="J253" s="929" t="s">
        <v>4199</v>
      </c>
      <c r="K253" s="928" t="s">
        <v>1685</v>
      </c>
      <c r="L253" s="930" t="s">
        <v>1813</v>
      </c>
      <c r="M253" s="927" t="s">
        <v>3484</v>
      </c>
      <c r="N253" s="930" t="s">
        <v>1690</v>
      </c>
      <c r="O253" s="927" t="s">
        <v>3575</v>
      </c>
      <c r="P253" s="930" t="s">
        <v>1703</v>
      </c>
      <c r="Q253" s="927" t="s">
        <v>3485</v>
      </c>
      <c r="R253" s="930" t="s">
        <v>1704</v>
      </c>
      <c r="S253" s="927" t="s">
        <v>3485</v>
      </c>
      <c r="T253" s="931" t="s">
        <v>1931</v>
      </c>
      <c r="U253" s="873" t="s">
        <v>3361</v>
      </c>
      <c r="V253" s="873" t="s">
        <v>3361</v>
      </c>
      <c r="W253" s="928"/>
    </row>
    <row r="254" spans="1:23" x14ac:dyDescent="0.2">
      <c r="A254" s="927" t="s">
        <v>4209</v>
      </c>
      <c r="B254" s="928">
        <v>4</v>
      </c>
      <c r="C254" s="928">
        <v>6</v>
      </c>
      <c r="D254" s="928">
        <v>15</v>
      </c>
      <c r="E254" s="928">
        <v>2</v>
      </c>
      <c r="F254" s="928">
        <v>4</v>
      </c>
      <c r="G254" s="928">
        <v>7</v>
      </c>
      <c r="H254" s="928">
        <v>1</v>
      </c>
      <c r="I254" s="929" t="s">
        <v>3441</v>
      </c>
      <c r="J254" s="929" t="s">
        <v>4199</v>
      </c>
      <c r="K254" s="928" t="s">
        <v>1685</v>
      </c>
      <c r="L254" s="930" t="s">
        <v>1813</v>
      </c>
      <c r="M254" s="927" t="s">
        <v>3484</v>
      </c>
      <c r="N254" s="930" t="s">
        <v>1690</v>
      </c>
      <c r="O254" s="927" t="s">
        <v>3575</v>
      </c>
      <c r="P254" s="930" t="s">
        <v>1703</v>
      </c>
      <c r="Q254" s="927" t="s">
        <v>3485</v>
      </c>
      <c r="R254" s="930" t="s">
        <v>1704</v>
      </c>
      <c r="S254" s="927" t="s">
        <v>3485</v>
      </c>
      <c r="T254" s="931" t="s">
        <v>1931</v>
      </c>
      <c r="U254" s="873" t="s">
        <v>3361</v>
      </c>
      <c r="V254" s="873" t="s">
        <v>3361</v>
      </c>
      <c r="W254" s="928"/>
    </row>
    <row r="255" spans="1:23" x14ac:dyDescent="0.2">
      <c r="A255" s="927" t="s">
        <v>4210</v>
      </c>
      <c r="B255" s="928">
        <v>6</v>
      </c>
      <c r="C255" s="928">
        <v>9</v>
      </c>
      <c r="D255" s="928">
        <v>20</v>
      </c>
      <c r="E255" s="928">
        <v>3</v>
      </c>
      <c r="F255" s="928">
        <v>6</v>
      </c>
      <c r="G255" s="928">
        <v>11</v>
      </c>
      <c r="H255" s="928">
        <v>1</v>
      </c>
      <c r="I255" s="929" t="s">
        <v>3441</v>
      </c>
      <c r="J255" s="929" t="s">
        <v>4199</v>
      </c>
      <c r="K255" s="928" t="s">
        <v>1685</v>
      </c>
      <c r="L255" s="930" t="s">
        <v>1813</v>
      </c>
      <c r="M255" s="927" t="s">
        <v>3484</v>
      </c>
      <c r="N255" s="930" t="s">
        <v>1690</v>
      </c>
      <c r="O255" s="927" t="s">
        <v>3575</v>
      </c>
      <c r="P255" s="930" t="s">
        <v>1703</v>
      </c>
      <c r="Q255" s="927" t="s">
        <v>3485</v>
      </c>
      <c r="R255" s="930" t="s">
        <v>1704</v>
      </c>
      <c r="S255" s="927" t="s">
        <v>3485</v>
      </c>
      <c r="T255" s="931" t="s">
        <v>1931</v>
      </c>
      <c r="U255" s="873" t="s">
        <v>3361</v>
      </c>
      <c r="V255" s="873" t="s">
        <v>3361</v>
      </c>
      <c r="W255" s="928"/>
    </row>
    <row r="256" spans="1:23" x14ac:dyDescent="0.2">
      <c r="A256" s="927" t="s">
        <v>4211</v>
      </c>
      <c r="B256" s="928">
        <v>8</v>
      </c>
      <c r="C256" s="928">
        <v>11</v>
      </c>
      <c r="D256" s="928">
        <v>25</v>
      </c>
      <c r="E256" s="928">
        <v>4</v>
      </c>
      <c r="F256" s="928">
        <v>8</v>
      </c>
      <c r="G256" s="928">
        <v>14</v>
      </c>
      <c r="H256" s="928">
        <v>2</v>
      </c>
      <c r="I256" s="929" t="s">
        <v>3441</v>
      </c>
      <c r="J256" s="929" t="s">
        <v>4199</v>
      </c>
      <c r="K256" s="928" t="s">
        <v>1685</v>
      </c>
      <c r="L256" s="930" t="s">
        <v>1813</v>
      </c>
      <c r="M256" s="927" t="s">
        <v>3484</v>
      </c>
      <c r="N256" s="930" t="s">
        <v>1690</v>
      </c>
      <c r="O256" s="927" t="s">
        <v>3575</v>
      </c>
      <c r="P256" s="930" t="s">
        <v>1703</v>
      </c>
      <c r="Q256" s="927" t="s">
        <v>3485</v>
      </c>
      <c r="R256" s="930" t="s">
        <v>1704</v>
      </c>
      <c r="S256" s="927" t="s">
        <v>3485</v>
      </c>
      <c r="T256" s="931" t="s">
        <v>1931</v>
      </c>
      <c r="U256" s="873" t="s">
        <v>3361</v>
      </c>
      <c r="V256" s="873" t="s">
        <v>3361</v>
      </c>
      <c r="W256" s="928"/>
    </row>
    <row r="257" spans="1:23" x14ac:dyDescent="0.2">
      <c r="A257" s="927" t="s">
        <v>4212</v>
      </c>
      <c r="B257" s="928">
        <v>10</v>
      </c>
      <c r="C257" s="928">
        <v>13</v>
      </c>
      <c r="D257" s="928">
        <v>30</v>
      </c>
      <c r="E257" s="928">
        <v>5</v>
      </c>
      <c r="F257" s="928">
        <v>10</v>
      </c>
      <c r="G257" s="928">
        <v>18</v>
      </c>
      <c r="H257" s="928">
        <v>2</v>
      </c>
      <c r="I257" s="929" t="s">
        <v>3441</v>
      </c>
      <c r="J257" s="929" t="s">
        <v>4199</v>
      </c>
      <c r="K257" s="928" t="s">
        <v>1685</v>
      </c>
      <c r="L257" s="930" t="s">
        <v>1813</v>
      </c>
      <c r="M257" s="927" t="s">
        <v>3484</v>
      </c>
      <c r="N257" s="930" t="s">
        <v>1690</v>
      </c>
      <c r="O257" s="927" t="s">
        <v>3575</v>
      </c>
      <c r="P257" s="930" t="s">
        <v>1703</v>
      </c>
      <c r="Q257" s="927" t="s">
        <v>3485</v>
      </c>
      <c r="R257" s="930" t="s">
        <v>1704</v>
      </c>
      <c r="S257" s="927" t="s">
        <v>3485</v>
      </c>
      <c r="T257" s="931" t="s">
        <v>1931</v>
      </c>
      <c r="U257" s="873" t="s">
        <v>3361</v>
      </c>
      <c r="V257" s="873" t="s">
        <v>3361</v>
      </c>
      <c r="W257" s="928"/>
    </row>
    <row r="258" spans="1:23" x14ac:dyDescent="0.2">
      <c r="A258" s="927" t="s">
        <v>4213</v>
      </c>
      <c r="B258" s="928">
        <v>12</v>
      </c>
      <c r="C258" s="928">
        <v>15</v>
      </c>
      <c r="D258" s="928">
        <v>35</v>
      </c>
      <c r="E258" s="928">
        <v>6</v>
      </c>
      <c r="F258" s="928">
        <v>12</v>
      </c>
      <c r="G258" s="928">
        <v>21</v>
      </c>
      <c r="H258" s="928">
        <v>3</v>
      </c>
      <c r="I258" s="929" t="s">
        <v>3441</v>
      </c>
      <c r="J258" s="929" t="s">
        <v>4199</v>
      </c>
      <c r="K258" s="928" t="s">
        <v>1685</v>
      </c>
      <c r="L258" s="930" t="s">
        <v>1813</v>
      </c>
      <c r="M258" s="927" t="s">
        <v>3484</v>
      </c>
      <c r="N258" s="930" t="s">
        <v>1690</v>
      </c>
      <c r="O258" s="927" t="s">
        <v>3575</v>
      </c>
      <c r="P258" s="930" t="s">
        <v>1703</v>
      </c>
      <c r="Q258" s="927" t="s">
        <v>3485</v>
      </c>
      <c r="R258" s="930" t="s">
        <v>1704</v>
      </c>
      <c r="S258" s="927" t="s">
        <v>3485</v>
      </c>
      <c r="T258" s="931" t="s">
        <v>1931</v>
      </c>
      <c r="U258" s="873" t="s">
        <v>3361</v>
      </c>
      <c r="V258" s="873" t="s">
        <v>3361</v>
      </c>
      <c r="W258" s="928"/>
    </row>
    <row r="259" spans="1:23" x14ac:dyDescent="0.2">
      <c r="A259" s="927" t="s">
        <v>4214</v>
      </c>
      <c r="B259" s="928">
        <v>14</v>
      </c>
      <c r="C259" s="928">
        <v>18</v>
      </c>
      <c r="D259" s="928">
        <v>40</v>
      </c>
      <c r="E259" s="928">
        <v>7</v>
      </c>
      <c r="F259" s="928">
        <v>14</v>
      </c>
      <c r="G259" s="928">
        <v>25</v>
      </c>
      <c r="H259" s="928">
        <v>3</v>
      </c>
      <c r="I259" s="929" t="s">
        <v>3441</v>
      </c>
      <c r="J259" s="929" t="s">
        <v>4199</v>
      </c>
      <c r="K259" s="928" t="s">
        <v>1685</v>
      </c>
      <c r="L259" s="930" t="s">
        <v>1813</v>
      </c>
      <c r="M259" s="927" t="s">
        <v>3484</v>
      </c>
      <c r="N259" s="930" t="s">
        <v>1690</v>
      </c>
      <c r="O259" s="927" t="s">
        <v>3575</v>
      </c>
      <c r="P259" s="930" t="s">
        <v>1703</v>
      </c>
      <c r="Q259" s="927" t="s">
        <v>3485</v>
      </c>
      <c r="R259" s="930" t="s">
        <v>1704</v>
      </c>
      <c r="S259" s="927" t="s">
        <v>3485</v>
      </c>
      <c r="T259" s="931" t="s">
        <v>1931</v>
      </c>
      <c r="U259" s="873" t="s">
        <v>3361</v>
      </c>
      <c r="V259" s="873" t="s">
        <v>3361</v>
      </c>
      <c r="W259" s="928"/>
    </row>
    <row r="260" spans="1:23" x14ac:dyDescent="0.2">
      <c r="A260" s="769" t="s">
        <v>3558</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4215</v>
      </c>
      <c r="B261" s="928">
        <v>6</v>
      </c>
      <c r="C261" s="928">
        <v>9</v>
      </c>
      <c r="D261" s="928">
        <v>25</v>
      </c>
      <c r="E261" s="928">
        <v>2</v>
      </c>
      <c r="F261" s="928">
        <v>4</v>
      </c>
      <c r="G261" s="928">
        <v>7</v>
      </c>
      <c r="H261" s="928">
        <v>1</v>
      </c>
      <c r="I261" s="929" t="s">
        <v>3436</v>
      </c>
      <c r="J261" s="929" t="s">
        <v>4199</v>
      </c>
      <c r="K261" s="928" t="s">
        <v>1704</v>
      </c>
      <c r="L261" s="930" t="s">
        <v>1685</v>
      </c>
      <c r="M261" s="927" t="s">
        <v>3484</v>
      </c>
      <c r="N261" s="930" t="s">
        <v>1813</v>
      </c>
      <c r="O261" s="927" t="s">
        <v>3484</v>
      </c>
      <c r="P261" s="930" t="s">
        <v>1690</v>
      </c>
      <c r="Q261" s="927" t="s">
        <v>3485</v>
      </c>
      <c r="R261" s="930" t="s">
        <v>1703</v>
      </c>
      <c r="S261" s="927" t="s">
        <v>3484</v>
      </c>
      <c r="T261" s="931" t="s">
        <v>1931</v>
      </c>
      <c r="U261" s="931" t="s">
        <v>2029</v>
      </c>
      <c r="V261" s="931" t="s">
        <v>1934</v>
      </c>
      <c r="W261" s="928"/>
    </row>
    <row r="262" spans="1:23" x14ac:dyDescent="0.2">
      <c r="A262" s="769" t="s">
        <v>3563</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4216</v>
      </c>
      <c r="B263" s="928">
        <v>3</v>
      </c>
      <c r="C263" s="928">
        <v>5</v>
      </c>
      <c r="D263" s="928">
        <v>10</v>
      </c>
      <c r="E263" s="928">
        <v>1</v>
      </c>
      <c r="F263" s="928">
        <v>2</v>
      </c>
      <c r="G263" s="928">
        <v>4</v>
      </c>
      <c r="H263" s="928">
        <v>1</v>
      </c>
      <c r="I263" s="929" t="s">
        <v>3441</v>
      </c>
      <c r="J263" s="929" t="s">
        <v>4199</v>
      </c>
      <c r="K263" s="928" t="s">
        <v>1703</v>
      </c>
      <c r="L263" s="930" t="s">
        <v>1813</v>
      </c>
      <c r="M263" s="927" t="s">
        <v>3484</v>
      </c>
      <c r="N263" s="930" t="s">
        <v>1690</v>
      </c>
      <c r="O263" s="927" t="s">
        <v>3485</v>
      </c>
      <c r="P263" s="930" t="s">
        <v>1695</v>
      </c>
      <c r="Q263" s="927" t="s">
        <v>3575</v>
      </c>
      <c r="R263" s="930" t="s">
        <v>1704</v>
      </c>
      <c r="S263" s="927" t="s">
        <v>3575</v>
      </c>
      <c r="T263" s="931" t="s">
        <v>1931</v>
      </c>
      <c r="U263" s="931" t="s">
        <v>1938</v>
      </c>
      <c r="V263" s="931" t="s">
        <v>2029</v>
      </c>
      <c r="W263" s="928"/>
    </row>
    <row r="264" spans="1:23" x14ac:dyDescent="0.2">
      <c r="A264" s="927" t="s">
        <v>4217</v>
      </c>
      <c r="B264" s="928">
        <v>6</v>
      </c>
      <c r="C264" s="928">
        <v>9</v>
      </c>
      <c r="D264" s="928">
        <v>25</v>
      </c>
      <c r="E264" s="928">
        <v>3</v>
      </c>
      <c r="F264" s="928">
        <v>6</v>
      </c>
      <c r="G264" s="928">
        <v>11</v>
      </c>
      <c r="H264" s="928">
        <v>1</v>
      </c>
      <c r="I264" s="929" t="s">
        <v>3441</v>
      </c>
      <c r="J264" s="929" t="s">
        <v>4199</v>
      </c>
      <c r="K264" s="928" t="s">
        <v>1703</v>
      </c>
      <c r="L264" s="930" t="s">
        <v>1813</v>
      </c>
      <c r="M264" s="927" t="s">
        <v>3484</v>
      </c>
      <c r="N264" s="930" t="s">
        <v>1690</v>
      </c>
      <c r="O264" s="927" t="s">
        <v>3485</v>
      </c>
      <c r="P264" s="930" t="s">
        <v>1695</v>
      </c>
      <c r="Q264" s="927" t="s">
        <v>3575</v>
      </c>
      <c r="R264" s="930" t="s">
        <v>1704</v>
      </c>
      <c r="S264" s="927" t="s">
        <v>3575</v>
      </c>
      <c r="T264" s="931" t="s">
        <v>1931</v>
      </c>
      <c r="U264" s="931" t="s">
        <v>1938</v>
      </c>
      <c r="V264" s="931" t="s">
        <v>2029</v>
      </c>
      <c r="W264" s="928"/>
    </row>
    <row r="265" spans="1:23" x14ac:dyDescent="0.2">
      <c r="A265" s="762" t="s">
        <v>3568</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3573</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4218</v>
      </c>
      <c r="B267" s="928">
        <v>1</v>
      </c>
      <c r="C267" s="928">
        <v>2</v>
      </c>
      <c r="D267" s="928">
        <v>5</v>
      </c>
      <c r="E267" s="928">
        <v>1</v>
      </c>
      <c r="F267" s="928">
        <v>2</v>
      </c>
      <c r="G267" s="928">
        <v>4</v>
      </c>
      <c r="H267" s="928">
        <v>1</v>
      </c>
      <c r="I267" s="929" t="s">
        <v>3436</v>
      </c>
      <c r="J267" s="929" t="s">
        <v>1537</v>
      </c>
      <c r="K267" s="928" t="s">
        <v>1703</v>
      </c>
      <c r="L267" s="930" t="s">
        <v>1685</v>
      </c>
      <c r="M267" s="927" t="s">
        <v>3485</v>
      </c>
      <c r="N267" s="930" t="s">
        <v>1813</v>
      </c>
      <c r="O267" s="927" t="s">
        <v>4219</v>
      </c>
      <c r="P267" s="930" t="s">
        <v>1690</v>
      </c>
      <c r="Q267" s="927" t="s">
        <v>3484</v>
      </c>
      <c r="R267" s="930" t="s">
        <v>1704</v>
      </c>
      <c r="S267" s="927" t="s">
        <v>3575</v>
      </c>
      <c r="T267" s="931" t="s">
        <v>1934</v>
      </c>
      <c r="U267" s="931" t="s">
        <v>1931</v>
      </c>
      <c r="V267" s="931" t="s">
        <v>1938</v>
      </c>
      <c r="W267" s="928"/>
    </row>
    <row r="268" spans="1:23" x14ac:dyDescent="0.2">
      <c r="A268" s="927" t="s">
        <v>4220</v>
      </c>
      <c r="B268" s="928">
        <v>2</v>
      </c>
      <c r="C268" s="928">
        <v>4</v>
      </c>
      <c r="D268" s="928">
        <v>10</v>
      </c>
      <c r="E268" s="928">
        <v>1</v>
      </c>
      <c r="F268" s="928">
        <v>2</v>
      </c>
      <c r="G268" s="928">
        <v>4</v>
      </c>
      <c r="H268" s="928">
        <v>1</v>
      </c>
      <c r="I268" s="929" t="s">
        <v>3436</v>
      </c>
      <c r="J268" s="929" t="s">
        <v>1537</v>
      </c>
      <c r="K268" s="928" t="s">
        <v>1703</v>
      </c>
      <c r="L268" s="930" t="s">
        <v>1685</v>
      </c>
      <c r="M268" s="927" t="s">
        <v>3485</v>
      </c>
      <c r="N268" s="930" t="s">
        <v>1813</v>
      </c>
      <c r="O268" s="927" t="s">
        <v>4219</v>
      </c>
      <c r="P268" s="930" t="s">
        <v>1690</v>
      </c>
      <c r="Q268" s="927" t="s">
        <v>3484</v>
      </c>
      <c r="R268" s="930" t="s">
        <v>1704</v>
      </c>
      <c r="S268" s="927" t="s">
        <v>3575</v>
      </c>
      <c r="T268" s="931" t="s">
        <v>1934</v>
      </c>
      <c r="U268" s="931" t="s">
        <v>1931</v>
      </c>
      <c r="V268" s="931" t="s">
        <v>1938</v>
      </c>
      <c r="W268" s="928"/>
    </row>
    <row r="269" spans="1:23" x14ac:dyDescent="0.2">
      <c r="A269" s="927" t="s">
        <v>4221</v>
      </c>
      <c r="B269" s="928">
        <v>3</v>
      </c>
      <c r="C269" s="928">
        <v>5</v>
      </c>
      <c r="D269" s="928">
        <v>10</v>
      </c>
      <c r="E269" s="928">
        <v>2</v>
      </c>
      <c r="F269" s="928">
        <v>4</v>
      </c>
      <c r="G269" s="928">
        <v>7</v>
      </c>
      <c r="H269" s="928">
        <v>1</v>
      </c>
      <c r="I269" s="929" t="s">
        <v>3436</v>
      </c>
      <c r="J269" s="929" t="s">
        <v>1537</v>
      </c>
      <c r="K269" s="928" t="s">
        <v>1703</v>
      </c>
      <c r="L269" s="930" t="s">
        <v>1685</v>
      </c>
      <c r="M269" s="927" t="s">
        <v>3485</v>
      </c>
      <c r="N269" s="930" t="s">
        <v>1813</v>
      </c>
      <c r="O269" s="927" t="s">
        <v>4219</v>
      </c>
      <c r="P269" s="930" t="s">
        <v>1690</v>
      </c>
      <c r="Q269" s="927" t="s">
        <v>3484</v>
      </c>
      <c r="R269" s="930" t="s">
        <v>1704</v>
      </c>
      <c r="S269" s="927" t="s">
        <v>3575</v>
      </c>
      <c r="T269" s="931" t="s">
        <v>1934</v>
      </c>
      <c r="U269" s="931" t="s">
        <v>1931</v>
      </c>
      <c r="V269" s="931" t="s">
        <v>1938</v>
      </c>
      <c r="W269" s="928"/>
    </row>
    <row r="270" spans="1:23" x14ac:dyDescent="0.2">
      <c r="A270" s="927" t="s">
        <v>4222</v>
      </c>
      <c r="B270" s="928">
        <v>4</v>
      </c>
      <c r="C270" s="928">
        <v>6</v>
      </c>
      <c r="D270" s="928">
        <v>15</v>
      </c>
      <c r="E270" s="928">
        <v>3</v>
      </c>
      <c r="F270" s="928">
        <v>6</v>
      </c>
      <c r="G270" s="928">
        <v>11</v>
      </c>
      <c r="H270" s="928">
        <v>1</v>
      </c>
      <c r="I270" s="929" t="s">
        <v>3436</v>
      </c>
      <c r="J270" s="929" t="s">
        <v>1537</v>
      </c>
      <c r="K270" s="928" t="s">
        <v>1703</v>
      </c>
      <c r="L270" s="930" t="s">
        <v>1685</v>
      </c>
      <c r="M270" s="927" t="s">
        <v>3485</v>
      </c>
      <c r="N270" s="930" t="s">
        <v>1813</v>
      </c>
      <c r="O270" s="927" t="s">
        <v>4219</v>
      </c>
      <c r="P270" s="930" t="s">
        <v>1690</v>
      </c>
      <c r="Q270" s="927" t="s">
        <v>3484</v>
      </c>
      <c r="R270" s="930" t="s">
        <v>1704</v>
      </c>
      <c r="S270" s="927" t="s">
        <v>3575</v>
      </c>
      <c r="T270" s="931" t="s">
        <v>1934</v>
      </c>
      <c r="U270" s="931" t="s">
        <v>1931</v>
      </c>
      <c r="V270" s="931" t="s">
        <v>1938</v>
      </c>
      <c r="W270" s="928"/>
    </row>
    <row r="271" spans="1:23" x14ac:dyDescent="0.2">
      <c r="A271" s="927" t="s">
        <v>4223</v>
      </c>
      <c r="B271" s="928">
        <v>5</v>
      </c>
      <c r="C271" s="928">
        <v>8</v>
      </c>
      <c r="D271" s="928">
        <v>20</v>
      </c>
      <c r="E271" s="928">
        <v>4</v>
      </c>
      <c r="F271" s="928">
        <v>8</v>
      </c>
      <c r="G271" s="928">
        <v>14</v>
      </c>
      <c r="H271" s="928">
        <v>1</v>
      </c>
      <c r="I271" s="929" t="s">
        <v>3436</v>
      </c>
      <c r="J271" s="929" t="s">
        <v>1537</v>
      </c>
      <c r="K271" s="928" t="s">
        <v>1703</v>
      </c>
      <c r="L271" s="930" t="s">
        <v>1685</v>
      </c>
      <c r="M271" s="927" t="s">
        <v>3485</v>
      </c>
      <c r="N271" s="930" t="s">
        <v>1813</v>
      </c>
      <c r="O271" s="927" t="s">
        <v>4219</v>
      </c>
      <c r="P271" s="930" t="s">
        <v>1690</v>
      </c>
      <c r="Q271" s="927" t="s">
        <v>3484</v>
      </c>
      <c r="R271" s="930" t="s">
        <v>1704</v>
      </c>
      <c r="S271" s="927" t="s">
        <v>3575</v>
      </c>
      <c r="T271" s="931" t="s">
        <v>1934</v>
      </c>
      <c r="U271" s="931" t="s">
        <v>1931</v>
      </c>
      <c r="V271" s="931" t="s">
        <v>1938</v>
      </c>
      <c r="W271" s="928"/>
    </row>
    <row r="272" spans="1:23" x14ac:dyDescent="0.2">
      <c r="A272" s="927" t="s">
        <v>4224</v>
      </c>
      <c r="B272" s="928">
        <v>6</v>
      </c>
      <c r="C272" s="928">
        <v>9</v>
      </c>
      <c r="D272" s="928">
        <v>25</v>
      </c>
      <c r="E272" s="928">
        <v>5</v>
      </c>
      <c r="F272" s="928">
        <v>10</v>
      </c>
      <c r="G272" s="928">
        <v>18</v>
      </c>
      <c r="H272" s="928">
        <v>2</v>
      </c>
      <c r="I272" s="929" t="s">
        <v>3436</v>
      </c>
      <c r="J272" s="929" t="s">
        <v>1537</v>
      </c>
      <c r="K272" s="928" t="s">
        <v>1703</v>
      </c>
      <c r="L272" s="930" t="s">
        <v>1685</v>
      </c>
      <c r="M272" s="927" t="s">
        <v>3485</v>
      </c>
      <c r="N272" s="930" t="s">
        <v>1813</v>
      </c>
      <c r="O272" s="927" t="s">
        <v>4219</v>
      </c>
      <c r="P272" s="930" t="s">
        <v>1690</v>
      </c>
      <c r="Q272" s="927" t="s">
        <v>3484</v>
      </c>
      <c r="R272" s="930" t="s">
        <v>1704</v>
      </c>
      <c r="S272" s="927" t="s">
        <v>3575</v>
      </c>
      <c r="T272" s="931" t="s">
        <v>1934</v>
      </c>
      <c r="U272" s="931" t="s">
        <v>1931</v>
      </c>
      <c r="V272" s="931" t="s">
        <v>1938</v>
      </c>
      <c r="W272" s="928"/>
    </row>
    <row r="273" spans="1:23" x14ac:dyDescent="0.2">
      <c r="A273" s="927" t="s">
        <v>4225</v>
      </c>
      <c r="B273" s="928">
        <v>8</v>
      </c>
      <c r="C273" s="928">
        <v>11</v>
      </c>
      <c r="D273" s="928">
        <v>30</v>
      </c>
      <c r="E273" s="928">
        <v>6</v>
      </c>
      <c r="F273" s="928">
        <v>12</v>
      </c>
      <c r="G273" s="928">
        <v>21</v>
      </c>
      <c r="H273" s="928">
        <v>2</v>
      </c>
      <c r="I273" s="929" t="s">
        <v>3436</v>
      </c>
      <c r="J273" s="929" t="s">
        <v>1537</v>
      </c>
      <c r="K273" s="928" t="s">
        <v>1703</v>
      </c>
      <c r="L273" s="930" t="s">
        <v>1685</v>
      </c>
      <c r="M273" s="927" t="s">
        <v>3485</v>
      </c>
      <c r="N273" s="930" t="s">
        <v>1813</v>
      </c>
      <c r="O273" s="927" t="s">
        <v>4219</v>
      </c>
      <c r="P273" s="930" t="s">
        <v>1690</v>
      </c>
      <c r="Q273" s="927" t="s">
        <v>3484</v>
      </c>
      <c r="R273" s="930" t="s">
        <v>1704</v>
      </c>
      <c r="S273" s="927" t="s">
        <v>3575</v>
      </c>
      <c r="T273" s="931" t="s">
        <v>1934</v>
      </c>
      <c r="U273" s="931" t="s">
        <v>1931</v>
      </c>
      <c r="V273" s="931" t="s">
        <v>1938</v>
      </c>
      <c r="W273" s="928"/>
    </row>
    <row r="274" spans="1:23" x14ac:dyDescent="0.2">
      <c r="A274" s="927" t="s">
        <v>4226</v>
      </c>
      <c r="B274" s="928">
        <v>10</v>
      </c>
      <c r="C274" s="928">
        <v>13</v>
      </c>
      <c r="D274" s="928">
        <v>35</v>
      </c>
      <c r="E274" s="928">
        <v>8</v>
      </c>
      <c r="F274" s="928">
        <v>16</v>
      </c>
      <c r="G274" s="928">
        <v>28</v>
      </c>
      <c r="H274" s="928">
        <v>2</v>
      </c>
      <c r="I274" s="929" t="s">
        <v>3436</v>
      </c>
      <c r="J274" s="929" t="s">
        <v>1537</v>
      </c>
      <c r="K274" s="928" t="s">
        <v>1703</v>
      </c>
      <c r="L274" s="930" t="s">
        <v>1685</v>
      </c>
      <c r="M274" s="927" t="s">
        <v>3485</v>
      </c>
      <c r="N274" s="930" t="s">
        <v>1813</v>
      </c>
      <c r="O274" s="927" t="s">
        <v>4219</v>
      </c>
      <c r="P274" s="930" t="s">
        <v>1690</v>
      </c>
      <c r="Q274" s="927" t="s">
        <v>3484</v>
      </c>
      <c r="R274" s="930" t="s">
        <v>1704</v>
      </c>
      <c r="S274" s="927" t="s">
        <v>3575</v>
      </c>
      <c r="T274" s="931" t="s">
        <v>1934</v>
      </c>
      <c r="U274" s="931" t="s">
        <v>1931</v>
      </c>
      <c r="V274" s="931" t="s">
        <v>1938</v>
      </c>
      <c r="W274" s="928"/>
    </row>
    <row r="275" spans="1:23" x14ac:dyDescent="0.2">
      <c r="A275" s="927" t="s">
        <v>4227</v>
      </c>
      <c r="B275" s="928">
        <v>14</v>
      </c>
      <c r="C275" s="928">
        <v>18</v>
      </c>
      <c r="D275" s="928">
        <v>40</v>
      </c>
      <c r="E275" s="928">
        <v>10</v>
      </c>
      <c r="F275" s="928">
        <v>20</v>
      </c>
      <c r="G275" s="928">
        <v>35</v>
      </c>
      <c r="H275" s="928">
        <v>3</v>
      </c>
      <c r="I275" s="929" t="s">
        <v>3436</v>
      </c>
      <c r="J275" s="929" t="s">
        <v>1537</v>
      </c>
      <c r="K275" s="928" t="s">
        <v>1703</v>
      </c>
      <c r="L275" s="930" t="s">
        <v>1685</v>
      </c>
      <c r="M275" s="927" t="s">
        <v>3485</v>
      </c>
      <c r="N275" s="930" t="s">
        <v>1813</v>
      </c>
      <c r="O275" s="927" t="s">
        <v>4219</v>
      </c>
      <c r="P275" s="930" t="s">
        <v>1690</v>
      </c>
      <c r="Q275" s="927" t="s">
        <v>3484</v>
      </c>
      <c r="R275" s="930" t="s">
        <v>1704</v>
      </c>
      <c r="S275" s="927" t="s">
        <v>3575</v>
      </c>
      <c r="T275" s="931" t="s">
        <v>1934</v>
      </c>
      <c r="U275" s="931" t="s">
        <v>1931</v>
      </c>
      <c r="V275" s="931" t="s">
        <v>1938</v>
      </c>
      <c r="W275" s="928"/>
    </row>
    <row r="276" spans="1:23" x14ac:dyDescent="0.2">
      <c r="A276" s="927" t="s">
        <v>4228</v>
      </c>
      <c r="B276" s="928">
        <v>18</v>
      </c>
      <c r="C276" s="928">
        <v>22</v>
      </c>
      <c r="D276" s="928">
        <v>45</v>
      </c>
      <c r="E276" s="928">
        <v>12</v>
      </c>
      <c r="F276" s="928">
        <v>24</v>
      </c>
      <c r="G276" s="928">
        <v>42</v>
      </c>
      <c r="H276" s="928">
        <v>3</v>
      </c>
      <c r="I276" s="929" t="s">
        <v>3436</v>
      </c>
      <c r="J276" s="929" t="s">
        <v>1537</v>
      </c>
      <c r="K276" s="928" t="s">
        <v>1703</v>
      </c>
      <c r="L276" s="930" t="s">
        <v>1685</v>
      </c>
      <c r="M276" s="927" t="s">
        <v>3485</v>
      </c>
      <c r="N276" s="930" t="s">
        <v>1813</v>
      </c>
      <c r="O276" s="927" t="s">
        <v>4219</v>
      </c>
      <c r="P276" s="930" t="s">
        <v>1690</v>
      </c>
      <c r="Q276" s="927" t="s">
        <v>3484</v>
      </c>
      <c r="R276" s="930" t="s">
        <v>1704</v>
      </c>
      <c r="S276" s="927" t="s">
        <v>3575</v>
      </c>
      <c r="T276" s="931" t="s">
        <v>1934</v>
      </c>
      <c r="U276" s="931" t="s">
        <v>1931</v>
      </c>
      <c r="V276" s="931" t="s">
        <v>1938</v>
      </c>
      <c r="W276" s="928"/>
    </row>
    <row r="277" spans="1:23" x14ac:dyDescent="0.2">
      <c r="A277" s="927" t="s">
        <v>4229</v>
      </c>
      <c r="B277" s="928">
        <v>22</v>
      </c>
      <c r="C277" s="928">
        <v>26</v>
      </c>
      <c r="D277" s="928">
        <v>50</v>
      </c>
      <c r="E277" s="928">
        <v>14</v>
      </c>
      <c r="F277" s="928">
        <v>28</v>
      </c>
      <c r="G277" s="928">
        <v>49</v>
      </c>
      <c r="H277" s="928">
        <v>3</v>
      </c>
      <c r="I277" s="929" t="s">
        <v>3436</v>
      </c>
      <c r="J277" s="929" t="s">
        <v>1537</v>
      </c>
      <c r="K277" s="928" t="s">
        <v>1703</v>
      </c>
      <c r="L277" s="930" t="s">
        <v>1685</v>
      </c>
      <c r="M277" s="927" t="s">
        <v>3485</v>
      </c>
      <c r="N277" s="930" t="s">
        <v>1813</v>
      </c>
      <c r="O277" s="927" t="s">
        <v>4219</v>
      </c>
      <c r="P277" s="930" t="s">
        <v>1690</v>
      </c>
      <c r="Q277" s="927" t="s">
        <v>3484</v>
      </c>
      <c r="R277" s="930" t="s">
        <v>1704</v>
      </c>
      <c r="S277" s="927" t="s">
        <v>3575</v>
      </c>
      <c r="T277" s="931" t="s">
        <v>1934</v>
      </c>
      <c r="U277" s="931" t="s">
        <v>1931</v>
      </c>
      <c r="V277" s="931" t="s">
        <v>1938</v>
      </c>
      <c r="W277" s="928"/>
    </row>
    <row r="278" spans="1:23" x14ac:dyDescent="0.2">
      <c r="A278" s="933" t="s">
        <v>4230</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3235</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4231</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4232</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3576</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4233</v>
      </c>
      <c r="B283" s="928">
        <v>2</v>
      </c>
      <c r="C283" s="928">
        <v>4</v>
      </c>
      <c r="D283" s="928">
        <v>10</v>
      </c>
      <c r="E283" s="928">
        <v>2</v>
      </c>
      <c r="F283" s="928">
        <v>4</v>
      </c>
      <c r="G283" s="928">
        <v>7</v>
      </c>
      <c r="H283" s="928">
        <v>1</v>
      </c>
      <c r="I283" s="929" t="s">
        <v>3441</v>
      </c>
      <c r="J283" s="929" t="s">
        <v>1537</v>
      </c>
      <c r="K283" s="928" t="s">
        <v>1703</v>
      </c>
      <c r="L283" s="930" t="s">
        <v>1685</v>
      </c>
      <c r="M283" s="927" t="s">
        <v>3485</v>
      </c>
      <c r="N283" s="930" t="s">
        <v>1813</v>
      </c>
      <c r="O283" s="927" t="s">
        <v>4219</v>
      </c>
      <c r="P283" s="930" t="s">
        <v>1690</v>
      </c>
      <c r="Q283" s="927" t="s">
        <v>3484</v>
      </c>
      <c r="R283" s="930" t="s">
        <v>1704</v>
      </c>
      <c r="S283" s="927" t="s">
        <v>3575</v>
      </c>
      <c r="T283" s="931" t="s">
        <v>1934</v>
      </c>
      <c r="U283" s="931" t="s">
        <v>1931</v>
      </c>
      <c r="V283" s="931" t="s">
        <v>1938</v>
      </c>
      <c r="W283" s="928"/>
    </row>
    <row r="284" spans="1:23" x14ac:dyDescent="0.2">
      <c r="A284" s="927" t="s">
        <v>4234</v>
      </c>
      <c r="B284" s="928">
        <v>4</v>
      </c>
      <c r="C284" s="928">
        <v>6</v>
      </c>
      <c r="D284" s="928">
        <v>15</v>
      </c>
      <c r="E284" s="928">
        <v>3</v>
      </c>
      <c r="F284" s="928">
        <v>6</v>
      </c>
      <c r="G284" s="928">
        <v>11</v>
      </c>
      <c r="H284" s="928">
        <v>1</v>
      </c>
      <c r="I284" s="929" t="s">
        <v>3441</v>
      </c>
      <c r="J284" s="929" t="s">
        <v>1537</v>
      </c>
      <c r="K284" s="928" t="s">
        <v>1703</v>
      </c>
      <c r="L284" s="930" t="s">
        <v>1685</v>
      </c>
      <c r="M284" s="927" t="s">
        <v>3485</v>
      </c>
      <c r="N284" s="930" t="s">
        <v>1813</v>
      </c>
      <c r="O284" s="927" t="s">
        <v>4219</v>
      </c>
      <c r="P284" s="930" t="s">
        <v>1690</v>
      </c>
      <c r="Q284" s="927" t="s">
        <v>3484</v>
      </c>
      <c r="R284" s="930" t="s">
        <v>1704</v>
      </c>
      <c r="S284" s="927" t="s">
        <v>3575</v>
      </c>
      <c r="T284" s="931" t="s">
        <v>1934</v>
      </c>
      <c r="U284" s="931" t="s">
        <v>1931</v>
      </c>
      <c r="V284" s="931" t="s">
        <v>1938</v>
      </c>
      <c r="W284" s="928"/>
    </row>
    <row r="285" spans="1:23" x14ac:dyDescent="0.2">
      <c r="A285" s="927" t="s">
        <v>4235</v>
      </c>
      <c r="B285" s="928">
        <v>6</v>
      </c>
      <c r="C285" s="928">
        <v>9</v>
      </c>
      <c r="D285" s="928">
        <v>20</v>
      </c>
      <c r="E285" s="928">
        <v>4</v>
      </c>
      <c r="F285" s="928">
        <v>8</v>
      </c>
      <c r="G285" s="928">
        <v>14</v>
      </c>
      <c r="H285" s="928">
        <v>1</v>
      </c>
      <c r="I285" s="929" t="s">
        <v>3441</v>
      </c>
      <c r="J285" s="929" t="s">
        <v>1537</v>
      </c>
      <c r="K285" s="928" t="s">
        <v>1703</v>
      </c>
      <c r="L285" s="930" t="s">
        <v>1685</v>
      </c>
      <c r="M285" s="927" t="s">
        <v>3485</v>
      </c>
      <c r="N285" s="930" t="s">
        <v>1813</v>
      </c>
      <c r="O285" s="927" t="s">
        <v>4219</v>
      </c>
      <c r="P285" s="930" t="s">
        <v>1690</v>
      </c>
      <c r="Q285" s="927" t="s">
        <v>3484</v>
      </c>
      <c r="R285" s="930" t="s">
        <v>1704</v>
      </c>
      <c r="S285" s="927" t="s">
        <v>3575</v>
      </c>
      <c r="T285" s="931" t="s">
        <v>1934</v>
      </c>
      <c r="U285" s="931" t="s">
        <v>1931</v>
      </c>
      <c r="V285" s="931" t="s">
        <v>1938</v>
      </c>
      <c r="W285" s="928"/>
    </row>
    <row r="286" spans="1:23" x14ac:dyDescent="0.2">
      <c r="A286" s="927" t="s">
        <v>4236</v>
      </c>
      <c r="B286" s="928">
        <v>8</v>
      </c>
      <c r="C286" s="928">
        <v>11</v>
      </c>
      <c r="D286" s="928">
        <v>25</v>
      </c>
      <c r="E286" s="928">
        <v>5</v>
      </c>
      <c r="F286" s="928">
        <v>10</v>
      </c>
      <c r="G286" s="928">
        <v>18</v>
      </c>
      <c r="H286" s="928">
        <v>1</v>
      </c>
      <c r="I286" s="929" t="s">
        <v>3441</v>
      </c>
      <c r="J286" s="929" t="s">
        <v>1537</v>
      </c>
      <c r="K286" s="928" t="s">
        <v>1703</v>
      </c>
      <c r="L286" s="930" t="s">
        <v>1685</v>
      </c>
      <c r="M286" s="927" t="s">
        <v>3485</v>
      </c>
      <c r="N286" s="930" t="s">
        <v>1813</v>
      </c>
      <c r="O286" s="927" t="s">
        <v>4219</v>
      </c>
      <c r="P286" s="930" t="s">
        <v>1690</v>
      </c>
      <c r="Q286" s="927" t="s">
        <v>3484</v>
      </c>
      <c r="R286" s="930" t="s">
        <v>1704</v>
      </c>
      <c r="S286" s="927" t="s">
        <v>3575</v>
      </c>
      <c r="T286" s="931" t="s">
        <v>1934</v>
      </c>
      <c r="U286" s="931" t="s">
        <v>1931</v>
      </c>
      <c r="V286" s="931" t="s">
        <v>1938</v>
      </c>
      <c r="W286" s="928"/>
    </row>
    <row r="287" spans="1:23" x14ac:dyDescent="0.2">
      <c r="A287" s="927" t="s">
        <v>4237</v>
      </c>
      <c r="B287" s="928">
        <v>10</v>
      </c>
      <c r="C287" s="928">
        <v>13</v>
      </c>
      <c r="D287" s="928">
        <v>35</v>
      </c>
      <c r="E287" s="928">
        <v>6</v>
      </c>
      <c r="F287" s="928">
        <v>12</v>
      </c>
      <c r="G287" s="928">
        <v>21</v>
      </c>
      <c r="H287" s="928">
        <v>2</v>
      </c>
      <c r="I287" s="929" t="s">
        <v>3441</v>
      </c>
      <c r="J287" s="929" t="s">
        <v>1537</v>
      </c>
      <c r="K287" s="928" t="s">
        <v>1703</v>
      </c>
      <c r="L287" s="930" t="s">
        <v>1685</v>
      </c>
      <c r="M287" s="927" t="s">
        <v>3485</v>
      </c>
      <c r="N287" s="930" t="s">
        <v>1813</v>
      </c>
      <c r="O287" s="927" t="s">
        <v>4219</v>
      </c>
      <c r="P287" s="930" t="s">
        <v>1690</v>
      </c>
      <c r="Q287" s="927" t="s">
        <v>3484</v>
      </c>
      <c r="R287" s="930" t="s">
        <v>1704</v>
      </c>
      <c r="S287" s="927" t="s">
        <v>3575</v>
      </c>
      <c r="T287" s="931" t="s">
        <v>1934</v>
      </c>
      <c r="U287" s="931" t="s">
        <v>1931</v>
      </c>
      <c r="V287" s="931" t="s">
        <v>1938</v>
      </c>
      <c r="W287" s="928"/>
    </row>
    <row r="288" spans="1:23" x14ac:dyDescent="0.2">
      <c r="A288" s="927" t="s">
        <v>4238</v>
      </c>
      <c r="B288" s="928">
        <v>12</v>
      </c>
      <c r="C288" s="928">
        <v>15</v>
      </c>
      <c r="D288" s="928">
        <v>45</v>
      </c>
      <c r="E288" s="928">
        <v>8</v>
      </c>
      <c r="F288" s="928">
        <v>16</v>
      </c>
      <c r="G288" s="928">
        <v>28</v>
      </c>
      <c r="H288" s="928">
        <v>2</v>
      </c>
      <c r="I288" s="929" t="s">
        <v>3441</v>
      </c>
      <c r="J288" s="929" t="s">
        <v>1537</v>
      </c>
      <c r="K288" s="928" t="s">
        <v>1703</v>
      </c>
      <c r="L288" s="930" t="s">
        <v>1685</v>
      </c>
      <c r="M288" s="927" t="s">
        <v>3485</v>
      </c>
      <c r="N288" s="930" t="s">
        <v>1813</v>
      </c>
      <c r="O288" s="927" t="s">
        <v>4219</v>
      </c>
      <c r="P288" s="930" t="s">
        <v>1690</v>
      </c>
      <c r="Q288" s="927" t="s">
        <v>3484</v>
      </c>
      <c r="R288" s="930" t="s">
        <v>1704</v>
      </c>
      <c r="S288" s="927" t="s">
        <v>3575</v>
      </c>
      <c r="T288" s="931" t="s">
        <v>1934</v>
      </c>
      <c r="U288" s="931" t="s">
        <v>1931</v>
      </c>
      <c r="V288" s="931" t="s">
        <v>1938</v>
      </c>
      <c r="W288" s="928"/>
    </row>
    <row r="289" spans="1:23" x14ac:dyDescent="0.2">
      <c r="A289" s="927" t="s">
        <v>4239</v>
      </c>
      <c r="B289" s="928">
        <v>16</v>
      </c>
      <c r="C289" s="928">
        <v>20</v>
      </c>
      <c r="D289" s="928">
        <v>55</v>
      </c>
      <c r="E289" s="928">
        <v>10</v>
      </c>
      <c r="F289" s="928">
        <v>20</v>
      </c>
      <c r="G289" s="928">
        <v>35</v>
      </c>
      <c r="H289" s="928">
        <v>2</v>
      </c>
      <c r="I289" s="929" t="s">
        <v>3441</v>
      </c>
      <c r="J289" s="929" t="s">
        <v>1537</v>
      </c>
      <c r="K289" s="928" t="s">
        <v>1703</v>
      </c>
      <c r="L289" s="930" t="s">
        <v>1685</v>
      </c>
      <c r="M289" s="927" t="s">
        <v>3485</v>
      </c>
      <c r="N289" s="930" t="s">
        <v>1813</v>
      </c>
      <c r="O289" s="927" t="s">
        <v>4219</v>
      </c>
      <c r="P289" s="930" t="s">
        <v>1690</v>
      </c>
      <c r="Q289" s="927" t="s">
        <v>3484</v>
      </c>
      <c r="R289" s="930" t="s">
        <v>1704</v>
      </c>
      <c r="S289" s="927" t="s">
        <v>3575</v>
      </c>
      <c r="T289" s="931" t="s">
        <v>1934</v>
      </c>
      <c r="U289" s="931" t="s">
        <v>1931</v>
      </c>
      <c r="V289" s="931" t="s">
        <v>1938</v>
      </c>
      <c r="W289" s="928"/>
    </row>
    <row r="290" spans="1:23" x14ac:dyDescent="0.2">
      <c r="A290" s="927" t="s">
        <v>4240</v>
      </c>
      <c r="B290" s="928">
        <v>20</v>
      </c>
      <c r="C290" s="928">
        <v>24</v>
      </c>
      <c r="D290" s="928">
        <v>70</v>
      </c>
      <c r="E290" s="928">
        <v>12</v>
      </c>
      <c r="F290" s="928">
        <v>24</v>
      </c>
      <c r="G290" s="928">
        <v>42</v>
      </c>
      <c r="H290" s="928">
        <v>3</v>
      </c>
      <c r="I290" s="929" t="s">
        <v>3441</v>
      </c>
      <c r="J290" s="929" t="s">
        <v>1537</v>
      </c>
      <c r="K290" s="928" t="s">
        <v>1703</v>
      </c>
      <c r="L290" s="930" t="s">
        <v>1685</v>
      </c>
      <c r="M290" s="927" t="s">
        <v>3485</v>
      </c>
      <c r="N290" s="930" t="s">
        <v>1813</v>
      </c>
      <c r="O290" s="927" t="s">
        <v>4219</v>
      </c>
      <c r="P290" s="930" t="s">
        <v>1690</v>
      </c>
      <c r="Q290" s="927" t="s">
        <v>3484</v>
      </c>
      <c r="R290" s="930" t="s">
        <v>1704</v>
      </c>
      <c r="S290" s="927" t="s">
        <v>3575</v>
      </c>
      <c r="T290" s="931" t="s">
        <v>1934</v>
      </c>
      <c r="U290" s="931" t="s">
        <v>1931</v>
      </c>
      <c r="V290" s="931" t="s">
        <v>1938</v>
      </c>
      <c r="W290" s="928"/>
    </row>
    <row r="291" spans="1:23" x14ac:dyDescent="0.2">
      <c r="A291" s="769" t="s">
        <v>3581</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4241</v>
      </c>
      <c r="B292" s="928">
        <v>1</v>
      </c>
      <c r="C292" s="928">
        <v>2</v>
      </c>
      <c r="D292" s="928">
        <v>5</v>
      </c>
      <c r="E292" s="928">
        <v>1</v>
      </c>
      <c r="F292" s="928">
        <v>2</v>
      </c>
      <c r="G292" s="928">
        <v>4</v>
      </c>
      <c r="H292" s="928">
        <v>1</v>
      </c>
      <c r="I292" s="929" t="s">
        <v>3436</v>
      </c>
      <c r="J292" s="929" t="s">
        <v>1537</v>
      </c>
      <c r="K292" s="928" t="s">
        <v>1703</v>
      </c>
      <c r="L292" s="930" t="s">
        <v>1685</v>
      </c>
      <c r="M292" s="927" t="s">
        <v>3484</v>
      </c>
      <c r="N292" s="930" t="s">
        <v>1813</v>
      </c>
      <c r="O292" s="927" t="s">
        <v>3485</v>
      </c>
      <c r="P292" s="930" t="s">
        <v>1690</v>
      </c>
      <c r="Q292" s="927" t="s">
        <v>3484</v>
      </c>
      <c r="R292" s="930" t="s">
        <v>1704</v>
      </c>
      <c r="S292" s="927" t="s">
        <v>3575</v>
      </c>
      <c r="T292" s="931" t="s">
        <v>1938</v>
      </c>
      <c r="U292" s="931" t="s">
        <v>2029</v>
      </c>
      <c r="V292" s="931" t="s">
        <v>2030</v>
      </c>
      <c r="W292" s="928"/>
    </row>
    <row r="293" spans="1:23" x14ac:dyDescent="0.2">
      <c r="A293" s="927" t="s">
        <v>4242</v>
      </c>
      <c r="B293" s="928">
        <v>2</v>
      </c>
      <c r="C293" s="928">
        <v>4</v>
      </c>
      <c r="D293" s="928">
        <v>10</v>
      </c>
      <c r="E293" s="928">
        <v>1</v>
      </c>
      <c r="F293" s="928">
        <v>2</v>
      </c>
      <c r="G293" s="928">
        <v>4</v>
      </c>
      <c r="H293" s="928">
        <v>1</v>
      </c>
      <c r="I293" s="929" t="s">
        <v>3436</v>
      </c>
      <c r="J293" s="929" t="s">
        <v>1537</v>
      </c>
      <c r="K293" s="928" t="s">
        <v>1703</v>
      </c>
      <c r="L293" s="930" t="s">
        <v>1685</v>
      </c>
      <c r="M293" s="927" t="s">
        <v>3484</v>
      </c>
      <c r="N293" s="930" t="s">
        <v>1813</v>
      </c>
      <c r="O293" s="927" t="s">
        <v>3485</v>
      </c>
      <c r="P293" s="930" t="s">
        <v>1690</v>
      </c>
      <c r="Q293" s="927" t="s">
        <v>3484</v>
      </c>
      <c r="R293" s="930" t="s">
        <v>1704</v>
      </c>
      <c r="S293" s="927" t="s">
        <v>3575</v>
      </c>
      <c r="T293" s="931" t="s">
        <v>1938</v>
      </c>
      <c r="U293" s="931" t="s">
        <v>2029</v>
      </c>
      <c r="V293" s="931" t="s">
        <v>2030</v>
      </c>
      <c r="W293" s="928"/>
    </row>
    <row r="294" spans="1:23" x14ac:dyDescent="0.2">
      <c r="A294" s="927" t="s">
        <v>4243</v>
      </c>
      <c r="B294" s="928">
        <v>3</v>
      </c>
      <c r="C294" s="928">
        <v>5</v>
      </c>
      <c r="D294" s="928">
        <v>15</v>
      </c>
      <c r="E294" s="928">
        <v>2</v>
      </c>
      <c r="F294" s="928">
        <v>4</v>
      </c>
      <c r="G294" s="928">
        <v>7</v>
      </c>
      <c r="H294" s="928">
        <v>1</v>
      </c>
      <c r="I294" s="929" t="s">
        <v>3436</v>
      </c>
      <c r="J294" s="929" t="s">
        <v>1537</v>
      </c>
      <c r="K294" s="928" t="s">
        <v>1703</v>
      </c>
      <c r="L294" s="930" t="s">
        <v>1685</v>
      </c>
      <c r="M294" s="927" t="s">
        <v>3484</v>
      </c>
      <c r="N294" s="930" t="s">
        <v>1813</v>
      </c>
      <c r="O294" s="927" t="s">
        <v>3485</v>
      </c>
      <c r="P294" s="930" t="s">
        <v>1690</v>
      </c>
      <c r="Q294" s="927" t="s">
        <v>3484</v>
      </c>
      <c r="R294" s="930" t="s">
        <v>1704</v>
      </c>
      <c r="S294" s="927" t="s">
        <v>3575</v>
      </c>
      <c r="T294" s="931" t="s">
        <v>1938</v>
      </c>
      <c r="U294" s="931" t="s">
        <v>2029</v>
      </c>
      <c r="V294" s="931" t="s">
        <v>2030</v>
      </c>
      <c r="W294" s="928"/>
    </row>
    <row r="295" spans="1:23" x14ac:dyDescent="0.2">
      <c r="A295" s="927" t="s">
        <v>4244</v>
      </c>
      <c r="B295" s="928">
        <v>4</v>
      </c>
      <c r="C295" s="928">
        <v>6</v>
      </c>
      <c r="D295" s="928">
        <v>20</v>
      </c>
      <c r="E295" s="928">
        <v>3</v>
      </c>
      <c r="F295" s="928">
        <v>6</v>
      </c>
      <c r="G295" s="928">
        <v>11</v>
      </c>
      <c r="H295" s="928">
        <v>1</v>
      </c>
      <c r="I295" s="929" t="s">
        <v>3436</v>
      </c>
      <c r="J295" s="929" t="s">
        <v>1537</v>
      </c>
      <c r="K295" s="928" t="s">
        <v>1703</v>
      </c>
      <c r="L295" s="930" t="s">
        <v>1685</v>
      </c>
      <c r="M295" s="927" t="s">
        <v>3484</v>
      </c>
      <c r="N295" s="930" t="s">
        <v>1813</v>
      </c>
      <c r="O295" s="927" t="s">
        <v>3485</v>
      </c>
      <c r="P295" s="930" t="s">
        <v>1690</v>
      </c>
      <c r="Q295" s="927" t="s">
        <v>3484</v>
      </c>
      <c r="R295" s="930" t="s">
        <v>1704</v>
      </c>
      <c r="S295" s="927" t="s">
        <v>3575</v>
      </c>
      <c r="T295" s="931" t="s">
        <v>1938</v>
      </c>
      <c r="U295" s="931" t="s">
        <v>2029</v>
      </c>
      <c r="V295" s="931" t="s">
        <v>2030</v>
      </c>
      <c r="W295" s="928"/>
    </row>
    <row r="296" spans="1:23" x14ac:dyDescent="0.2">
      <c r="A296" s="927" t="s">
        <v>4245</v>
      </c>
      <c r="B296" s="928">
        <v>6</v>
      </c>
      <c r="C296" s="928">
        <v>9</v>
      </c>
      <c r="D296" s="928">
        <v>25</v>
      </c>
      <c r="E296" s="928">
        <v>4</v>
      </c>
      <c r="F296" s="928">
        <v>8</v>
      </c>
      <c r="G296" s="928">
        <v>14</v>
      </c>
      <c r="H296" s="928">
        <v>2</v>
      </c>
      <c r="I296" s="929" t="s">
        <v>3436</v>
      </c>
      <c r="J296" s="929" t="s">
        <v>1537</v>
      </c>
      <c r="K296" s="928" t="s">
        <v>1703</v>
      </c>
      <c r="L296" s="930" t="s">
        <v>1685</v>
      </c>
      <c r="M296" s="927" t="s">
        <v>3484</v>
      </c>
      <c r="N296" s="930" t="s">
        <v>1813</v>
      </c>
      <c r="O296" s="927" t="s">
        <v>3485</v>
      </c>
      <c r="P296" s="930" t="s">
        <v>1690</v>
      </c>
      <c r="Q296" s="927" t="s">
        <v>3484</v>
      </c>
      <c r="R296" s="930" t="s">
        <v>1704</v>
      </c>
      <c r="S296" s="927" t="s">
        <v>3575</v>
      </c>
      <c r="T296" s="931" t="s">
        <v>1938</v>
      </c>
      <c r="U296" s="931" t="s">
        <v>2029</v>
      </c>
      <c r="V296" s="931" t="s">
        <v>2030</v>
      </c>
      <c r="W296" s="928"/>
    </row>
    <row r="297" spans="1:23" x14ac:dyDescent="0.2">
      <c r="A297" s="927" t="s">
        <v>4246</v>
      </c>
      <c r="B297" s="928">
        <v>8</v>
      </c>
      <c r="C297" s="928">
        <v>11</v>
      </c>
      <c r="D297" s="928">
        <v>30</v>
      </c>
      <c r="E297" s="928">
        <v>5</v>
      </c>
      <c r="F297" s="928">
        <v>10</v>
      </c>
      <c r="G297" s="928">
        <v>18</v>
      </c>
      <c r="H297" s="928">
        <v>2</v>
      </c>
      <c r="I297" s="929" t="s">
        <v>3436</v>
      </c>
      <c r="J297" s="929" t="s">
        <v>1537</v>
      </c>
      <c r="K297" s="928" t="s">
        <v>1703</v>
      </c>
      <c r="L297" s="930" t="s">
        <v>1685</v>
      </c>
      <c r="M297" s="927" t="s">
        <v>3484</v>
      </c>
      <c r="N297" s="930" t="s">
        <v>1813</v>
      </c>
      <c r="O297" s="927" t="s">
        <v>3485</v>
      </c>
      <c r="P297" s="930" t="s">
        <v>1690</v>
      </c>
      <c r="Q297" s="927" t="s">
        <v>3484</v>
      </c>
      <c r="R297" s="930" t="s">
        <v>1704</v>
      </c>
      <c r="S297" s="927" t="s">
        <v>3575</v>
      </c>
      <c r="T297" s="931" t="s">
        <v>1938</v>
      </c>
      <c r="U297" s="931" t="s">
        <v>2029</v>
      </c>
      <c r="V297" s="931" t="s">
        <v>2030</v>
      </c>
      <c r="W297" s="928"/>
    </row>
    <row r="298" spans="1:23" x14ac:dyDescent="0.2">
      <c r="A298" s="927" t="s">
        <v>4247</v>
      </c>
      <c r="B298" s="928">
        <v>10</v>
      </c>
      <c r="C298" s="928">
        <v>13</v>
      </c>
      <c r="D298" s="928">
        <v>40</v>
      </c>
      <c r="E298" s="928">
        <v>6</v>
      </c>
      <c r="F298" s="928">
        <v>12</v>
      </c>
      <c r="G298" s="928">
        <v>21</v>
      </c>
      <c r="H298" s="928">
        <v>2</v>
      </c>
      <c r="I298" s="929" t="s">
        <v>3436</v>
      </c>
      <c r="J298" s="929" t="s">
        <v>1537</v>
      </c>
      <c r="K298" s="928" t="s">
        <v>1703</v>
      </c>
      <c r="L298" s="930" t="s">
        <v>1685</v>
      </c>
      <c r="M298" s="927" t="s">
        <v>3484</v>
      </c>
      <c r="N298" s="930" t="s">
        <v>1813</v>
      </c>
      <c r="O298" s="927" t="s">
        <v>3485</v>
      </c>
      <c r="P298" s="930" t="s">
        <v>1690</v>
      </c>
      <c r="Q298" s="927" t="s">
        <v>3484</v>
      </c>
      <c r="R298" s="930" t="s">
        <v>1704</v>
      </c>
      <c r="S298" s="927" t="s">
        <v>3575</v>
      </c>
      <c r="T298" s="931" t="s">
        <v>1938</v>
      </c>
      <c r="U298" s="931" t="s">
        <v>2029</v>
      </c>
      <c r="V298" s="931" t="s">
        <v>2030</v>
      </c>
      <c r="W298" s="928"/>
    </row>
    <row r="299" spans="1:23" x14ac:dyDescent="0.2">
      <c r="A299" s="927" t="s">
        <v>4248</v>
      </c>
      <c r="B299" s="928">
        <v>12</v>
      </c>
      <c r="C299" s="928">
        <v>15</v>
      </c>
      <c r="D299" s="928">
        <v>50</v>
      </c>
      <c r="E299" s="928">
        <v>8</v>
      </c>
      <c r="F299" s="928">
        <v>16</v>
      </c>
      <c r="G299" s="928">
        <v>28</v>
      </c>
      <c r="H299" s="928">
        <v>3</v>
      </c>
      <c r="I299" s="929" t="s">
        <v>3436</v>
      </c>
      <c r="J299" s="929" t="s">
        <v>1537</v>
      </c>
      <c r="K299" s="928" t="s">
        <v>1703</v>
      </c>
      <c r="L299" s="930" t="s">
        <v>1685</v>
      </c>
      <c r="M299" s="927" t="s">
        <v>3484</v>
      </c>
      <c r="N299" s="930" t="s">
        <v>1813</v>
      </c>
      <c r="O299" s="927" t="s">
        <v>3485</v>
      </c>
      <c r="P299" s="930" t="s">
        <v>1690</v>
      </c>
      <c r="Q299" s="927" t="s">
        <v>3484</v>
      </c>
      <c r="R299" s="930" t="s">
        <v>1704</v>
      </c>
      <c r="S299" s="927" t="s">
        <v>3575</v>
      </c>
      <c r="T299" s="931" t="s">
        <v>1938</v>
      </c>
      <c r="U299" s="931" t="s">
        <v>2029</v>
      </c>
      <c r="V299" s="931" t="s">
        <v>2030</v>
      </c>
      <c r="W299" s="928"/>
    </row>
    <row r="300" spans="1:23" x14ac:dyDescent="0.2">
      <c r="A300" s="927" t="s">
        <v>4249</v>
      </c>
      <c r="B300" s="928">
        <v>16</v>
      </c>
      <c r="C300" s="928">
        <v>20</v>
      </c>
      <c r="D300" s="928">
        <v>60</v>
      </c>
      <c r="E300" s="928">
        <v>10</v>
      </c>
      <c r="F300" s="928">
        <v>20</v>
      </c>
      <c r="G300" s="928">
        <v>35</v>
      </c>
      <c r="H300" s="928">
        <v>3</v>
      </c>
      <c r="I300" s="929" t="s">
        <v>3436</v>
      </c>
      <c r="J300" s="929" t="s">
        <v>1537</v>
      </c>
      <c r="K300" s="928" t="s">
        <v>1703</v>
      </c>
      <c r="L300" s="930" t="s">
        <v>1685</v>
      </c>
      <c r="M300" s="927" t="s">
        <v>3484</v>
      </c>
      <c r="N300" s="930" t="s">
        <v>1813</v>
      </c>
      <c r="O300" s="927" t="s">
        <v>3485</v>
      </c>
      <c r="P300" s="930" t="s">
        <v>1690</v>
      </c>
      <c r="Q300" s="927" t="s">
        <v>3484</v>
      </c>
      <c r="R300" s="930" t="s">
        <v>1704</v>
      </c>
      <c r="S300" s="927" t="s">
        <v>3575</v>
      </c>
      <c r="T300" s="931" t="s">
        <v>1938</v>
      </c>
      <c r="U300" s="931" t="s">
        <v>2029</v>
      </c>
      <c r="V300" s="931" t="s">
        <v>2030</v>
      </c>
      <c r="W300" s="928"/>
    </row>
    <row r="301" spans="1:23" x14ac:dyDescent="0.2">
      <c r="A301" s="933" t="s">
        <v>4250</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4251</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3586</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4252</v>
      </c>
      <c r="B304" s="928">
        <v>2</v>
      </c>
      <c r="C304" s="928">
        <v>4</v>
      </c>
      <c r="D304" s="928">
        <v>10</v>
      </c>
      <c r="E304" s="928">
        <v>2</v>
      </c>
      <c r="F304" s="928">
        <v>4</v>
      </c>
      <c r="G304" s="928">
        <v>4</v>
      </c>
      <c r="H304" s="928">
        <v>1</v>
      </c>
      <c r="I304" s="929" t="s">
        <v>3441</v>
      </c>
      <c r="J304" s="929" t="s">
        <v>1537</v>
      </c>
      <c r="K304" s="928" t="s">
        <v>1703</v>
      </c>
      <c r="L304" s="930" t="s">
        <v>1685</v>
      </c>
      <c r="M304" s="927" t="s">
        <v>3484</v>
      </c>
      <c r="N304" s="930" t="s">
        <v>1813</v>
      </c>
      <c r="O304" s="927" t="s">
        <v>3485</v>
      </c>
      <c r="P304" s="930" t="s">
        <v>1690</v>
      </c>
      <c r="Q304" s="927" t="s">
        <v>3484</v>
      </c>
      <c r="R304" s="930" t="s">
        <v>1704</v>
      </c>
      <c r="S304" s="927" t="s">
        <v>3575</v>
      </c>
      <c r="T304" s="931" t="s">
        <v>1938</v>
      </c>
      <c r="U304" s="931" t="s">
        <v>2029</v>
      </c>
      <c r="V304" s="931" t="s">
        <v>2030</v>
      </c>
      <c r="W304" s="928"/>
    </row>
    <row r="305" spans="1:23" x14ac:dyDescent="0.2">
      <c r="A305" s="927" t="s">
        <v>4253</v>
      </c>
      <c r="B305" s="928">
        <v>4</v>
      </c>
      <c r="C305" s="928">
        <v>6</v>
      </c>
      <c r="D305" s="928">
        <v>15</v>
      </c>
      <c r="E305" s="928">
        <v>3</v>
      </c>
      <c r="F305" s="928">
        <v>6</v>
      </c>
      <c r="G305" s="928">
        <v>6</v>
      </c>
      <c r="H305" s="928">
        <v>1</v>
      </c>
      <c r="I305" s="929" t="s">
        <v>3441</v>
      </c>
      <c r="J305" s="929" t="s">
        <v>1537</v>
      </c>
      <c r="K305" s="928" t="s">
        <v>1703</v>
      </c>
      <c r="L305" s="930" t="s">
        <v>1685</v>
      </c>
      <c r="M305" s="927" t="s">
        <v>3484</v>
      </c>
      <c r="N305" s="930" t="s">
        <v>1813</v>
      </c>
      <c r="O305" s="927" t="s">
        <v>3485</v>
      </c>
      <c r="P305" s="930" t="s">
        <v>1690</v>
      </c>
      <c r="Q305" s="927" t="s">
        <v>3484</v>
      </c>
      <c r="R305" s="930" t="s">
        <v>1704</v>
      </c>
      <c r="S305" s="927" t="s">
        <v>3575</v>
      </c>
      <c r="T305" s="931" t="s">
        <v>1938</v>
      </c>
      <c r="U305" s="931" t="s">
        <v>2029</v>
      </c>
      <c r="V305" s="931" t="s">
        <v>2030</v>
      </c>
      <c r="W305" s="928"/>
    </row>
    <row r="306" spans="1:23" x14ac:dyDescent="0.2">
      <c r="A306" s="927" t="s">
        <v>4254</v>
      </c>
      <c r="B306" s="928">
        <v>6</v>
      </c>
      <c r="C306" s="928">
        <v>9</v>
      </c>
      <c r="D306" s="928">
        <v>20</v>
      </c>
      <c r="E306" s="928">
        <v>4</v>
      </c>
      <c r="F306" s="928">
        <v>8</v>
      </c>
      <c r="G306" s="928">
        <v>8</v>
      </c>
      <c r="H306" s="928">
        <v>1</v>
      </c>
      <c r="I306" s="929" t="s">
        <v>3441</v>
      </c>
      <c r="J306" s="929" t="s">
        <v>1537</v>
      </c>
      <c r="K306" s="928" t="s">
        <v>1703</v>
      </c>
      <c r="L306" s="930" t="s">
        <v>1685</v>
      </c>
      <c r="M306" s="927" t="s">
        <v>3484</v>
      </c>
      <c r="N306" s="930" t="s">
        <v>1813</v>
      </c>
      <c r="O306" s="927" t="s">
        <v>3485</v>
      </c>
      <c r="P306" s="930" t="s">
        <v>1690</v>
      </c>
      <c r="Q306" s="927" t="s">
        <v>3484</v>
      </c>
      <c r="R306" s="930" t="s">
        <v>1704</v>
      </c>
      <c r="S306" s="927" t="s">
        <v>3575</v>
      </c>
      <c r="T306" s="931" t="s">
        <v>1938</v>
      </c>
      <c r="U306" s="931" t="s">
        <v>2029</v>
      </c>
      <c r="V306" s="931" t="s">
        <v>2030</v>
      </c>
      <c r="W306" s="928"/>
    </row>
    <row r="307" spans="1:23" x14ac:dyDescent="0.2">
      <c r="A307" s="927" t="s">
        <v>4255</v>
      </c>
      <c r="B307" s="928">
        <v>8</v>
      </c>
      <c r="C307" s="928">
        <v>11</v>
      </c>
      <c r="D307" s="928">
        <v>30</v>
      </c>
      <c r="E307" s="928">
        <v>5</v>
      </c>
      <c r="F307" s="928">
        <v>10</v>
      </c>
      <c r="G307" s="928">
        <v>10</v>
      </c>
      <c r="H307" s="928">
        <v>2</v>
      </c>
      <c r="I307" s="929" t="s">
        <v>3441</v>
      </c>
      <c r="J307" s="929" t="s">
        <v>1537</v>
      </c>
      <c r="K307" s="928" t="s">
        <v>1703</v>
      </c>
      <c r="L307" s="930" t="s">
        <v>1685</v>
      </c>
      <c r="M307" s="927" t="s">
        <v>3484</v>
      </c>
      <c r="N307" s="930" t="s">
        <v>1813</v>
      </c>
      <c r="O307" s="927" t="s">
        <v>3485</v>
      </c>
      <c r="P307" s="930" t="s">
        <v>1690</v>
      </c>
      <c r="Q307" s="927" t="s">
        <v>3484</v>
      </c>
      <c r="R307" s="930" t="s">
        <v>1704</v>
      </c>
      <c r="S307" s="927" t="s">
        <v>3575</v>
      </c>
      <c r="T307" s="931" t="s">
        <v>1938</v>
      </c>
      <c r="U307" s="931" t="s">
        <v>2029</v>
      </c>
      <c r="V307" s="931" t="s">
        <v>2030</v>
      </c>
      <c r="W307" s="928"/>
    </row>
    <row r="308" spans="1:23" x14ac:dyDescent="0.2">
      <c r="A308" s="927" t="s">
        <v>4256</v>
      </c>
      <c r="B308" s="928">
        <v>12</v>
      </c>
      <c r="C308" s="928">
        <v>15</v>
      </c>
      <c r="D308" s="928">
        <v>45</v>
      </c>
      <c r="E308" s="928">
        <v>6</v>
      </c>
      <c r="F308" s="928">
        <v>12</v>
      </c>
      <c r="G308" s="928">
        <v>12</v>
      </c>
      <c r="H308" s="928">
        <v>2</v>
      </c>
      <c r="I308" s="929" t="s">
        <v>3441</v>
      </c>
      <c r="J308" s="929" t="s">
        <v>1537</v>
      </c>
      <c r="K308" s="928" t="s">
        <v>1703</v>
      </c>
      <c r="L308" s="930" t="s">
        <v>1685</v>
      </c>
      <c r="M308" s="927" t="s">
        <v>3484</v>
      </c>
      <c r="N308" s="930" t="s">
        <v>1813</v>
      </c>
      <c r="O308" s="927" t="s">
        <v>3485</v>
      </c>
      <c r="P308" s="930" t="s">
        <v>1690</v>
      </c>
      <c r="Q308" s="927" t="s">
        <v>3484</v>
      </c>
      <c r="R308" s="930" t="s">
        <v>1704</v>
      </c>
      <c r="S308" s="927" t="s">
        <v>3575</v>
      </c>
      <c r="T308" s="931" t="s">
        <v>1938</v>
      </c>
      <c r="U308" s="931" t="s">
        <v>2029</v>
      </c>
      <c r="V308" s="931" t="s">
        <v>2030</v>
      </c>
      <c r="W308" s="928"/>
    </row>
    <row r="309" spans="1:23" x14ac:dyDescent="0.2">
      <c r="A309" s="927" t="s">
        <v>4257</v>
      </c>
      <c r="B309" s="928">
        <v>16</v>
      </c>
      <c r="C309" s="928">
        <v>20</v>
      </c>
      <c r="D309" s="928">
        <v>65</v>
      </c>
      <c r="E309" s="928">
        <v>8</v>
      </c>
      <c r="F309" s="928">
        <v>16</v>
      </c>
      <c r="G309" s="928">
        <v>16</v>
      </c>
      <c r="H309" s="928">
        <v>3</v>
      </c>
      <c r="I309" s="929" t="s">
        <v>3441</v>
      </c>
      <c r="J309" s="929" t="s">
        <v>1537</v>
      </c>
      <c r="K309" s="928" t="s">
        <v>1703</v>
      </c>
      <c r="L309" s="930" t="s">
        <v>1685</v>
      </c>
      <c r="M309" s="927" t="s">
        <v>3484</v>
      </c>
      <c r="N309" s="930" t="s">
        <v>1813</v>
      </c>
      <c r="O309" s="927" t="s">
        <v>3485</v>
      </c>
      <c r="P309" s="930" t="s">
        <v>1690</v>
      </c>
      <c r="Q309" s="927" t="s">
        <v>3484</v>
      </c>
      <c r="R309" s="930" t="s">
        <v>1704</v>
      </c>
      <c r="S309" s="927" t="s">
        <v>3575</v>
      </c>
      <c r="T309" s="931" t="s">
        <v>1938</v>
      </c>
      <c r="U309" s="931" t="s">
        <v>2029</v>
      </c>
      <c r="V309" s="931" t="s">
        <v>2030</v>
      </c>
      <c r="W309" s="928"/>
    </row>
    <row r="310" spans="1:23" x14ac:dyDescent="0.2">
      <c r="A310" s="933" t="s">
        <v>4250</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4251</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3591</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4258</v>
      </c>
      <c r="B313" s="928">
        <v>1</v>
      </c>
      <c r="C313" s="928">
        <v>2</v>
      </c>
      <c r="D313" s="928">
        <v>5</v>
      </c>
      <c r="E313" s="928">
        <v>1</v>
      </c>
      <c r="F313" s="928">
        <v>2</v>
      </c>
      <c r="G313" s="928">
        <v>4</v>
      </c>
      <c r="H313" s="928">
        <v>1</v>
      </c>
      <c r="I313" s="929" t="s">
        <v>3436</v>
      </c>
      <c r="J313" s="929" t="s">
        <v>1890</v>
      </c>
      <c r="K313" s="928" t="s">
        <v>1703</v>
      </c>
      <c r="L313" s="930" t="s">
        <v>1813</v>
      </c>
      <c r="M313" s="927" t="s">
        <v>3484</v>
      </c>
      <c r="N313" s="930" t="s">
        <v>1690</v>
      </c>
      <c r="O313" s="927" t="s">
        <v>3484</v>
      </c>
      <c r="P313" s="930" t="s">
        <v>1695</v>
      </c>
      <c r="Q313" s="927" t="s">
        <v>3484</v>
      </c>
      <c r="R313" s="930" t="s">
        <v>1704</v>
      </c>
      <c r="S313" s="927" t="s">
        <v>3485</v>
      </c>
      <c r="T313" s="931" t="s">
        <v>2029</v>
      </c>
      <c r="U313" s="931" t="s">
        <v>2034</v>
      </c>
      <c r="V313" s="931" t="s">
        <v>1934</v>
      </c>
      <c r="W313" s="928"/>
    </row>
    <row r="314" spans="1:23" x14ac:dyDescent="0.2">
      <c r="A314" s="927" t="s">
        <v>4259</v>
      </c>
      <c r="B314" s="928">
        <v>2</v>
      </c>
      <c r="C314" s="928">
        <v>4</v>
      </c>
      <c r="D314" s="928">
        <v>5</v>
      </c>
      <c r="E314" s="928">
        <v>2</v>
      </c>
      <c r="F314" s="928">
        <v>4</v>
      </c>
      <c r="G314" s="928">
        <v>7</v>
      </c>
      <c r="H314" s="928">
        <v>1</v>
      </c>
      <c r="I314" s="929" t="s">
        <v>3436</v>
      </c>
      <c r="J314" s="929" t="s">
        <v>1890</v>
      </c>
      <c r="K314" s="928" t="s">
        <v>1703</v>
      </c>
      <c r="L314" s="930" t="s">
        <v>1813</v>
      </c>
      <c r="M314" s="927" t="s">
        <v>3484</v>
      </c>
      <c r="N314" s="930" t="s">
        <v>1690</v>
      </c>
      <c r="O314" s="927" t="s">
        <v>3484</v>
      </c>
      <c r="P314" s="930" t="s">
        <v>1695</v>
      </c>
      <c r="Q314" s="927" t="s">
        <v>3484</v>
      </c>
      <c r="R314" s="930" t="s">
        <v>1704</v>
      </c>
      <c r="S314" s="927" t="s">
        <v>3485</v>
      </c>
      <c r="T314" s="931" t="s">
        <v>2029</v>
      </c>
      <c r="U314" s="931" t="s">
        <v>2034</v>
      </c>
      <c r="V314" s="931" t="s">
        <v>1934</v>
      </c>
      <c r="W314" s="928"/>
    </row>
    <row r="315" spans="1:23" x14ac:dyDescent="0.2">
      <c r="A315" s="927" t="s">
        <v>4260</v>
      </c>
      <c r="B315" s="928">
        <v>3</v>
      </c>
      <c r="C315" s="928">
        <v>5</v>
      </c>
      <c r="D315" s="928">
        <v>10</v>
      </c>
      <c r="E315" s="928">
        <v>3</v>
      </c>
      <c r="F315" s="928">
        <v>6</v>
      </c>
      <c r="G315" s="928">
        <v>11</v>
      </c>
      <c r="H315" s="928">
        <v>1</v>
      </c>
      <c r="I315" s="929" t="s">
        <v>3436</v>
      </c>
      <c r="J315" s="929" t="s">
        <v>1890</v>
      </c>
      <c r="K315" s="928" t="s">
        <v>1703</v>
      </c>
      <c r="L315" s="930" t="s">
        <v>1813</v>
      </c>
      <c r="M315" s="927" t="s">
        <v>3484</v>
      </c>
      <c r="N315" s="930" t="s">
        <v>1690</v>
      </c>
      <c r="O315" s="927" t="s">
        <v>3484</v>
      </c>
      <c r="P315" s="930" t="s">
        <v>1695</v>
      </c>
      <c r="Q315" s="927" t="s">
        <v>3484</v>
      </c>
      <c r="R315" s="930" t="s">
        <v>1704</v>
      </c>
      <c r="S315" s="927" t="s">
        <v>3485</v>
      </c>
      <c r="T315" s="931" t="s">
        <v>2029</v>
      </c>
      <c r="U315" s="931" t="s">
        <v>2034</v>
      </c>
      <c r="V315" s="931" t="s">
        <v>1934</v>
      </c>
      <c r="W315" s="928"/>
    </row>
    <row r="316" spans="1:23" x14ac:dyDescent="0.2">
      <c r="A316" s="927" t="s">
        <v>4261</v>
      </c>
      <c r="B316" s="928">
        <v>4</v>
      </c>
      <c r="C316" s="928">
        <v>6</v>
      </c>
      <c r="D316" s="928">
        <v>15</v>
      </c>
      <c r="E316" s="928">
        <v>4</v>
      </c>
      <c r="F316" s="928">
        <v>8</v>
      </c>
      <c r="G316" s="928">
        <v>14</v>
      </c>
      <c r="H316" s="928">
        <v>1</v>
      </c>
      <c r="I316" s="929" t="s">
        <v>3436</v>
      </c>
      <c r="J316" s="929" t="s">
        <v>1890</v>
      </c>
      <c r="K316" s="928" t="s">
        <v>1703</v>
      </c>
      <c r="L316" s="930" t="s">
        <v>1813</v>
      </c>
      <c r="M316" s="927" t="s">
        <v>3484</v>
      </c>
      <c r="N316" s="930" t="s">
        <v>1690</v>
      </c>
      <c r="O316" s="927" t="s">
        <v>3484</v>
      </c>
      <c r="P316" s="930" t="s">
        <v>1695</v>
      </c>
      <c r="Q316" s="927" t="s">
        <v>3484</v>
      </c>
      <c r="R316" s="930" t="s">
        <v>1704</v>
      </c>
      <c r="S316" s="927" t="s">
        <v>3485</v>
      </c>
      <c r="T316" s="931" t="s">
        <v>2029</v>
      </c>
      <c r="U316" s="931" t="s">
        <v>2034</v>
      </c>
      <c r="V316" s="931" t="s">
        <v>1934</v>
      </c>
      <c r="W316" s="928"/>
    </row>
    <row r="317" spans="1:23" x14ac:dyDescent="0.2">
      <c r="A317" s="927" t="s">
        <v>4262</v>
      </c>
      <c r="B317" s="928">
        <v>5</v>
      </c>
      <c r="C317" s="928">
        <v>8</v>
      </c>
      <c r="D317" s="928">
        <v>20</v>
      </c>
      <c r="E317" s="928">
        <v>5</v>
      </c>
      <c r="F317" s="928">
        <v>10</v>
      </c>
      <c r="G317" s="928">
        <v>18</v>
      </c>
      <c r="H317" s="928">
        <v>2</v>
      </c>
      <c r="I317" s="929" t="s">
        <v>3436</v>
      </c>
      <c r="J317" s="929" t="s">
        <v>1890</v>
      </c>
      <c r="K317" s="928" t="s">
        <v>1703</v>
      </c>
      <c r="L317" s="930" t="s">
        <v>1813</v>
      </c>
      <c r="M317" s="927" t="s">
        <v>3484</v>
      </c>
      <c r="N317" s="930" t="s">
        <v>1690</v>
      </c>
      <c r="O317" s="927" t="s">
        <v>3484</v>
      </c>
      <c r="P317" s="930" t="s">
        <v>1695</v>
      </c>
      <c r="Q317" s="927" t="s">
        <v>3484</v>
      </c>
      <c r="R317" s="930" t="s">
        <v>1704</v>
      </c>
      <c r="S317" s="927" t="s">
        <v>3485</v>
      </c>
      <c r="T317" s="931" t="s">
        <v>2029</v>
      </c>
      <c r="U317" s="931" t="s">
        <v>2034</v>
      </c>
      <c r="V317" s="931" t="s">
        <v>1934</v>
      </c>
      <c r="W317" s="928"/>
    </row>
    <row r="318" spans="1:23" x14ac:dyDescent="0.2">
      <c r="A318" s="927" t="s">
        <v>4263</v>
      </c>
      <c r="B318" s="928">
        <v>6</v>
      </c>
      <c r="C318" s="928">
        <v>9</v>
      </c>
      <c r="D318" s="928">
        <v>25</v>
      </c>
      <c r="E318" s="928">
        <v>6</v>
      </c>
      <c r="F318" s="928">
        <v>12</v>
      </c>
      <c r="G318" s="928">
        <v>21</v>
      </c>
      <c r="H318" s="928">
        <v>2</v>
      </c>
      <c r="I318" s="929" t="s">
        <v>3436</v>
      </c>
      <c r="J318" s="929" t="s">
        <v>1890</v>
      </c>
      <c r="K318" s="928" t="s">
        <v>1703</v>
      </c>
      <c r="L318" s="930" t="s">
        <v>1813</v>
      </c>
      <c r="M318" s="927" t="s">
        <v>3484</v>
      </c>
      <c r="N318" s="930" t="s">
        <v>1690</v>
      </c>
      <c r="O318" s="927" t="s">
        <v>3484</v>
      </c>
      <c r="P318" s="930" t="s">
        <v>1695</v>
      </c>
      <c r="Q318" s="927" t="s">
        <v>3484</v>
      </c>
      <c r="R318" s="930" t="s">
        <v>1704</v>
      </c>
      <c r="S318" s="927" t="s">
        <v>3485</v>
      </c>
      <c r="T318" s="931" t="s">
        <v>2029</v>
      </c>
      <c r="U318" s="931" t="s">
        <v>2034</v>
      </c>
      <c r="V318" s="931" t="s">
        <v>1934</v>
      </c>
      <c r="W318" s="928"/>
    </row>
    <row r="319" spans="1:23" x14ac:dyDescent="0.2">
      <c r="A319" s="927" t="s">
        <v>4264</v>
      </c>
      <c r="B319" s="928">
        <v>8</v>
      </c>
      <c r="C319" s="928">
        <v>11</v>
      </c>
      <c r="D319" s="928">
        <v>30</v>
      </c>
      <c r="E319" s="928">
        <v>7</v>
      </c>
      <c r="F319" s="928">
        <v>14</v>
      </c>
      <c r="G319" s="928">
        <v>25</v>
      </c>
      <c r="H319" s="928">
        <v>3</v>
      </c>
      <c r="I319" s="929" t="s">
        <v>3436</v>
      </c>
      <c r="J319" s="929" t="s">
        <v>1890</v>
      </c>
      <c r="K319" s="928" t="s">
        <v>1703</v>
      </c>
      <c r="L319" s="930" t="s">
        <v>1813</v>
      </c>
      <c r="M319" s="927" t="s">
        <v>3484</v>
      </c>
      <c r="N319" s="930" t="s">
        <v>1690</v>
      </c>
      <c r="O319" s="927" t="s">
        <v>3484</v>
      </c>
      <c r="P319" s="930" t="s">
        <v>1695</v>
      </c>
      <c r="Q319" s="927" t="s">
        <v>3484</v>
      </c>
      <c r="R319" s="930" t="s">
        <v>1704</v>
      </c>
      <c r="S319" s="927" t="s">
        <v>3485</v>
      </c>
      <c r="T319" s="931" t="s">
        <v>2029</v>
      </c>
      <c r="U319" s="931" t="s">
        <v>2034</v>
      </c>
      <c r="V319" s="931" t="s">
        <v>1934</v>
      </c>
      <c r="W319" s="928"/>
    </row>
    <row r="320" spans="1:23" x14ac:dyDescent="0.2">
      <c r="A320" s="927" t="s">
        <v>4265</v>
      </c>
      <c r="B320" s="928">
        <v>10</v>
      </c>
      <c r="C320" s="928">
        <v>13</v>
      </c>
      <c r="D320" s="928">
        <v>35</v>
      </c>
      <c r="E320" s="928">
        <v>8</v>
      </c>
      <c r="F320" s="928">
        <v>16</v>
      </c>
      <c r="G320" s="928">
        <v>28</v>
      </c>
      <c r="H320" s="928">
        <v>3</v>
      </c>
      <c r="I320" s="929" t="s">
        <v>3436</v>
      </c>
      <c r="J320" s="929" t="s">
        <v>1890</v>
      </c>
      <c r="K320" s="928" t="s">
        <v>1703</v>
      </c>
      <c r="L320" s="930" t="s">
        <v>1813</v>
      </c>
      <c r="M320" s="927" t="s">
        <v>3484</v>
      </c>
      <c r="N320" s="930" t="s">
        <v>1690</v>
      </c>
      <c r="O320" s="927" t="s">
        <v>3484</v>
      </c>
      <c r="P320" s="930" t="s">
        <v>1695</v>
      </c>
      <c r="Q320" s="927" t="s">
        <v>3484</v>
      </c>
      <c r="R320" s="930" t="s">
        <v>1704</v>
      </c>
      <c r="S320" s="927" t="s">
        <v>3485</v>
      </c>
      <c r="T320" s="931" t="s">
        <v>2029</v>
      </c>
      <c r="U320" s="931" t="s">
        <v>2034</v>
      </c>
      <c r="V320" s="931" t="s">
        <v>1934</v>
      </c>
      <c r="W320" s="928"/>
    </row>
    <row r="321" spans="1:23" x14ac:dyDescent="0.2">
      <c r="A321" s="769" t="s">
        <v>3596</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4266</v>
      </c>
      <c r="B322" s="928">
        <v>2</v>
      </c>
      <c r="C322" s="928">
        <v>4</v>
      </c>
      <c r="D322" s="928">
        <v>5</v>
      </c>
      <c r="E322" s="928">
        <v>1</v>
      </c>
      <c r="F322" s="928">
        <v>2</v>
      </c>
      <c r="G322" s="928">
        <v>4</v>
      </c>
      <c r="H322" s="928">
        <v>1</v>
      </c>
      <c r="I322" s="929" t="s">
        <v>3436</v>
      </c>
      <c r="J322" s="929" t="s">
        <v>4199</v>
      </c>
      <c r="K322" s="928" t="s">
        <v>1685</v>
      </c>
      <c r="L322" s="930" t="s">
        <v>1813</v>
      </c>
      <c r="M322" s="927" t="s">
        <v>3484</v>
      </c>
      <c r="N322" s="930" t="s">
        <v>1690</v>
      </c>
      <c r="O322" s="927" t="s">
        <v>3484</v>
      </c>
      <c r="P322" s="930" t="s">
        <v>1695</v>
      </c>
      <c r="Q322" s="927" t="s">
        <v>3484</v>
      </c>
      <c r="R322" s="930" t="s">
        <v>1703</v>
      </c>
      <c r="S322" s="927" t="s">
        <v>3485</v>
      </c>
      <c r="T322" s="931" t="s">
        <v>1931</v>
      </c>
      <c r="U322" s="931" t="s">
        <v>2029</v>
      </c>
      <c r="V322" s="931" t="s">
        <v>2030</v>
      </c>
      <c r="W322" s="928"/>
    </row>
    <row r="323" spans="1:23" x14ac:dyDescent="0.2">
      <c r="A323" s="927" t="s">
        <v>4267</v>
      </c>
      <c r="B323" s="928">
        <v>3</v>
      </c>
      <c r="C323" s="928">
        <v>5</v>
      </c>
      <c r="D323" s="928">
        <v>10</v>
      </c>
      <c r="E323" s="928">
        <v>2</v>
      </c>
      <c r="F323" s="928">
        <v>4</v>
      </c>
      <c r="G323" s="928">
        <v>7</v>
      </c>
      <c r="H323" s="928">
        <v>1</v>
      </c>
      <c r="I323" s="929" t="s">
        <v>3436</v>
      </c>
      <c r="J323" s="929" t="s">
        <v>4199</v>
      </c>
      <c r="K323" s="928" t="s">
        <v>1685</v>
      </c>
      <c r="L323" s="930" t="s">
        <v>1813</v>
      </c>
      <c r="M323" s="927" t="s">
        <v>3484</v>
      </c>
      <c r="N323" s="930" t="s">
        <v>1690</v>
      </c>
      <c r="O323" s="927" t="s">
        <v>3484</v>
      </c>
      <c r="P323" s="930" t="s">
        <v>1695</v>
      </c>
      <c r="Q323" s="927" t="s">
        <v>3484</v>
      </c>
      <c r="R323" s="930" t="s">
        <v>1703</v>
      </c>
      <c r="S323" s="927" t="s">
        <v>3485</v>
      </c>
      <c r="T323" s="931" t="s">
        <v>1931</v>
      </c>
      <c r="U323" s="931" t="s">
        <v>2029</v>
      </c>
      <c r="V323" s="931" t="s">
        <v>2030</v>
      </c>
      <c r="W323" s="928"/>
    </row>
    <row r="324" spans="1:23" x14ac:dyDescent="0.2">
      <c r="A324" s="927" t="s">
        <v>4268</v>
      </c>
      <c r="B324" s="928">
        <v>4</v>
      </c>
      <c r="C324" s="928">
        <v>6</v>
      </c>
      <c r="D324" s="928">
        <v>10</v>
      </c>
      <c r="E324" s="928">
        <v>3</v>
      </c>
      <c r="F324" s="928">
        <v>6</v>
      </c>
      <c r="G324" s="928">
        <v>11</v>
      </c>
      <c r="H324" s="928">
        <v>1</v>
      </c>
      <c r="I324" s="929" t="s">
        <v>3436</v>
      </c>
      <c r="J324" s="929" t="s">
        <v>4199</v>
      </c>
      <c r="K324" s="928" t="s">
        <v>1685</v>
      </c>
      <c r="L324" s="930" t="s">
        <v>1813</v>
      </c>
      <c r="M324" s="927" t="s">
        <v>3484</v>
      </c>
      <c r="N324" s="930" t="s">
        <v>1690</v>
      </c>
      <c r="O324" s="927" t="s">
        <v>3484</v>
      </c>
      <c r="P324" s="930" t="s">
        <v>1695</v>
      </c>
      <c r="Q324" s="927" t="s">
        <v>3484</v>
      </c>
      <c r="R324" s="930" t="s">
        <v>1703</v>
      </c>
      <c r="S324" s="927" t="s">
        <v>3485</v>
      </c>
      <c r="T324" s="931" t="s">
        <v>1931</v>
      </c>
      <c r="U324" s="931" t="s">
        <v>2029</v>
      </c>
      <c r="V324" s="931" t="s">
        <v>2030</v>
      </c>
      <c r="W324" s="928"/>
    </row>
    <row r="325" spans="1:23" x14ac:dyDescent="0.2">
      <c r="A325" s="927" t="s">
        <v>4269</v>
      </c>
      <c r="B325" s="928">
        <v>5</v>
      </c>
      <c r="C325" s="928">
        <v>8</v>
      </c>
      <c r="D325" s="928">
        <v>15</v>
      </c>
      <c r="E325" s="928">
        <v>4</v>
      </c>
      <c r="F325" s="928">
        <v>8</v>
      </c>
      <c r="G325" s="928">
        <v>14</v>
      </c>
      <c r="H325" s="928">
        <v>1</v>
      </c>
      <c r="I325" s="929" t="s">
        <v>3436</v>
      </c>
      <c r="J325" s="929" t="s">
        <v>4199</v>
      </c>
      <c r="K325" s="928" t="s">
        <v>1685</v>
      </c>
      <c r="L325" s="930" t="s">
        <v>1813</v>
      </c>
      <c r="M325" s="927" t="s">
        <v>3484</v>
      </c>
      <c r="N325" s="930" t="s">
        <v>1690</v>
      </c>
      <c r="O325" s="927" t="s">
        <v>3484</v>
      </c>
      <c r="P325" s="930" t="s">
        <v>1695</v>
      </c>
      <c r="Q325" s="927" t="s">
        <v>3484</v>
      </c>
      <c r="R325" s="930" t="s">
        <v>1703</v>
      </c>
      <c r="S325" s="927" t="s">
        <v>3485</v>
      </c>
      <c r="T325" s="931" t="s">
        <v>1931</v>
      </c>
      <c r="U325" s="931" t="s">
        <v>2029</v>
      </c>
      <c r="V325" s="931" t="s">
        <v>2030</v>
      </c>
      <c r="W325" s="928"/>
    </row>
    <row r="326" spans="1:23" x14ac:dyDescent="0.2">
      <c r="A326" s="927" t="s">
        <v>4270</v>
      </c>
      <c r="B326" s="928">
        <v>6</v>
      </c>
      <c r="C326" s="928">
        <v>9</v>
      </c>
      <c r="D326" s="928">
        <v>20</v>
      </c>
      <c r="E326" s="928">
        <v>5</v>
      </c>
      <c r="F326" s="928">
        <v>10</v>
      </c>
      <c r="G326" s="928">
        <v>18</v>
      </c>
      <c r="H326" s="928">
        <v>1</v>
      </c>
      <c r="I326" s="929" t="s">
        <v>3436</v>
      </c>
      <c r="J326" s="929" t="s">
        <v>4199</v>
      </c>
      <c r="K326" s="928" t="s">
        <v>1685</v>
      </c>
      <c r="L326" s="930" t="s">
        <v>1813</v>
      </c>
      <c r="M326" s="927" t="s">
        <v>3484</v>
      </c>
      <c r="N326" s="930" t="s">
        <v>1690</v>
      </c>
      <c r="O326" s="927" t="s">
        <v>3484</v>
      </c>
      <c r="P326" s="930" t="s">
        <v>1695</v>
      </c>
      <c r="Q326" s="927" t="s">
        <v>3484</v>
      </c>
      <c r="R326" s="930" t="s">
        <v>1703</v>
      </c>
      <c r="S326" s="927" t="s">
        <v>3485</v>
      </c>
      <c r="T326" s="931" t="s">
        <v>1931</v>
      </c>
      <c r="U326" s="931" t="s">
        <v>2029</v>
      </c>
      <c r="V326" s="931" t="s">
        <v>2030</v>
      </c>
      <c r="W326" s="928"/>
    </row>
    <row r="327" spans="1:23" x14ac:dyDescent="0.2">
      <c r="A327" s="927" t="s">
        <v>4271</v>
      </c>
      <c r="B327" s="928">
        <v>8</v>
      </c>
      <c r="C327" s="928">
        <v>11</v>
      </c>
      <c r="D327" s="928">
        <v>25</v>
      </c>
      <c r="E327" s="928">
        <v>6</v>
      </c>
      <c r="F327" s="928">
        <v>12</v>
      </c>
      <c r="G327" s="928">
        <v>21</v>
      </c>
      <c r="H327" s="928">
        <v>2</v>
      </c>
      <c r="I327" s="929" t="s">
        <v>3436</v>
      </c>
      <c r="J327" s="929" t="s">
        <v>4199</v>
      </c>
      <c r="K327" s="928" t="s">
        <v>1685</v>
      </c>
      <c r="L327" s="930" t="s">
        <v>1813</v>
      </c>
      <c r="M327" s="927" t="s">
        <v>3484</v>
      </c>
      <c r="N327" s="930" t="s">
        <v>1690</v>
      </c>
      <c r="O327" s="927" t="s">
        <v>3484</v>
      </c>
      <c r="P327" s="930" t="s">
        <v>1695</v>
      </c>
      <c r="Q327" s="927" t="s">
        <v>3484</v>
      </c>
      <c r="R327" s="930" t="s">
        <v>1703</v>
      </c>
      <c r="S327" s="927" t="s">
        <v>3485</v>
      </c>
      <c r="T327" s="931" t="s">
        <v>1931</v>
      </c>
      <c r="U327" s="931" t="s">
        <v>2029</v>
      </c>
      <c r="V327" s="931" t="s">
        <v>2030</v>
      </c>
      <c r="W327" s="928"/>
    </row>
    <row r="328" spans="1:23" x14ac:dyDescent="0.2">
      <c r="A328" s="927" t="s">
        <v>4272</v>
      </c>
      <c r="B328" s="928">
        <v>10</v>
      </c>
      <c r="C328" s="928">
        <v>13</v>
      </c>
      <c r="D328" s="928">
        <v>30</v>
      </c>
      <c r="E328" s="928">
        <v>7</v>
      </c>
      <c r="F328" s="928">
        <v>14</v>
      </c>
      <c r="G328" s="928">
        <v>25</v>
      </c>
      <c r="H328" s="928">
        <v>2</v>
      </c>
      <c r="I328" s="929" t="s">
        <v>3436</v>
      </c>
      <c r="J328" s="929" t="s">
        <v>4199</v>
      </c>
      <c r="K328" s="928" t="s">
        <v>1685</v>
      </c>
      <c r="L328" s="930" t="s">
        <v>1813</v>
      </c>
      <c r="M328" s="927" t="s">
        <v>3484</v>
      </c>
      <c r="N328" s="930" t="s">
        <v>1690</v>
      </c>
      <c r="O328" s="927" t="s">
        <v>3484</v>
      </c>
      <c r="P328" s="930" t="s">
        <v>1695</v>
      </c>
      <c r="Q328" s="927" t="s">
        <v>3484</v>
      </c>
      <c r="R328" s="930" t="s">
        <v>1703</v>
      </c>
      <c r="S328" s="927" t="s">
        <v>3485</v>
      </c>
      <c r="T328" s="931" t="s">
        <v>1931</v>
      </c>
      <c r="U328" s="931" t="s">
        <v>2029</v>
      </c>
      <c r="V328" s="931" t="s">
        <v>2030</v>
      </c>
      <c r="W328" s="928"/>
    </row>
    <row r="329" spans="1:23" x14ac:dyDescent="0.2">
      <c r="A329" s="927" t="s">
        <v>4273</v>
      </c>
      <c r="B329" s="928">
        <v>14</v>
      </c>
      <c r="C329" s="928">
        <v>18</v>
      </c>
      <c r="D329" s="928">
        <v>35</v>
      </c>
      <c r="E329" s="928">
        <v>8</v>
      </c>
      <c r="F329" s="928">
        <v>16</v>
      </c>
      <c r="G329" s="928">
        <v>28</v>
      </c>
      <c r="H329" s="928">
        <v>2</v>
      </c>
      <c r="I329" s="929" t="s">
        <v>3436</v>
      </c>
      <c r="J329" s="929" t="s">
        <v>4199</v>
      </c>
      <c r="K329" s="928" t="s">
        <v>1685</v>
      </c>
      <c r="L329" s="930" t="s">
        <v>1813</v>
      </c>
      <c r="M329" s="927" t="s">
        <v>3484</v>
      </c>
      <c r="N329" s="930" t="s">
        <v>1690</v>
      </c>
      <c r="O329" s="927" t="s">
        <v>3484</v>
      </c>
      <c r="P329" s="930" t="s">
        <v>1695</v>
      </c>
      <c r="Q329" s="927" t="s">
        <v>3484</v>
      </c>
      <c r="R329" s="930" t="s">
        <v>1703</v>
      </c>
      <c r="S329" s="927" t="s">
        <v>3485</v>
      </c>
      <c r="T329" s="931" t="s">
        <v>1931</v>
      </c>
      <c r="U329" s="931" t="s">
        <v>2029</v>
      </c>
      <c r="V329" s="931" t="s">
        <v>2030</v>
      </c>
      <c r="W329" s="928"/>
    </row>
    <row r="330" spans="1:23" x14ac:dyDescent="0.2">
      <c r="A330" s="927" t="s">
        <v>4274</v>
      </c>
      <c r="B330" s="928">
        <v>18</v>
      </c>
      <c r="C330" s="928">
        <v>22</v>
      </c>
      <c r="D330" s="928">
        <v>40</v>
      </c>
      <c r="E330" s="928">
        <v>10</v>
      </c>
      <c r="F330" s="928">
        <v>20</v>
      </c>
      <c r="G330" s="928">
        <v>35</v>
      </c>
      <c r="H330" s="928">
        <v>3</v>
      </c>
      <c r="I330" s="929" t="s">
        <v>3436</v>
      </c>
      <c r="J330" s="929" t="s">
        <v>4199</v>
      </c>
      <c r="K330" s="928" t="s">
        <v>1685</v>
      </c>
      <c r="L330" s="930" t="s">
        <v>1813</v>
      </c>
      <c r="M330" s="927" t="s">
        <v>3484</v>
      </c>
      <c r="N330" s="930" t="s">
        <v>1690</v>
      </c>
      <c r="O330" s="927" t="s">
        <v>3484</v>
      </c>
      <c r="P330" s="930" t="s">
        <v>1695</v>
      </c>
      <c r="Q330" s="927" t="s">
        <v>3484</v>
      </c>
      <c r="R330" s="930" t="s">
        <v>1703</v>
      </c>
      <c r="S330" s="927" t="s">
        <v>3485</v>
      </c>
      <c r="T330" s="931" t="s">
        <v>1931</v>
      </c>
      <c r="U330" s="931" t="s">
        <v>2029</v>
      </c>
      <c r="V330" s="931" t="s">
        <v>2030</v>
      </c>
      <c r="W330" s="928"/>
    </row>
    <row r="331" spans="1:23" x14ac:dyDescent="0.2">
      <c r="A331" s="927" t="s">
        <v>4275</v>
      </c>
      <c r="B331" s="928">
        <v>22</v>
      </c>
      <c r="C331" s="928">
        <v>26</v>
      </c>
      <c r="D331" s="928">
        <v>50</v>
      </c>
      <c r="E331" s="928">
        <v>12</v>
      </c>
      <c r="F331" s="928">
        <v>24</v>
      </c>
      <c r="G331" s="928">
        <v>42</v>
      </c>
      <c r="H331" s="928">
        <v>3</v>
      </c>
      <c r="I331" s="929" t="s">
        <v>3436</v>
      </c>
      <c r="J331" s="929" t="s">
        <v>4199</v>
      </c>
      <c r="K331" s="928" t="s">
        <v>1685</v>
      </c>
      <c r="L331" s="930" t="s">
        <v>1813</v>
      </c>
      <c r="M331" s="927" t="s">
        <v>3484</v>
      </c>
      <c r="N331" s="930" t="s">
        <v>1690</v>
      </c>
      <c r="O331" s="927" t="s">
        <v>3484</v>
      </c>
      <c r="P331" s="930" t="s">
        <v>1695</v>
      </c>
      <c r="Q331" s="927" t="s">
        <v>3484</v>
      </c>
      <c r="R331" s="930" t="s">
        <v>1703</v>
      </c>
      <c r="S331" s="927" t="s">
        <v>3485</v>
      </c>
      <c r="T331" s="931" t="s">
        <v>1931</v>
      </c>
      <c r="U331" s="931" t="s">
        <v>2029</v>
      </c>
      <c r="V331" s="931" t="s">
        <v>2030</v>
      </c>
      <c r="W331" s="928"/>
    </row>
    <row r="332" spans="1:23" x14ac:dyDescent="0.2">
      <c r="A332" s="762" t="s">
        <v>3601</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3604</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4276</v>
      </c>
      <c r="B334" s="928">
        <v>1</v>
      </c>
      <c r="C334" s="928">
        <v>2</v>
      </c>
      <c r="D334" s="928">
        <v>5</v>
      </c>
      <c r="E334" s="928">
        <v>1</v>
      </c>
      <c r="F334" s="928">
        <v>2</v>
      </c>
      <c r="G334" s="928">
        <v>4</v>
      </c>
      <c r="H334" s="928">
        <v>1</v>
      </c>
      <c r="I334" s="929" t="s">
        <v>3441</v>
      </c>
      <c r="J334" s="929" t="s">
        <v>1537</v>
      </c>
      <c r="K334" s="928" t="s">
        <v>1695</v>
      </c>
      <c r="L334" s="930" t="s">
        <v>1813</v>
      </c>
      <c r="M334" s="927" t="s">
        <v>3484</v>
      </c>
      <c r="N334" s="930" t="s">
        <v>1690</v>
      </c>
      <c r="O334" s="927" t="s">
        <v>4219</v>
      </c>
      <c r="P334" s="930" t="s">
        <v>1703</v>
      </c>
      <c r="Q334" s="927" t="s">
        <v>3484</v>
      </c>
      <c r="R334" s="930" t="s">
        <v>1704</v>
      </c>
      <c r="S334" s="927" t="s">
        <v>3575</v>
      </c>
      <c r="T334" s="931" t="s">
        <v>1938</v>
      </c>
      <c r="U334" s="931" t="s">
        <v>2034</v>
      </c>
      <c r="V334" s="873" t="s">
        <v>3361</v>
      </c>
      <c r="W334" s="873" t="s">
        <v>3361</v>
      </c>
    </row>
    <row r="335" spans="1:23" x14ac:dyDescent="0.2">
      <c r="A335" s="927" t="s">
        <v>4277</v>
      </c>
      <c r="B335" s="928">
        <v>2</v>
      </c>
      <c r="C335" s="928">
        <v>4</v>
      </c>
      <c r="D335" s="928">
        <v>10</v>
      </c>
      <c r="E335" s="928">
        <v>1</v>
      </c>
      <c r="F335" s="928">
        <v>2</v>
      </c>
      <c r="G335" s="928">
        <v>4</v>
      </c>
      <c r="H335" s="928">
        <v>1</v>
      </c>
      <c r="I335" s="929" t="s">
        <v>3441</v>
      </c>
      <c r="J335" s="929" t="s">
        <v>1537</v>
      </c>
      <c r="K335" s="928" t="s">
        <v>1695</v>
      </c>
      <c r="L335" s="930" t="s">
        <v>1813</v>
      </c>
      <c r="M335" s="927" t="s">
        <v>3484</v>
      </c>
      <c r="N335" s="930" t="s">
        <v>1690</v>
      </c>
      <c r="O335" s="927" t="s">
        <v>4219</v>
      </c>
      <c r="P335" s="930" t="s">
        <v>1703</v>
      </c>
      <c r="Q335" s="927" t="s">
        <v>3484</v>
      </c>
      <c r="R335" s="930" t="s">
        <v>1704</v>
      </c>
      <c r="S335" s="927" t="s">
        <v>3575</v>
      </c>
      <c r="T335" s="931" t="s">
        <v>1938</v>
      </c>
      <c r="U335" s="931" t="s">
        <v>2034</v>
      </c>
      <c r="V335" s="873" t="s">
        <v>3361</v>
      </c>
      <c r="W335" s="873" t="s">
        <v>3361</v>
      </c>
    </row>
    <row r="336" spans="1:23" x14ac:dyDescent="0.2">
      <c r="A336" s="927" t="s">
        <v>4278</v>
      </c>
      <c r="B336" s="928">
        <v>4</v>
      </c>
      <c r="C336" s="928">
        <v>6</v>
      </c>
      <c r="D336" s="928">
        <v>15</v>
      </c>
      <c r="E336" s="928">
        <v>2</v>
      </c>
      <c r="F336" s="928">
        <v>4</v>
      </c>
      <c r="G336" s="928">
        <v>7</v>
      </c>
      <c r="H336" s="928">
        <v>1</v>
      </c>
      <c r="I336" s="929" t="s">
        <v>3441</v>
      </c>
      <c r="J336" s="929" t="s">
        <v>1537</v>
      </c>
      <c r="K336" s="928" t="s">
        <v>1695</v>
      </c>
      <c r="L336" s="930" t="s">
        <v>1813</v>
      </c>
      <c r="M336" s="927" t="s">
        <v>3484</v>
      </c>
      <c r="N336" s="930" t="s">
        <v>1690</v>
      </c>
      <c r="O336" s="927" t="s">
        <v>4219</v>
      </c>
      <c r="P336" s="930" t="s">
        <v>1703</v>
      </c>
      <c r="Q336" s="927" t="s">
        <v>3484</v>
      </c>
      <c r="R336" s="930" t="s">
        <v>1704</v>
      </c>
      <c r="S336" s="927" t="s">
        <v>3575</v>
      </c>
      <c r="T336" s="931" t="s">
        <v>1938</v>
      </c>
      <c r="U336" s="931" t="s">
        <v>2034</v>
      </c>
      <c r="V336" s="873" t="s">
        <v>3361</v>
      </c>
      <c r="W336" s="873" t="s">
        <v>3361</v>
      </c>
    </row>
    <row r="337" spans="1:23" x14ac:dyDescent="0.2">
      <c r="A337" s="927" t="s">
        <v>4279</v>
      </c>
      <c r="B337" s="928">
        <v>6</v>
      </c>
      <c r="C337" s="928">
        <v>9</v>
      </c>
      <c r="D337" s="928">
        <v>20</v>
      </c>
      <c r="E337" s="928">
        <v>3</v>
      </c>
      <c r="F337" s="928">
        <v>6</v>
      </c>
      <c r="G337" s="928">
        <v>11</v>
      </c>
      <c r="H337" s="928">
        <v>1</v>
      </c>
      <c r="I337" s="929" t="s">
        <v>3441</v>
      </c>
      <c r="J337" s="929" t="s">
        <v>1537</v>
      </c>
      <c r="K337" s="928" t="s">
        <v>1695</v>
      </c>
      <c r="L337" s="930" t="s">
        <v>1813</v>
      </c>
      <c r="M337" s="927" t="s">
        <v>3484</v>
      </c>
      <c r="N337" s="930" t="s">
        <v>1690</v>
      </c>
      <c r="O337" s="927" t="s">
        <v>4219</v>
      </c>
      <c r="P337" s="930" t="s">
        <v>1703</v>
      </c>
      <c r="Q337" s="927" t="s">
        <v>3484</v>
      </c>
      <c r="R337" s="930" t="s">
        <v>1704</v>
      </c>
      <c r="S337" s="927" t="s">
        <v>3575</v>
      </c>
      <c r="T337" s="931" t="s">
        <v>1938</v>
      </c>
      <c r="U337" s="931" t="s">
        <v>2034</v>
      </c>
      <c r="V337" s="873" t="s">
        <v>3361</v>
      </c>
      <c r="W337" s="873" t="s">
        <v>3361</v>
      </c>
    </row>
    <row r="338" spans="1:23" x14ac:dyDescent="0.2">
      <c r="A338" s="927" t="s">
        <v>4280</v>
      </c>
      <c r="B338" s="928">
        <v>8</v>
      </c>
      <c r="C338" s="928">
        <v>11</v>
      </c>
      <c r="D338" s="928">
        <v>25</v>
      </c>
      <c r="E338" s="928">
        <v>4</v>
      </c>
      <c r="F338" s="928">
        <v>8</v>
      </c>
      <c r="G338" s="928">
        <v>14</v>
      </c>
      <c r="H338" s="928">
        <v>2</v>
      </c>
      <c r="I338" s="929" t="s">
        <v>3441</v>
      </c>
      <c r="J338" s="929" t="s">
        <v>1537</v>
      </c>
      <c r="K338" s="928" t="s">
        <v>1695</v>
      </c>
      <c r="L338" s="930" t="s">
        <v>1813</v>
      </c>
      <c r="M338" s="927" t="s">
        <v>3484</v>
      </c>
      <c r="N338" s="930" t="s">
        <v>1690</v>
      </c>
      <c r="O338" s="927" t="s">
        <v>4219</v>
      </c>
      <c r="P338" s="930" t="s">
        <v>1703</v>
      </c>
      <c r="Q338" s="927" t="s">
        <v>3484</v>
      </c>
      <c r="R338" s="930" t="s">
        <v>1704</v>
      </c>
      <c r="S338" s="927" t="s">
        <v>3575</v>
      </c>
      <c r="T338" s="931" t="s">
        <v>1938</v>
      </c>
      <c r="U338" s="931" t="s">
        <v>2034</v>
      </c>
      <c r="V338" s="873" t="s">
        <v>3361</v>
      </c>
      <c r="W338" s="873" t="s">
        <v>3361</v>
      </c>
    </row>
    <row r="339" spans="1:23" x14ac:dyDescent="0.2">
      <c r="A339" s="927" t="s">
        <v>4281</v>
      </c>
      <c r="B339" s="928">
        <v>12</v>
      </c>
      <c r="C339" s="928">
        <v>15</v>
      </c>
      <c r="D339" s="928">
        <v>30</v>
      </c>
      <c r="E339" s="928">
        <v>5</v>
      </c>
      <c r="F339" s="928">
        <v>10</v>
      </c>
      <c r="G339" s="928">
        <v>18</v>
      </c>
      <c r="H339" s="928">
        <v>2</v>
      </c>
      <c r="I339" s="929" t="s">
        <v>3441</v>
      </c>
      <c r="J339" s="929" t="s">
        <v>1537</v>
      </c>
      <c r="K339" s="928" t="s">
        <v>1695</v>
      </c>
      <c r="L339" s="930" t="s">
        <v>1813</v>
      </c>
      <c r="M339" s="927" t="s">
        <v>3484</v>
      </c>
      <c r="N339" s="930" t="s">
        <v>1690</v>
      </c>
      <c r="O339" s="927" t="s">
        <v>4219</v>
      </c>
      <c r="P339" s="930" t="s">
        <v>1703</v>
      </c>
      <c r="Q339" s="927" t="s">
        <v>3484</v>
      </c>
      <c r="R339" s="930" t="s">
        <v>1704</v>
      </c>
      <c r="S339" s="927" t="s">
        <v>3575</v>
      </c>
      <c r="T339" s="931" t="s">
        <v>1938</v>
      </c>
      <c r="U339" s="931" t="s">
        <v>2034</v>
      </c>
      <c r="V339" s="873" t="s">
        <v>3361</v>
      </c>
      <c r="W339" s="873" t="s">
        <v>3361</v>
      </c>
    </row>
    <row r="340" spans="1:23" x14ac:dyDescent="0.2">
      <c r="A340" s="927" t="s">
        <v>4282</v>
      </c>
      <c r="B340" s="928">
        <v>14</v>
      </c>
      <c r="C340" s="928">
        <v>18</v>
      </c>
      <c r="D340" s="928">
        <v>35</v>
      </c>
      <c r="E340" s="928">
        <v>6</v>
      </c>
      <c r="F340" s="928">
        <v>12</v>
      </c>
      <c r="G340" s="928">
        <v>21</v>
      </c>
      <c r="H340" s="928">
        <v>2</v>
      </c>
      <c r="I340" s="929" t="s">
        <v>3441</v>
      </c>
      <c r="J340" s="929" t="s">
        <v>1537</v>
      </c>
      <c r="K340" s="928" t="s">
        <v>1695</v>
      </c>
      <c r="L340" s="930" t="s">
        <v>1813</v>
      </c>
      <c r="M340" s="927" t="s">
        <v>3484</v>
      </c>
      <c r="N340" s="930" t="s">
        <v>1690</v>
      </c>
      <c r="O340" s="927" t="s">
        <v>4219</v>
      </c>
      <c r="P340" s="930" t="s">
        <v>1703</v>
      </c>
      <c r="Q340" s="927" t="s">
        <v>3484</v>
      </c>
      <c r="R340" s="930" t="s">
        <v>1704</v>
      </c>
      <c r="S340" s="927" t="s">
        <v>3575</v>
      </c>
      <c r="T340" s="931" t="s">
        <v>1938</v>
      </c>
      <c r="U340" s="931" t="s">
        <v>2034</v>
      </c>
      <c r="V340" s="873" t="s">
        <v>3361</v>
      </c>
      <c r="W340" s="873" t="s">
        <v>3361</v>
      </c>
    </row>
    <row r="341" spans="1:23" x14ac:dyDescent="0.2">
      <c r="A341" s="927" t="s">
        <v>4283</v>
      </c>
      <c r="B341" s="928">
        <v>18</v>
      </c>
      <c r="C341" s="928">
        <v>22</v>
      </c>
      <c r="D341" s="928">
        <v>40</v>
      </c>
      <c r="E341" s="928">
        <v>8</v>
      </c>
      <c r="F341" s="928">
        <v>16</v>
      </c>
      <c r="G341" s="928">
        <v>28</v>
      </c>
      <c r="H341" s="928">
        <v>3</v>
      </c>
      <c r="I341" s="929" t="s">
        <v>3441</v>
      </c>
      <c r="J341" s="929" t="s">
        <v>1537</v>
      </c>
      <c r="K341" s="928" t="s">
        <v>1695</v>
      </c>
      <c r="L341" s="930" t="s">
        <v>1813</v>
      </c>
      <c r="M341" s="927" t="s">
        <v>3484</v>
      </c>
      <c r="N341" s="930" t="s">
        <v>1690</v>
      </c>
      <c r="O341" s="927" t="s">
        <v>4219</v>
      </c>
      <c r="P341" s="930" t="s">
        <v>1703</v>
      </c>
      <c r="Q341" s="927" t="s">
        <v>3484</v>
      </c>
      <c r="R341" s="930" t="s">
        <v>1704</v>
      </c>
      <c r="S341" s="927" t="s">
        <v>3575</v>
      </c>
      <c r="T341" s="931" t="s">
        <v>1938</v>
      </c>
      <c r="U341" s="931" t="s">
        <v>2034</v>
      </c>
      <c r="V341" s="873" t="s">
        <v>3361</v>
      </c>
      <c r="W341" s="873" t="s">
        <v>3361</v>
      </c>
    </row>
    <row r="342" spans="1:23" x14ac:dyDescent="0.2">
      <c r="A342" s="769" t="s">
        <v>3609</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4284</v>
      </c>
      <c r="B343" s="928">
        <v>1</v>
      </c>
      <c r="C343" s="928">
        <v>2</v>
      </c>
      <c r="D343" s="928">
        <v>5</v>
      </c>
      <c r="E343" s="928">
        <v>1</v>
      </c>
      <c r="F343" s="928">
        <v>2</v>
      </c>
      <c r="G343" s="928">
        <v>4</v>
      </c>
      <c r="H343" s="928">
        <v>1</v>
      </c>
      <c r="I343" s="929" t="s">
        <v>3441</v>
      </c>
      <c r="J343" s="929" t="s">
        <v>1890</v>
      </c>
      <c r="K343" s="928" t="s">
        <v>1813</v>
      </c>
      <c r="L343" s="930" t="s">
        <v>1695</v>
      </c>
      <c r="M343" s="927" t="s">
        <v>3484</v>
      </c>
      <c r="N343" s="930" t="s">
        <v>1690</v>
      </c>
      <c r="O343" s="927" t="s">
        <v>4219</v>
      </c>
      <c r="P343" s="930" t="s">
        <v>1703</v>
      </c>
      <c r="Q343" s="927" t="s">
        <v>3484</v>
      </c>
      <c r="R343" s="930" t="s">
        <v>1704</v>
      </c>
      <c r="S343" s="927" t="s">
        <v>3575</v>
      </c>
      <c r="T343" s="931" t="s">
        <v>1938</v>
      </c>
      <c r="U343" s="931" t="s">
        <v>2029</v>
      </c>
      <c r="V343" s="931" t="s">
        <v>2034</v>
      </c>
      <c r="W343" s="928"/>
    </row>
    <row r="344" spans="1:23" x14ac:dyDescent="0.2">
      <c r="A344" s="927" t="s">
        <v>4285</v>
      </c>
      <c r="B344" s="928">
        <v>2</v>
      </c>
      <c r="C344" s="928">
        <v>4</v>
      </c>
      <c r="D344" s="928">
        <v>5</v>
      </c>
      <c r="E344" s="928">
        <v>1</v>
      </c>
      <c r="F344" s="928">
        <v>2</v>
      </c>
      <c r="G344" s="928">
        <v>4</v>
      </c>
      <c r="H344" s="928">
        <v>1</v>
      </c>
      <c r="I344" s="929" t="s">
        <v>3441</v>
      </c>
      <c r="J344" s="929" t="s">
        <v>1890</v>
      </c>
      <c r="K344" s="928" t="s">
        <v>1813</v>
      </c>
      <c r="L344" s="930" t="s">
        <v>1695</v>
      </c>
      <c r="M344" s="927" t="s">
        <v>3484</v>
      </c>
      <c r="N344" s="930" t="s">
        <v>1690</v>
      </c>
      <c r="O344" s="927" t="s">
        <v>4219</v>
      </c>
      <c r="P344" s="930" t="s">
        <v>1703</v>
      </c>
      <c r="Q344" s="927" t="s">
        <v>3484</v>
      </c>
      <c r="R344" s="930" t="s">
        <v>1704</v>
      </c>
      <c r="S344" s="927" t="s">
        <v>3575</v>
      </c>
      <c r="T344" s="931" t="s">
        <v>1938</v>
      </c>
      <c r="U344" s="931" t="s">
        <v>2029</v>
      </c>
      <c r="V344" s="931" t="s">
        <v>2034</v>
      </c>
      <c r="W344" s="928"/>
    </row>
    <row r="345" spans="1:23" x14ac:dyDescent="0.2">
      <c r="A345" s="927" t="s">
        <v>4286</v>
      </c>
      <c r="B345" s="928">
        <v>3</v>
      </c>
      <c r="C345" s="928">
        <v>5</v>
      </c>
      <c r="D345" s="928">
        <v>10</v>
      </c>
      <c r="E345" s="928">
        <v>2</v>
      </c>
      <c r="F345" s="928">
        <v>4</v>
      </c>
      <c r="G345" s="928">
        <v>7</v>
      </c>
      <c r="H345" s="928">
        <v>1</v>
      </c>
      <c r="I345" s="929" t="s">
        <v>3441</v>
      </c>
      <c r="J345" s="929" t="s">
        <v>1890</v>
      </c>
      <c r="K345" s="928" t="s">
        <v>1813</v>
      </c>
      <c r="L345" s="930" t="s">
        <v>1695</v>
      </c>
      <c r="M345" s="927" t="s">
        <v>3484</v>
      </c>
      <c r="N345" s="930" t="s">
        <v>1690</v>
      </c>
      <c r="O345" s="927" t="s">
        <v>4219</v>
      </c>
      <c r="P345" s="930" t="s">
        <v>1703</v>
      </c>
      <c r="Q345" s="927" t="s">
        <v>3484</v>
      </c>
      <c r="R345" s="930" t="s">
        <v>1704</v>
      </c>
      <c r="S345" s="927" t="s">
        <v>3575</v>
      </c>
      <c r="T345" s="931" t="s">
        <v>1938</v>
      </c>
      <c r="U345" s="931" t="s">
        <v>2029</v>
      </c>
      <c r="V345" s="931" t="s">
        <v>2034</v>
      </c>
      <c r="W345" s="928"/>
    </row>
    <row r="346" spans="1:23" x14ac:dyDescent="0.2">
      <c r="A346" s="927" t="s">
        <v>4287</v>
      </c>
      <c r="B346" s="928">
        <v>4</v>
      </c>
      <c r="C346" s="928">
        <v>6</v>
      </c>
      <c r="D346" s="928">
        <v>10</v>
      </c>
      <c r="E346" s="928">
        <v>2</v>
      </c>
      <c r="F346" s="928">
        <v>4</v>
      </c>
      <c r="G346" s="928">
        <v>7</v>
      </c>
      <c r="H346" s="928">
        <v>1</v>
      </c>
      <c r="I346" s="929" t="s">
        <v>3441</v>
      </c>
      <c r="J346" s="929" t="s">
        <v>1890</v>
      </c>
      <c r="K346" s="928" t="s">
        <v>1813</v>
      </c>
      <c r="L346" s="930" t="s">
        <v>1695</v>
      </c>
      <c r="M346" s="927" t="s">
        <v>3484</v>
      </c>
      <c r="N346" s="930" t="s">
        <v>1690</v>
      </c>
      <c r="O346" s="927" t="s">
        <v>4219</v>
      </c>
      <c r="P346" s="930" t="s">
        <v>1703</v>
      </c>
      <c r="Q346" s="927" t="s">
        <v>3484</v>
      </c>
      <c r="R346" s="930" t="s">
        <v>1704</v>
      </c>
      <c r="S346" s="927" t="s">
        <v>3575</v>
      </c>
      <c r="T346" s="931" t="s">
        <v>1938</v>
      </c>
      <c r="U346" s="931" t="s">
        <v>2029</v>
      </c>
      <c r="V346" s="931" t="s">
        <v>2034</v>
      </c>
      <c r="W346" s="928"/>
    </row>
    <row r="347" spans="1:23" x14ac:dyDescent="0.2">
      <c r="A347" s="927" t="s">
        <v>4288</v>
      </c>
      <c r="B347" s="928">
        <v>5</v>
      </c>
      <c r="C347" s="928">
        <v>8</v>
      </c>
      <c r="D347" s="928">
        <v>15</v>
      </c>
      <c r="E347" s="928">
        <v>3</v>
      </c>
      <c r="F347" s="928">
        <v>6</v>
      </c>
      <c r="G347" s="928">
        <v>11</v>
      </c>
      <c r="H347" s="928">
        <v>2</v>
      </c>
      <c r="I347" s="929" t="s">
        <v>3441</v>
      </c>
      <c r="J347" s="929" t="s">
        <v>1890</v>
      </c>
      <c r="K347" s="928" t="s">
        <v>1813</v>
      </c>
      <c r="L347" s="930" t="s">
        <v>1695</v>
      </c>
      <c r="M347" s="927" t="s">
        <v>3484</v>
      </c>
      <c r="N347" s="930" t="s">
        <v>1690</v>
      </c>
      <c r="O347" s="927" t="s">
        <v>4219</v>
      </c>
      <c r="P347" s="930" t="s">
        <v>1703</v>
      </c>
      <c r="Q347" s="927" t="s">
        <v>3484</v>
      </c>
      <c r="R347" s="930" t="s">
        <v>1704</v>
      </c>
      <c r="S347" s="927" t="s">
        <v>3575</v>
      </c>
      <c r="T347" s="931" t="s">
        <v>1938</v>
      </c>
      <c r="U347" s="931" t="s">
        <v>2029</v>
      </c>
      <c r="V347" s="931" t="s">
        <v>2034</v>
      </c>
      <c r="W347" s="928"/>
    </row>
    <row r="348" spans="1:23" x14ac:dyDescent="0.2">
      <c r="A348" s="927" t="s">
        <v>4289</v>
      </c>
      <c r="B348" s="928">
        <v>6</v>
      </c>
      <c r="C348" s="928">
        <v>9</v>
      </c>
      <c r="D348" s="928">
        <v>20</v>
      </c>
      <c r="E348" s="928">
        <v>3</v>
      </c>
      <c r="F348" s="928">
        <v>6</v>
      </c>
      <c r="G348" s="928">
        <v>11</v>
      </c>
      <c r="H348" s="928">
        <v>2</v>
      </c>
      <c r="I348" s="929" t="s">
        <v>3441</v>
      </c>
      <c r="J348" s="929" t="s">
        <v>1890</v>
      </c>
      <c r="K348" s="928" t="s">
        <v>1813</v>
      </c>
      <c r="L348" s="930" t="s">
        <v>1695</v>
      </c>
      <c r="M348" s="927" t="s">
        <v>3484</v>
      </c>
      <c r="N348" s="930" t="s">
        <v>1690</v>
      </c>
      <c r="O348" s="927" t="s">
        <v>4219</v>
      </c>
      <c r="P348" s="930" t="s">
        <v>1703</v>
      </c>
      <c r="Q348" s="927" t="s">
        <v>3484</v>
      </c>
      <c r="R348" s="930" t="s">
        <v>1704</v>
      </c>
      <c r="S348" s="927" t="s">
        <v>3575</v>
      </c>
      <c r="T348" s="931" t="s">
        <v>1938</v>
      </c>
      <c r="U348" s="931" t="s">
        <v>2029</v>
      </c>
      <c r="V348" s="931" t="s">
        <v>2034</v>
      </c>
      <c r="W348" s="928"/>
    </row>
    <row r="349" spans="1:23" x14ac:dyDescent="0.2">
      <c r="A349" s="927" t="s">
        <v>4290</v>
      </c>
      <c r="B349" s="928">
        <v>7</v>
      </c>
      <c r="C349" s="928">
        <v>10</v>
      </c>
      <c r="D349" s="928">
        <v>25</v>
      </c>
      <c r="E349" s="928">
        <v>4</v>
      </c>
      <c r="F349" s="928">
        <v>8</v>
      </c>
      <c r="G349" s="928">
        <v>14</v>
      </c>
      <c r="H349" s="928">
        <v>3</v>
      </c>
      <c r="I349" s="929" t="s">
        <v>3441</v>
      </c>
      <c r="J349" s="929" t="s">
        <v>1890</v>
      </c>
      <c r="K349" s="928" t="s">
        <v>1813</v>
      </c>
      <c r="L349" s="930" t="s">
        <v>1695</v>
      </c>
      <c r="M349" s="927" t="s">
        <v>3484</v>
      </c>
      <c r="N349" s="930" t="s">
        <v>1690</v>
      </c>
      <c r="O349" s="927" t="s">
        <v>4219</v>
      </c>
      <c r="P349" s="930" t="s">
        <v>1703</v>
      </c>
      <c r="Q349" s="927" t="s">
        <v>3484</v>
      </c>
      <c r="R349" s="930" t="s">
        <v>1704</v>
      </c>
      <c r="S349" s="927" t="s">
        <v>3575</v>
      </c>
      <c r="T349" s="931" t="s">
        <v>1938</v>
      </c>
      <c r="U349" s="931" t="s">
        <v>2029</v>
      </c>
      <c r="V349" s="931" t="s">
        <v>2034</v>
      </c>
      <c r="W349" s="928"/>
    </row>
    <row r="350" spans="1:23" x14ac:dyDescent="0.2">
      <c r="A350" s="769" t="s">
        <v>3613</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4291</v>
      </c>
      <c r="B351" s="928">
        <v>1</v>
      </c>
      <c r="C351" s="928">
        <v>2</v>
      </c>
      <c r="D351" s="928">
        <v>5</v>
      </c>
      <c r="E351" s="928">
        <v>1</v>
      </c>
      <c r="F351" s="928">
        <v>2</v>
      </c>
      <c r="G351" s="928">
        <v>4</v>
      </c>
      <c r="H351" s="928">
        <v>1</v>
      </c>
      <c r="I351" s="929" t="s">
        <v>3436</v>
      </c>
      <c r="J351" s="929" t="s">
        <v>1537</v>
      </c>
      <c r="K351" s="928" t="s">
        <v>1695</v>
      </c>
      <c r="L351" s="930" t="s">
        <v>1813</v>
      </c>
      <c r="M351" s="927" t="s">
        <v>3484</v>
      </c>
      <c r="N351" s="930" t="s">
        <v>1690</v>
      </c>
      <c r="O351" s="927" t="s">
        <v>3484</v>
      </c>
      <c r="P351" s="930" t="s">
        <v>1703</v>
      </c>
      <c r="Q351" s="927" t="s">
        <v>3575</v>
      </c>
      <c r="R351" s="930" t="s">
        <v>1704</v>
      </c>
      <c r="S351" s="927" t="s">
        <v>3484</v>
      </c>
      <c r="T351" s="931" t="s">
        <v>1938</v>
      </c>
      <c r="U351" s="931" t="s">
        <v>2029</v>
      </c>
      <c r="V351" s="931" t="s">
        <v>2034</v>
      </c>
      <c r="W351" s="931"/>
    </row>
    <row r="352" spans="1:23" x14ac:dyDescent="0.2">
      <c r="A352" s="927" t="s">
        <v>4292</v>
      </c>
      <c r="B352" s="928">
        <v>2</v>
      </c>
      <c r="C352" s="928">
        <v>4</v>
      </c>
      <c r="D352" s="928">
        <v>5</v>
      </c>
      <c r="E352" s="928">
        <v>1</v>
      </c>
      <c r="F352" s="928">
        <v>2</v>
      </c>
      <c r="G352" s="928">
        <v>4</v>
      </c>
      <c r="H352" s="928">
        <v>1</v>
      </c>
      <c r="I352" s="929" t="s">
        <v>3436</v>
      </c>
      <c r="J352" s="929" t="s">
        <v>1537</v>
      </c>
      <c r="K352" s="928" t="s">
        <v>1695</v>
      </c>
      <c r="L352" s="930" t="s">
        <v>1813</v>
      </c>
      <c r="M352" s="927" t="s">
        <v>3484</v>
      </c>
      <c r="N352" s="930" t="s">
        <v>1690</v>
      </c>
      <c r="O352" s="927" t="s">
        <v>3484</v>
      </c>
      <c r="P352" s="930" t="s">
        <v>1703</v>
      </c>
      <c r="Q352" s="927" t="s">
        <v>3575</v>
      </c>
      <c r="R352" s="930" t="s">
        <v>1704</v>
      </c>
      <c r="S352" s="927" t="s">
        <v>3484</v>
      </c>
      <c r="T352" s="931" t="s">
        <v>1938</v>
      </c>
      <c r="U352" s="931" t="s">
        <v>2029</v>
      </c>
      <c r="V352" s="931" t="s">
        <v>2034</v>
      </c>
      <c r="W352" s="928"/>
    </row>
    <row r="353" spans="1:23" x14ac:dyDescent="0.2">
      <c r="A353" s="927" t="s">
        <v>4293</v>
      </c>
      <c r="B353" s="928">
        <v>3</v>
      </c>
      <c r="C353" s="928">
        <v>5</v>
      </c>
      <c r="D353" s="928">
        <v>10</v>
      </c>
      <c r="E353" s="928">
        <v>2</v>
      </c>
      <c r="F353" s="928">
        <v>4</v>
      </c>
      <c r="G353" s="928">
        <v>7</v>
      </c>
      <c r="H353" s="928">
        <v>1</v>
      </c>
      <c r="I353" s="929" t="s">
        <v>3436</v>
      </c>
      <c r="J353" s="929" t="s">
        <v>1537</v>
      </c>
      <c r="K353" s="928" t="s">
        <v>1695</v>
      </c>
      <c r="L353" s="930" t="s">
        <v>1813</v>
      </c>
      <c r="M353" s="927" t="s">
        <v>3484</v>
      </c>
      <c r="N353" s="930" t="s">
        <v>1690</v>
      </c>
      <c r="O353" s="927" t="s">
        <v>3484</v>
      </c>
      <c r="P353" s="930" t="s">
        <v>1703</v>
      </c>
      <c r="Q353" s="927" t="s">
        <v>3575</v>
      </c>
      <c r="R353" s="930" t="s">
        <v>1704</v>
      </c>
      <c r="S353" s="927" t="s">
        <v>3484</v>
      </c>
      <c r="T353" s="931" t="s">
        <v>1938</v>
      </c>
      <c r="U353" s="931" t="s">
        <v>2029</v>
      </c>
      <c r="V353" s="931" t="s">
        <v>2034</v>
      </c>
      <c r="W353" s="928"/>
    </row>
    <row r="354" spans="1:23" x14ac:dyDescent="0.2">
      <c r="A354" s="927" t="s">
        <v>4294</v>
      </c>
      <c r="B354" s="928">
        <v>4</v>
      </c>
      <c r="C354" s="928">
        <v>6</v>
      </c>
      <c r="D354" s="928">
        <v>10</v>
      </c>
      <c r="E354" s="928">
        <v>2</v>
      </c>
      <c r="F354" s="928">
        <v>4</v>
      </c>
      <c r="G354" s="928">
        <v>7</v>
      </c>
      <c r="H354" s="928">
        <v>1</v>
      </c>
      <c r="I354" s="929" t="s">
        <v>3436</v>
      </c>
      <c r="J354" s="929" t="s">
        <v>1537</v>
      </c>
      <c r="K354" s="928" t="s">
        <v>1695</v>
      </c>
      <c r="L354" s="930" t="s">
        <v>1813</v>
      </c>
      <c r="M354" s="927" t="s">
        <v>3484</v>
      </c>
      <c r="N354" s="930" t="s">
        <v>1690</v>
      </c>
      <c r="O354" s="927" t="s">
        <v>3484</v>
      </c>
      <c r="P354" s="930" t="s">
        <v>1703</v>
      </c>
      <c r="Q354" s="927" t="s">
        <v>3575</v>
      </c>
      <c r="R354" s="930" t="s">
        <v>1704</v>
      </c>
      <c r="S354" s="927" t="s">
        <v>3484</v>
      </c>
      <c r="T354" s="931" t="s">
        <v>1938</v>
      </c>
      <c r="U354" s="931" t="s">
        <v>2029</v>
      </c>
      <c r="V354" s="931" t="s">
        <v>2034</v>
      </c>
      <c r="W354" s="928"/>
    </row>
    <row r="355" spans="1:23" x14ac:dyDescent="0.2">
      <c r="A355" s="927" t="s">
        <v>4295</v>
      </c>
      <c r="B355" s="928">
        <v>5</v>
      </c>
      <c r="C355" s="928">
        <v>8</v>
      </c>
      <c r="D355" s="928">
        <v>15</v>
      </c>
      <c r="E355" s="928">
        <v>3</v>
      </c>
      <c r="F355" s="928">
        <v>6</v>
      </c>
      <c r="G355" s="928">
        <v>11</v>
      </c>
      <c r="H355" s="928">
        <v>2</v>
      </c>
      <c r="I355" s="929" t="s">
        <v>3436</v>
      </c>
      <c r="J355" s="929" t="s">
        <v>1537</v>
      </c>
      <c r="K355" s="928" t="s">
        <v>1695</v>
      </c>
      <c r="L355" s="930" t="s">
        <v>1813</v>
      </c>
      <c r="M355" s="927" t="s">
        <v>3484</v>
      </c>
      <c r="N355" s="930" t="s">
        <v>1690</v>
      </c>
      <c r="O355" s="927" t="s">
        <v>3484</v>
      </c>
      <c r="P355" s="930" t="s">
        <v>1703</v>
      </c>
      <c r="Q355" s="927" t="s">
        <v>3575</v>
      </c>
      <c r="R355" s="930" t="s">
        <v>1704</v>
      </c>
      <c r="S355" s="927" t="s">
        <v>3484</v>
      </c>
      <c r="T355" s="931" t="s">
        <v>1938</v>
      </c>
      <c r="U355" s="931" t="s">
        <v>2029</v>
      </c>
      <c r="V355" s="931" t="s">
        <v>2034</v>
      </c>
      <c r="W355" s="928"/>
    </row>
    <row r="356" spans="1:23" x14ac:dyDescent="0.2">
      <c r="A356" s="927" t="s">
        <v>4296</v>
      </c>
      <c r="B356" s="928">
        <v>6</v>
      </c>
      <c r="C356" s="928">
        <v>9</v>
      </c>
      <c r="D356" s="928">
        <v>20</v>
      </c>
      <c r="E356" s="928">
        <v>3</v>
      </c>
      <c r="F356" s="928">
        <v>6</v>
      </c>
      <c r="G356" s="928">
        <v>11</v>
      </c>
      <c r="H356" s="928">
        <v>2</v>
      </c>
      <c r="I356" s="929" t="s">
        <v>3436</v>
      </c>
      <c r="J356" s="929" t="s">
        <v>1537</v>
      </c>
      <c r="K356" s="928" t="s">
        <v>1695</v>
      </c>
      <c r="L356" s="930" t="s">
        <v>1813</v>
      </c>
      <c r="M356" s="927" t="s">
        <v>3484</v>
      </c>
      <c r="N356" s="930" t="s">
        <v>1690</v>
      </c>
      <c r="O356" s="927" t="s">
        <v>3484</v>
      </c>
      <c r="P356" s="930" t="s">
        <v>1703</v>
      </c>
      <c r="Q356" s="927" t="s">
        <v>3575</v>
      </c>
      <c r="R356" s="930" t="s">
        <v>1704</v>
      </c>
      <c r="S356" s="927" t="s">
        <v>3484</v>
      </c>
      <c r="T356" s="931" t="s">
        <v>1938</v>
      </c>
      <c r="U356" s="931" t="s">
        <v>2029</v>
      </c>
      <c r="V356" s="931" t="s">
        <v>2034</v>
      </c>
      <c r="W356" s="928"/>
    </row>
    <row r="357" spans="1:23" x14ac:dyDescent="0.2">
      <c r="A357" s="927" t="s">
        <v>4297</v>
      </c>
      <c r="B357" s="928">
        <v>8</v>
      </c>
      <c r="C357" s="928">
        <v>11</v>
      </c>
      <c r="D357" s="928">
        <v>25</v>
      </c>
      <c r="E357" s="928">
        <v>4</v>
      </c>
      <c r="F357" s="928">
        <v>8</v>
      </c>
      <c r="G357" s="928">
        <v>14</v>
      </c>
      <c r="H357" s="928">
        <v>2</v>
      </c>
      <c r="I357" s="929" t="s">
        <v>3436</v>
      </c>
      <c r="J357" s="929" t="s">
        <v>1537</v>
      </c>
      <c r="K357" s="928" t="s">
        <v>1695</v>
      </c>
      <c r="L357" s="930" t="s">
        <v>1813</v>
      </c>
      <c r="M357" s="927" t="s">
        <v>3484</v>
      </c>
      <c r="N357" s="930" t="s">
        <v>1690</v>
      </c>
      <c r="O357" s="927" t="s">
        <v>3484</v>
      </c>
      <c r="P357" s="930" t="s">
        <v>1703</v>
      </c>
      <c r="Q357" s="927" t="s">
        <v>3575</v>
      </c>
      <c r="R357" s="930" t="s">
        <v>1704</v>
      </c>
      <c r="S357" s="927" t="s">
        <v>3484</v>
      </c>
      <c r="T357" s="931" t="s">
        <v>1938</v>
      </c>
      <c r="U357" s="931" t="s">
        <v>2029</v>
      </c>
      <c r="V357" s="931" t="s">
        <v>2034</v>
      </c>
      <c r="W357" s="928"/>
    </row>
    <row r="358" spans="1:23" x14ac:dyDescent="0.2">
      <c r="A358" s="927" t="s">
        <v>4298</v>
      </c>
      <c r="B358" s="928">
        <v>10</v>
      </c>
      <c r="C358" s="928">
        <v>13</v>
      </c>
      <c r="D358" s="928">
        <v>30</v>
      </c>
      <c r="E358" s="928">
        <v>5</v>
      </c>
      <c r="F358" s="928">
        <v>10</v>
      </c>
      <c r="G358" s="928">
        <v>18</v>
      </c>
      <c r="H358" s="928">
        <v>3</v>
      </c>
      <c r="I358" s="929" t="s">
        <v>3436</v>
      </c>
      <c r="J358" s="929" t="s">
        <v>1537</v>
      </c>
      <c r="K358" s="928" t="s">
        <v>1695</v>
      </c>
      <c r="L358" s="930" t="s">
        <v>1813</v>
      </c>
      <c r="M358" s="927" t="s">
        <v>3484</v>
      </c>
      <c r="N358" s="930" t="s">
        <v>1690</v>
      </c>
      <c r="O358" s="927" t="s">
        <v>3484</v>
      </c>
      <c r="P358" s="930" t="s">
        <v>1703</v>
      </c>
      <c r="Q358" s="927" t="s">
        <v>3575</v>
      </c>
      <c r="R358" s="930" t="s">
        <v>1704</v>
      </c>
      <c r="S358" s="927" t="s">
        <v>3484</v>
      </c>
      <c r="T358" s="931" t="s">
        <v>1938</v>
      </c>
      <c r="U358" s="931" t="s">
        <v>2029</v>
      </c>
      <c r="V358" s="931" t="s">
        <v>2034</v>
      </c>
      <c r="W358" s="928"/>
    </row>
    <row r="359" spans="1:23" x14ac:dyDescent="0.2">
      <c r="A359" s="927" t="s">
        <v>4299</v>
      </c>
      <c r="B359" s="928">
        <v>12</v>
      </c>
      <c r="C359" s="928">
        <v>15</v>
      </c>
      <c r="D359" s="928">
        <v>40</v>
      </c>
      <c r="E359" s="928">
        <v>6</v>
      </c>
      <c r="F359" s="928">
        <v>12</v>
      </c>
      <c r="G359" s="928">
        <v>21</v>
      </c>
      <c r="H359" s="928">
        <v>3</v>
      </c>
      <c r="I359" s="929" t="s">
        <v>3436</v>
      </c>
      <c r="J359" s="929" t="s">
        <v>1537</v>
      </c>
      <c r="K359" s="928" t="s">
        <v>1695</v>
      </c>
      <c r="L359" s="930" t="s">
        <v>1813</v>
      </c>
      <c r="M359" s="927" t="s">
        <v>3484</v>
      </c>
      <c r="N359" s="930" t="s">
        <v>1690</v>
      </c>
      <c r="O359" s="927" t="s">
        <v>3484</v>
      </c>
      <c r="P359" s="930" t="s">
        <v>1703</v>
      </c>
      <c r="Q359" s="927" t="s">
        <v>3575</v>
      </c>
      <c r="R359" s="930" t="s">
        <v>1704</v>
      </c>
      <c r="S359" s="927" t="s">
        <v>3484</v>
      </c>
      <c r="T359" s="931" t="s">
        <v>1938</v>
      </c>
      <c r="U359" s="931" t="s">
        <v>2029</v>
      </c>
      <c r="V359" s="931" t="s">
        <v>2034</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4300</v>
      </c>
      <c r="B361" s="928">
        <v>1</v>
      </c>
      <c r="C361" s="928">
        <v>2</v>
      </c>
      <c r="D361" s="928">
        <v>5</v>
      </c>
      <c r="E361" s="928">
        <v>1</v>
      </c>
      <c r="F361" s="928">
        <v>2</v>
      </c>
      <c r="G361" s="928">
        <v>4</v>
      </c>
      <c r="H361" s="928">
        <v>1</v>
      </c>
      <c r="I361" s="929" t="s">
        <v>3441</v>
      </c>
      <c r="J361" s="929" t="s">
        <v>1890</v>
      </c>
      <c r="K361" s="928" t="s">
        <v>1813</v>
      </c>
      <c r="L361" s="930" t="s">
        <v>1685</v>
      </c>
      <c r="M361" s="927" t="s">
        <v>3485</v>
      </c>
      <c r="N361" s="930" t="s">
        <v>1695</v>
      </c>
      <c r="O361" s="927" t="s">
        <v>3484</v>
      </c>
      <c r="P361" s="930" t="s">
        <v>1703</v>
      </c>
      <c r="Q361" s="927" t="s">
        <v>3575</v>
      </c>
      <c r="R361" s="930" t="s">
        <v>1704</v>
      </c>
      <c r="S361" s="927" t="s">
        <v>3484</v>
      </c>
      <c r="T361" s="931" t="s">
        <v>1934</v>
      </c>
      <c r="U361" s="931" t="s">
        <v>2029</v>
      </c>
      <c r="V361" s="931" t="s">
        <v>2034</v>
      </c>
      <c r="W361" s="928"/>
    </row>
    <row r="362" spans="1:23" x14ac:dyDescent="0.2">
      <c r="A362" s="927" t="s">
        <v>4301</v>
      </c>
      <c r="B362" s="928">
        <v>2</v>
      </c>
      <c r="C362" s="928">
        <v>4</v>
      </c>
      <c r="D362" s="928">
        <v>5</v>
      </c>
      <c r="E362" s="928">
        <v>1</v>
      </c>
      <c r="F362" s="928">
        <v>2</v>
      </c>
      <c r="G362" s="928">
        <v>4</v>
      </c>
      <c r="H362" s="928">
        <v>1</v>
      </c>
      <c r="I362" s="929" t="s">
        <v>3441</v>
      </c>
      <c r="J362" s="929" t="s">
        <v>1890</v>
      </c>
      <c r="K362" s="928" t="s">
        <v>1813</v>
      </c>
      <c r="L362" s="930" t="s">
        <v>1685</v>
      </c>
      <c r="M362" s="927" t="s">
        <v>3485</v>
      </c>
      <c r="N362" s="930" t="s">
        <v>1695</v>
      </c>
      <c r="O362" s="927" t="s">
        <v>3484</v>
      </c>
      <c r="P362" s="930" t="s">
        <v>1703</v>
      </c>
      <c r="Q362" s="927" t="s">
        <v>3575</v>
      </c>
      <c r="R362" s="930" t="s">
        <v>1704</v>
      </c>
      <c r="S362" s="927" t="s">
        <v>3484</v>
      </c>
      <c r="T362" s="931" t="s">
        <v>1934</v>
      </c>
      <c r="U362" s="931" t="s">
        <v>2029</v>
      </c>
      <c r="V362" s="931" t="s">
        <v>2034</v>
      </c>
      <c r="W362" s="928"/>
    </row>
    <row r="363" spans="1:23" x14ac:dyDescent="0.2">
      <c r="A363" s="927" t="s">
        <v>4302</v>
      </c>
      <c r="B363" s="928">
        <v>4</v>
      </c>
      <c r="C363" s="928">
        <v>6</v>
      </c>
      <c r="D363" s="928">
        <v>10</v>
      </c>
      <c r="E363" s="928">
        <v>2</v>
      </c>
      <c r="F363" s="928">
        <v>4</v>
      </c>
      <c r="G363" s="928">
        <v>7</v>
      </c>
      <c r="H363" s="928">
        <v>1</v>
      </c>
      <c r="I363" s="929" t="s">
        <v>3441</v>
      </c>
      <c r="J363" s="929" t="s">
        <v>1890</v>
      </c>
      <c r="K363" s="928" t="s">
        <v>1813</v>
      </c>
      <c r="L363" s="930" t="s">
        <v>1685</v>
      </c>
      <c r="M363" s="927" t="s">
        <v>3485</v>
      </c>
      <c r="N363" s="930" t="s">
        <v>1695</v>
      </c>
      <c r="O363" s="927" t="s">
        <v>3484</v>
      </c>
      <c r="P363" s="930" t="s">
        <v>1703</v>
      </c>
      <c r="Q363" s="927" t="s">
        <v>3575</v>
      </c>
      <c r="R363" s="930" t="s">
        <v>1704</v>
      </c>
      <c r="S363" s="927" t="s">
        <v>3484</v>
      </c>
      <c r="T363" s="931" t="s">
        <v>1934</v>
      </c>
      <c r="U363" s="931" t="s">
        <v>2029</v>
      </c>
      <c r="V363" s="931" t="s">
        <v>2034</v>
      </c>
      <c r="W363" s="928"/>
    </row>
    <row r="364" spans="1:23" x14ac:dyDescent="0.2">
      <c r="A364" s="927" t="s">
        <v>4303</v>
      </c>
      <c r="B364" s="928">
        <v>6</v>
      </c>
      <c r="C364" s="928">
        <v>9</v>
      </c>
      <c r="D364" s="928">
        <v>15</v>
      </c>
      <c r="E364" s="928">
        <v>2</v>
      </c>
      <c r="F364" s="928">
        <v>4</v>
      </c>
      <c r="G364" s="928">
        <v>7</v>
      </c>
      <c r="H364" s="928">
        <v>1</v>
      </c>
      <c r="I364" s="929" t="s">
        <v>3441</v>
      </c>
      <c r="J364" s="929" t="s">
        <v>1890</v>
      </c>
      <c r="K364" s="928" t="s">
        <v>1813</v>
      </c>
      <c r="L364" s="930" t="s">
        <v>1685</v>
      </c>
      <c r="M364" s="927" t="s">
        <v>3485</v>
      </c>
      <c r="N364" s="930" t="s">
        <v>1695</v>
      </c>
      <c r="O364" s="927" t="s">
        <v>3484</v>
      </c>
      <c r="P364" s="930" t="s">
        <v>1703</v>
      </c>
      <c r="Q364" s="927" t="s">
        <v>3575</v>
      </c>
      <c r="R364" s="930" t="s">
        <v>1704</v>
      </c>
      <c r="S364" s="927" t="s">
        <v>3484</v>
      </c>
      <c r="T364" s="931" t="s">
        <v>1934</v>
      </c>
      <c r="U364" s="931" t="s">
        <v>2029</v>
      </c>
      <c r="V364" s="931" t="s">
        <v>2034</v>
      </c>
      <c r="W364" s="928"/>
    </row>
    <row r="365" spans="1:23" x14ac:dyDescent="0.2">
      <c r="A365" s="927" t="s">
        <v>4304</v>
      </c>
      <c r="B365" s="928">
        <v>8</v>
      </c>
      <c r="C365" s="928">
        <v>11</v>
      </c>
      <c r="D365" s="928">
        <v>20</v>
      </c>
      <c r="E365" s="928">
        <v>3</v>
      </c>
      <c r="F365" s="928">
        <v>6</v>
      </c>
      <c r="G365" s="928">
        <v>11</v>
      </c>
      <c r="H365" s="928">
        <v>2</v>
      </c>
      <c r="I365" s="929" t="s">
        <v>3441</v>
      </c>
      <c r="J365" s="929" t="s">
        <v>1890</v>
      </c>
      <c r="K365" s="928" t="s">
        <v>1813</v>
      </c>
      <c r="L365" s="930" t="s">
        <v>1685</v>
      </c>
      <c r="M365" s="927" t="s">
        <v>3485</v>
      </c>
      <c r="N365" s="930" t="s">
        <v>1695</v>
      </c>
      <c r="O365" s="927" t="s">
        <v>3484</v>
      </c>
      <c r="P365" s="930" t="s">
        <v>1703</v>
      </c>
      <c r="Q365" s="927" t="s">
        <v>3575</v>
      </c>
      <c r="R365" s="930" t="s">
        <v>1704</v>
      </c>
      <c r="S365" s="927" t="s">
        <v>3484</v>
      </c>
      <c r="T365" s="931" t="s">
        <v>1934</v>
      </c>
      <c r="U365" s="931" t="s">
        <v>2029</v>
      </c>
      <c r="V365" s="931" t="s">
        <v>2034</v>
      </c>
      <c r="W365" s="928"/>
    </row>
    <row r="366" spans="1:23" x14ac:dyDescent="0.2">
      <c r="A366" s="927" t="s">
        <v>4305</v>
      </c>
      <c r="B366" s="928">
        <v>10</v>
      </c>
      <c r="C366" s="928">
        <v>13</v>
      </c>
      <c r="D366" s="928">
        <v>25</v>
      </c>
      <c r="E366" s="928">
        <v>3</v>
      </c>
      <c r="F366" s="928">
        <v>6</v>
      </c>
      <c r="G366" s="928">
        <v>11</v>
      </c>
      <c r="H366" s="928">
        <v>2</v>
      </c>
      <c r="I366" s="929" t="s">
        <v>3441</v>
      </c>
      <c r="J366" s="929" t="s">
        <v>1890</v>
      </c>
      <c r="K366" s="928" t="s">
        <v>1813</v>
      </c>
      <c r="L366" s="930" t="s">
        <v>1685</v>
      </c>
      <c r="M366" s="927" t="s">
        <v>3485</v>
      </c>
      <c r="N366" s="930" t="s">
        <v>1695</v>
      </c>
      <c r="O366" s="927" t="s">
        <v>3484</v>
      </c>
      <c r="P366" s="930" t="s">
        <v>1703</v>
      </c>
      <c r="Q366" s="927" t="s">
        <v>3575</v>
      </c>
      <c r="R366" s="930" t="s">
        <v>1704</v>
      </c>
      <c r="S366" s="927" t="s">
        <v>3484</v>
      </c>
      <c r="T366" s="931" t="s">
        <v>1934</v>
      </c>
      <c r="U366" s="931" t="s">
        <v>2029</v>
      </c>
      <c r="V366" s="931" t="s">
        <v>2034</v>
      </c>
      <c r="W366" s="928"/>
    </row>
    <row r="367" spans="1:23" x14ac:dyDescent="0.2">
      <c r="A367" s="927" t="s">
        <v>4306</v>
      </c>
      <c r="B367" s="928">
        <v>12</v>
      </c>
      <c r="C367" s="928">
        <v>15</v>
      </c>
      <c r="D367" s="928">
        <v>30</v>
      </c>
      <c r="E367" s="928">
        <v>4</v>
      </c>
      <c r="F367" s="928">
        <v>8</v>
      </c>
      <c r="G367" s="928">
        <v>14</v>
      </c>
      <c r="H367" s="928">
        <v>3</v>
      </c>
      <c r="I367" s="929" t="s">
        <v>3441</v>
      </c>
      <c r="J367" s="929" t="s">
        <v>1890</v>
      </c>
      <c r="K367" s="928" t="s">
        <v>1813</v>
      </c>
      <c r="L367" s="930" t="s">
        <v>1685</v>
      </c>
      <c r="M367" s="927" t="s">
        <v>3485</v>
      </c>
      <c r="N367" s="930" t="s">
        <v>1695</v>
      </c>
      <c r="O367" s="927" t="s">
        <v>3484</v>
      </c>
      <c r="P367" s="930" t="s">
        <v>1703</v>
      </c>
      <c r="Q367" s="927" t="s">
        <v>3575</v>
      </c>
      <c r="R367" s="930" t="s">
        <v>1704</v>
      </c>
      <c r="S367" s="927" t="s">
        <v>3484</v>
      </c>
      <c r="T367" s="931" t="s">
        <v>1934</v>
      </c>
      <c r="U367" s="931" t="s">
        <v>2029</v>
      </c>
      <c r="V367" s="931" t="s">
        <v>2034</v>
      </c>
      <c r="W367" s="928"/>
    </row>
    <row r="368" spans="1:23" x14ac:dyDescent="0.2">
      <c r="A368" s="927" t="s">
        <v>4307</v>
      </c>
      <c r="B368" s="928">
        <v>14</v>
      </c>
      <c r="C368" s="928">
        <v>18</v>
      </c>
      <c r="D368" s="928">
        <v>40</v>
      </c>
      <c r="E368" s="928">
        <v>5</v>
      </c>
      <c r="F368" s="928">
        <v>10</v>
      </c>
      <c r="G368" s="928">
        <v>18</v>
      </c>
      <c r="H368" s="928">
        <v>3</v>
      </c>
      <c r="I368" s="929" t="s">
        <v>3441</v>
      </c>
      <c r="J368" s="929" t="s">
        <v>1890</v>
      </c>
      <c r="K368" s="928" t="s">
        <v>1813</v>
      </c>
      <c r="L368" s="930" t="s">
        <v>1685</v>
      </c>
      <c r="M368" s="927" t="s">
        <v>3485</v>
      </c>
      <c r="N368" s="930" t="s">
        <v>1695</v>
      </c>
      <c r="O368" s="927" t="s">
        <v>3484</v>
      </c>
      <c r="P368" s="930" t="s">
        <v>1703</v>
      </c>
      <c r="Q368" s="927" t="s">
        <v>3575</v>
      </c>
      <c r="R368" s="930" t="s">
        <v>1704</v>
      </c>
      <c r="S368" s="927" t="s">
        <v>3484</v>
      </c>
      <c r="T368" s="931" t="s">
        <v>1934</v>
      </c>
      <c r="U368" s="931" t="s">
        <v>2029</v>
      </c>
      <c r="V368" s="931" t="s">
        <v>2034</v>
      </c>
      <c r="W368" s="928"/>
    </row>
    <row r="369" spans="1:23" x14ac:dyDescent="0.2">
      <c r="A369" s="933" t="s">
        <v>4308</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4309</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4310</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4311</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4312</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3734</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3623</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3628</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4313</v>
      </c>
      <c r="B377" s="928">
        <v>1</v>
      </c>
      <c r="C377" s="928">
        <v>2</v>
      </c>
      <c r="D377" s="928">
        <v>5</v>
      </c>
      <c r="E377" s="928">
        <v>1</v>
      </c>
      <c r="F377" s="928">
        <v>2</v>
      </c>
      <c r="G377" s="928">
        <v>4</v>
      </c>
      <c r="H377" s="928">
        <v>1</v>
      </c>
      <c r="I377" s="929" t="s">
        <v>3441</v>
      </c>
      <c r="J377" s="929" t="s">
        <v>4199</v>
      </c>
      <c r="K377" s="928" t="s">
        <v>1685</v>
      </c>
      <c r="L377" s="930" t="s">
        <v>1813</v>
      </c>
      <c r="M377" s="927" t="s">
        <v>3575</v>
      </c>
      <c r="N377" s="930" t="s">
        <v>1690</v>
      </c>
      <c r="O377" s="927" t="s">
        <v>3484</v>
      </c>
      <c r="P377" s="930" t="s">
        <v>1703</v>
      </c>
      <c r="Q377" s="927" t="s">
        <v>3485</v>
      </c>
      <c r="R377" s="930" t="s">
        <v>1704</v>
      </c>
      <c r="S377" s="927" t="s">
        <v>3485</v>
      </c>
      <c r="T377" s="931" t="s">
        <v>1931</v>
      </c>
      <c r="U377" s="931" t="s">
        <v>1938</v>
      </c>
      <c r="V377" s="931" t="s">
        <v>2029</v>
      </c>
      <c r="W377" s="928"/>
    </row>
    <row r="378" spans="1:23" x14ac:dyDescent="0.2">
      <c r="A378" s="927" t="s">
        <v>4314</v>
      </c>
      <c r="B378" s="928">
        <v>2</v>
      </c>
      <c r="C378" s="928">
        <v>4</v>
      </c>
      <c r="D378" s="928">
        <v>10</v>
      </c>
      <c r="E378" s="928">
        <v>2</v>
      </c>
      <c r="F378" s="928">
        <v>4</v>
      </c>
      <c r="G378" s="928">
        <v>7</v>
      </c>
      <c r="H378" s="928">
        <v>1</v>
      </c>
      <c r="I378" s="929" t="s">
        <v>3441</v>
      </c>
      <c r="J378" s="929" t="s">
        <v>4199</v>
      </c>
      <c r="K378" s="928" t="s">
        <v>1685</v>
      </c>
      <c r="L378" s="930" t="s">
        <v>1813</v>
      </c>
      <c r="M378" s="927" t="s">
        <v>3575</v>
      </c>
      <c r="N378" s="930" t="s">
        <v>1690</v>
      </c>
      <c r="O378" s="927" t="s">
        <v>3484</v>
      </c>
      <c r="P378" s="930" t="s">
        <v>1703</v>
      </c>
      <c r="Q378" s="927" t="s">
        <v>3485</v>
      </c>
      <c r="R378" s="930" t="s">
        <v>1704</v>
      </c>
      <c r="S378" s="927" t="s">
        <v>3485</v>
      </c>
      <c r="T378" s="931" t="s">
        <v>1931</v>
      </c>
      <c r="U378" s="931" t="s">
        <v>1938</v>
      </c>
      <c r="V378" s="931" t="s">
        <v>2029</v>
      </c>
      <c r="W378" s="928"/>
    </row>
    <row r="379" spans="1:23" x14ac:dyDescent="0.2">
      <c r="A379" s="927" t="s">
        <v>4315</v>
      </c>
      <c r="B379" s="928">
        <v>4</v>
      </c>
      <c r="C379" s="928">
        <v>6</v>
      </c>
      <c r="D379" s="928">
        <v>15</v>
      </c>
      <c r="E379" s="928">
        <v>3</v>
      </c>
      <c r="F379" s="928">
        <v>6</v>
      </c>
      <c r="G379" s="928">
        <v>11</v>
      </c>
      <c r="H379" s="928">
        <v>1</v>
      </c>
      <c r="I379" s="929" t="s">
        <v>3441</v>
      </c>
      <c r="J379" s="929" t="s">
        <v>4199</v>
      </c>
      <c r="K379" s="928" t="s">
        <v>1685</v>
      </c>
      <c r="L379" s="930" t="s">
        <v>1813</v>
      </c>
      <c r="M379" s="927" t="s">
        <v>3575</v>
      </c>
      <c r="N379" s="930" t="s">
        <v>1690</v>
      </c>
      <c r="O379" s="927" t="s">
        <v>3484</v>
      </c>
      <c r="P379" s="930" t="s">
        <v>1703</v>
      </c>
      <c r="Q379" s="927" t="s">
        <v>3485</v>
      </c>
      <c r="R379" s="930" t="s">
        <v>1704</v>
      </c>
      <c r="S379" s="927" t="s">
        <v>3485</v>
      </c>
      <c r="T379" s="931" t="s">
        <v>1931</v>
      </c>
      <c r="U379" s="931" t="s">
        <v>1938</v>
      </c>
      <c r="V379" s="931" t="s">
        <v>2029</v>
      </c>
      <c r="W379" s="928"/>
    </row>
    <row r="380" spans="1:23" x14ac:dyDescent="0.2">
      <c r="A380" s="927" t="s">
        <v>4316</v>
      </c>
      <c r="B380" s="928">
        <v>6</v>
      </c>
      <c r="C380" s="928">
        <v>9</v>
      </c>
      <c r="D380" s="928">
        <v>20</v>
      </c>
      <c r="E380" s="928">
        <v>4</v>
      </c>
      <c r="F380" s="928">
        <v>8</v>
      </c>
      <c r="G380" s="928">
        <v>14</v>
      </c>
      <c r="H380" s="928">
        <v>2</v>
      </c>
      <c r="I380" s="929" t="s">
        <v>3441</v>
      </c>
      <c r="J380" s="929" t="s">
        <v>4199</v>
      </c>
      <c r="K380" s="928" t="s">
        <v>1685</v>
      </c>
      <c r="L380" s="930" t="s">
        <v>1813</v>
      </c>
      <c r="M380" s="927" t="s">
        <v>3575</v>
      </c>
      <c r="N380" s="930" t="s">
        <v>1690</v>
      </c>
      <c r="O380" s="927" t="s">
        <v>3484</v>
      </c>
      <c r="P380" s="930" t="s">
        <v>1703</v>
      </c>
      <c r="Q380" s="927" t="s">
        <v>3485</v>
      </c>
      <c r="R380" s="930" t="s">
        <v>1704</v>
      </c>
      <c r="S380" s="927" t="s">
        <v>3485</v>
      </c>
      <c r="T380" s="931" t="s">
        <v>1931</v>
      </c>
      <c r="U380" s="931" t="s">
        <v>1938</v>
      </c>
      <c r="V380" s="931" t="s">
        <v>2029</v>
      </c>
      <c r="W380" s="928"/>
    </row>
    <row r="381" spans="1:23" x14ac:dyDescent="0.2">
      <c r="A381" s="927" t="s">
        <v>4317</v>
      </c>
      <c r="B381" s="928">
        <v>8</v>
      </c>
      <c r="C381" s="928">
        <v>11</v>
      </c>
      <c r="D381" s="928">
        <v>25</v>
      </c>
      <c r="E381" s="928">
        <v>5</v>
      </c>
      <c r="F381" s="928">
        <v>10</v>
      </c>
      <c r="G381" s="928">
        <v>18</v>
      </c>
      <c r="H381" s="928">
        <v>3</v>
      </c>
      <c r="I381" s="929" t="s">
        <v>3441</v>
      </c>
      <c r="J381" s="929" t="s">
        <v>4199</v>
      </c>
      <c r="K381" s="928" t="s">
        <v>1685</v>
      </c>
      <c r="L381" s="930" t="s">
        <v>1813</v>
      </c>
      <c r="M381" s="927" t="s">
        <v>3575</v>
      </c>
      <c r="N381" s="930" t="s">
        <v>1690</v>
      </c>
      <c r="O381" s="927" t="s">
        <v>3484</v>
      </c>
      <c r="P381" s="930" t="s">
        <v>1703</v>
      </c>
      <c r="Q381" s="927" t="s">
        <v>3485</v>
      </c>
      <c r="R381" s="930" t="s">
        <v>1704</v>
      </c>
      <c r="S381" s="927" t="s">
        <v>3485</v>
      </c>
      <c r="T381" s="931" t="s">
        <v>1931</v>
      </c>
      <c r="U381" s="931" t="s">
        <v>1938</v>
      </c>
      <c r="V381" s="931" t="s">
        <v>2029</v>
      </c>
      <c r="W381" s="928"/>
    </row>
    <row r="382" spans="1:23" x14ac:dyDescent="0.2">
      <c r="A382" s="769" t="s">
        <v>3631</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4318</v>
      </c>
      <c r="B383" s="928">
        <v>2</v>
      </c>
      <c r="C383" s="928">
        <v>4</v>
      </c>
      <c r="D383" s="928">
        <v>5</v>
      </c>
      <c r="E383" s="928">
        <v>1</v>
      </c>
      <c r="F383" s="928">
        <v>2</v>
      </c>
      <c r="G383" s="928">
        <v>4</v>
      </c>
      <c r="H383" s="928">
        <v>1</v>
      </c>
      <c r="I383" s="929" t="s">
        <v>3441</v>
      </c>
      <c r="J383" s="929" t="s">
        <v>4199</v>
      </c>
      <c r="K383" s="928" t="s">
        <v>1813</v>
      </c>
      <c r="L383" s="930" t="s">
        <v>1685</v>
      </c>
      <c r="M383" s="927" t="s">
        <v>3484</v>
      </c>
      <c r="N383" s="930" t="s">
        <v>1690</v>
      </c>
      <c r="O383" s="927" t="s">
        <v>3485</v>
      </c>
      <c r="P383" s="930" t="s">
        <v>1703</v>
      </c>
      <c r="Q383" s="927" t="s">
        <v>3484</v>
      </c>
      <c r="R383" s="930" t="s">
        <v>1704</v>
      </c>
      <c r="S383" s="927" t="s">
        <v>3575</v>
      </c>
      <c r="T383" s="931" t="s">
        <v>1931</v>
      </c>
      <c r="U383" s="931" t="s">
        <v>1938</v>
      </c>
      <c r="V383" s="931" t="s">
        <v>2029</v>
      </c>
      <c r="W383" s="928"/>
    </row>
    <row r="384" spans="1:23" x14ac:dyDescent="0.2">
      <c r="A384" s="927" t="s">
        <v>4319</v>
      </c>
      <c r="B384" s="928">
        <v>4</v>
      </c>
      <c r="C384" s="928">
        <v>6</v>
      </c>
      <c r="D384" s="928">
        <v>5</v>
      </c>
      <c r="E384" s="928">
        <v>2</v>
      </c>
      <c r="F384" s="928">
        <v>4</v>
      </c>
      <c r="G384" s="928">
        <v>7</v>
      </c>
      <c r="H384" s="928">
        <v>1</v>
      </c>
      <c r="I384" s="929" t="s">
        <v>3441</v>
      </c>
      <c r="J384" s="929" t="s">
        <v>4199</v>
      </c>
      <c r="K384" s="928" t="s">
        <v>1813</v>
      </c>
      <c r="L384" s="930" t="s">
        <v>1685</v>
      </c>
      <c r="M384" s="927" t="s">
        <v>3484</v>
      </c>
      <c r="N384" s="930" t="s">
        <v>1690</v>
      </c>
      <c r="O384" s="927" t="s">
        <v>3485</v>
      </c>
      <c r="P384" s="930" t="s">
        <v>1703</v>
      </c>
      <c r="Q384" s="927" t="s">
        <v>3484</v>
      </c>
      <c r="R384" s="930" t="s">
        <v>1704</v>
      </c>
      <c r="S384" s="927" t="s">
        <v>3575</v>
      </c>
      <c r="T384" s="931" t="s">
        <v>1931</v>
      </c>
      <c r="U384" s="931" t="s">
        <v>1938</v>
      </c>
      <c r="V384" s="931" t="s">
        <v>2029</v>
      </c>
      <c r="W384" s="928"/>
    </row>
    <row r="385" spans="1:23" x14ac:dyDescent="0.2">
      <c r="A385" s="927" t="s">
        <v>4320</v>
      </c>
      <c r="B385" s="928">
        <v>6</v>
      </c>
      <c r="C385" s="928">
        <v>9</v>
      </c>
      <c r="D385" s="928">
        <v>10</v>
      </c>
      <c r="E385" s="928">
        <v>3</v>
      </c>
      <c r="F385" s="928">
        <v>6</v>
      </c>
      <c r="G385" s="928">
        <v>11</v>
      </c>
      <c r="H385" s="928">
        <v>2</v>
      </c>
      <c r="I385" s="929" t="s">
        <v>3441</v>
      </c>
      <c r="J385" s="929" t="s">
        <v>4199</v>
      </c>
      <c r="K385" s="928" t="s">
        <v>1813</v>
      </c>
      <c r="L385" s="930" t="s">
        <v>1685</v>
      </c>
      <c r="M385" s="927" t="s">
        <v>3484</v>
      </c>
      <c r="N385" s="930" t="s">
        <v>1690</v>
      </c>
      <c r="O385" s="927" t="s">
        <v>3485</v>
      </c>
      <c r="P385" s="930" t="s">
        <v>1703</v>
      </c>
      <c r="Q385" s="927" t="s">
        <v>3484</v>
      </c>
      <c r="R385" s="930" t="s">
        <v>1704</v>
      </c>
      <c r="S385" s="927" t="s">
        <v>3575</v>
      </c>
      <c r="T385" s="931" t="s">
        <v>1931</v>
      </c>
      <c r="U385" s="931" t="s">
        <v>1938</v>
      </c>
      <c r="V385" s="931" t="s">
        <v>2029</v>
      </c>
      <c r="W385" s="928"/>
    </row>
    <row r="386" spans="1:23" x14ac:dyDescent="0.2">
      <c r="A386" s="927" t="s">
        <v>4321</v>
      </c>
      <c r="B386" s="928">
        <v>9</v>
      </c>
      <c r="C386" s="928">
        <v>12</v>
      </c>
      <c r="D386" s="928">
        <v>15</v>
      </c>
      <c r="E386" s="928">
        <v>4</v>
      </c>
      <c r="F386" s="928">
        <v>8</v>
      </c>
      <c r="G386" s="928">
        <v>14</v>
      </c>
      <c r="H386" s="928">
        <v>2</v>
      </c>
      <c r="I386" s="929" t="s">
        <v>3441</v>
      </c>
      <c r="J386" s="929" t="s">
        <v>4199</v>
      </c>
      <c r="K386" s="928" t="s">
        <v>1813</v>
      </c>
      <c r="L386" s="930" t="s">
        <v>1685</v>
      </c>
      <c r="M386" s="927" t="s">
        <v>3484</v>
      </c>
      <c r="N386" s="930" t="s">
        <v>1690</v>
      </c>
      <c r="O386" s="927" t="s">
        <v>3485</v>
      </c>
      <c r="P386" s="930" t="s">
        <v>1703</v>
      </c>
      <c r="Q386" s="927" t="s">
        <v>3484</v>
      </c>
      <c r="R386" s="930" t="s">
        <v>1704</v>
      </c>
      <c r="S386" s="927" t="s">
        <v>3575</v>
      </c>
      <c r="T386" s="931" t="s">
        <v>1931</v>
      </c>
      <c r="U386" s="931" t="s">
        <v>1938</v>
      </c>
      <c r="V386" s="931" t="s">
        <v>2029</v>
      </c>
      <c r="W386" s="928"/>
    </row>
    <row r="387" spans="1:23" x14ac:dyDescent="0.2">
      <c r="A387" s="927" t="s">
        <v>4322</v>
      </c>
      <c r="B387" s="928">
        <v>12</v>
      </c>
      <c r="C387" s="928">
        <v>15</v>
      </c>
      <c r="D387" s="928">
        <v>20</v>
      </c>
      <c r="E387" s="928">
        <v>5</v>
      </c>
      <c r="F387" s="928">
        <v>10</v>
      </c>
      <c r="G387" s="928">
        <v>18</v>
      </c>
      <c r="H387" s="928">
        <v>3</v>
      </c>
      <c r="I387" s="929" t="s">
        <v>3441</v>
      </c>
      <c r="J387" s="929" t="s">
        <v>4199</v>
      </c>
      <c r="K387" s="928" t="s">
        <v>1813</v>
      </c>
      <c r="L387" s="930" t="s">
        <v>1685</v>
      </c>
      <c r="M387" s="927" t="s">
        <v>3484</v>
      </c>
      <c r="N387" s="930" t="s">
        <v>1690</v>
      </c>
      <c r="O387" s="927" t="s">
        <v>3485</v>
      </c>
      <c r="P387" s="930" t="s">
        <v>1703</v>
      </c>
      <c r="Q387" s="927" t="s">
        <v>3484</v>
      </c>
      <c r="R387" s="930" t="s">
        <v>1704</v>
      </c>
      <c r="S387" s="927" t="s">
        <v>3575</v>
      </c>
      <c r="T387" s="931" t="s">
        <v>1931</v>
      </c>
      <c r="U387" s="931" t="s">
        <v>1938</v>
      </c>
      <c r="V387" s="931" t="s">
        <v>2029</v>
      </c>
      <c r="W387" s="928"/>
    </row>
    <row r="388" spans="1:23" x14ac:dyDescent="0.2">
      <c r="A388" s="927" t="s">
        <v>4323</v>
      </c>
      <c r="B388" s="928">
        <v>15</v>
      </c>
      <c r="C388" s="928">
        <v>19</v>
      </c>
      <c r="D388" s="928">
        <v>25</v>
      </c>
      <c r="E388" s="928">
        <v>6</v>
      </c>
      <c r="F388" s="928">
        <v>12</v>
      </c>
      <c r="G388" s="928">
        <v>21</v>
      </c>
      <c r="H388" s="928">
        <v>3</v>
      </c>
      <c r="I388" s="929" t="s">
        <v>3441</v>
      </c>
      <c r="J388" s="929" t="s">
        <v>4199</v>
      </c>
      <c r="K388" s="928" t="s">
        <v>1813</v>
      </c>
      <c r="L388" s="930" t="s">
        <v>1685</v>
      </c>
      <c r="M388" s="927" t="s">
        <v>3484</v>
      </c>
      <c r="N388" s="930" t="s">
        <v>1690</v>
      </c>
      <c r="O388" s="927" t="s">
        <v>3485</v>
      </c>
      <c r="P388" s="930" t="s">
        <v>1703</v>
      </c>
      <c r="Q388" s="927" t="s">
        <v>3484</v>
      </c>
      <c r="R388" s="930" t="s">
        <v>1704</v>
      </c>
      <c r="S388" s="927" t="s">
        <v>3575</v>
      </c>
      <c r="T388" s="931" t="s">
        <v>1931</v>
      </c>
      <c r="U388" s="931" t="s">
        <v>1938</v>
      </c>
      <c r="V388" s="931" t="s">
        <v>2029</v>
      </c>
      <c r="W388" s="928"/>
    </row>
    <row r="389" spans="1:23" x14ac:dyDescent="0.2">
      <c r="A389" s="769" t="s">
        <v>3636</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4324</v>
      </c>
    </row>
    <row r="390" spans="1:23" x14ac:dyDescent="0.2">
      <c r="A390" s="927" t="s">
        <v>4325</v>
      </c>
      <c r="B390" s="928">
        <v>1</v>
      </c>
      <c r="C390" s="928">
        <v>2</v>
      </c>
      <c r="D390" s="928">
        <v>5</v>
      </c>
      <c r="E390" s="928">
        <v>1</v>
      </c>
      <c r="F390" s="928">
        <v>2</v>
      </c>
      <c r="G390" s="928">
        <v>4</v>
      </c>
      <c r="H390" s="928">
        <v>1</v>
      </c>
      <c r="I390" s="929" t="s">
        <v>3436</v>
      </c>
      <c r="J390" s="929" t="s">
        <v>4199</v>
      </c>
      <c r="K390" s="928" t="s">
        <v>1685</v>
      </c>
      <c r="L390" s="930" t="s">
        <v>1813</v>
      </c>
      <c r="M390" s="927" t="s">
        <v>3575</v>
      </c>
      <c r="N390" s="930" t="s">
        <v>1703</v>
      </c>
      <c r="O390" s="927" t="s">
        <v>3575</v>
      </c>
      <c r="P390" s="930" t="s">
        <v>1704</v>
      </c>
      <c r="Q390" s="927" t="s">
        <v>3484</v>
      </c>
      <c r="R390" s="928"/>
      <c r="S390" s="928"/>
      <c r="T390" s="931" t="s">
        <v>1934</v>
      </c>
      <c r="U390" s="931" t="s">
        <v>1938</v>
      </c>
      <c r="V390" s="931" t="s">
        <v>2030</v>
      </c>
      <c r="W390" s="929"/>
    </row>
    <row r="391" spans="1:23" x14ac:dyDescent="0.2">
      <c r="A391" s="927" t="s">
        <v>4326</v>
      </c>
      <c r="B391" s="928">
        <v>2</v>
      </c>
      <c r="C391" s="928">
        <v>4</v>
      </c>
      <c r="D391" s="928">
        <v>5</v>
      </c>
      <c r="E391" s="928">
        <v>2</v>
      </c>
      <c r="F391" s="928">
        <v>4</v>
      </c>
      <c r="G391" s="928">
        <v>7</v>
      </c>
      <c r="H391" s="928">
        <v>1</v>
      </c>
      <c r="I391" s="929" t="s">
        <v>3436</v>
      </c>
      <c r="J391" s="929" t="s">
        <v>4199</v>
      </c>
      <c r="K391" s="928" t="s">
        <v>1685</v>
      </c>
      <c r="L391" s="930" t="s">
        <v>1813</v>
      </c>
      <c r="M391" s="927" t="s">
        <v>3575</v>
      </c>
      <c r="N391" s="930" t="s">
        <v>1703</v>
      </c>
      <c r="O391" s="927" t="s">
        <v>3575</v>
      </c>
      <c r="P391" s="930" t="s">
        <v>1704</v>
      </c>
      <c r="Q391" s="927" t="s">
        <v>3484</v>
      </c>
      <c r="R391" s="928"/>
      <c r="S391" s="928"/>
      <c r="T391" s="931" t="s">
        <v>1934</v>
      </c>
      <c r="U391" s="931" t="s">
        <v>1938</v>
      </c>
      <c r="V391" s="931" t="s">
        <v>2030</v>
      </c>
      <c r="W391" s="929"/>
    </row>
    <row r="392" spans="1:23" x14ac:dyDescent="0.2">
      <c r="A392" s="927" t="s">
        <v>4327</v>
      </c>
      <c r="B392" s="928">
        <v>4</v>
      </c>
      <c r="C392" s="928">
        <v>6</v>
      </c>
      <c r="D392" s="928">
        <v>5</v>
      </c>
      <c r="E392" s="928">
        <v>3</v>
      </c>
      <c r="F392" s="928">
        <v>6</v>
      </c>
      <c r="G392" s="928">
        <v>11</v>
      </c>
      <c r="H392" s="928">
        <v>1</v>
      </c>
      <c r="I392" s="929" t="s">
        <v>3436</v>
      </c>
      <c r="J392" s="929" t="s">
        <v>4199</v>
      </c>
      <c r="K392" s="928" t="s">
        <v>1685</v>
      </c>
      <c r="L392" s="930" t="s">
        <v>1813</v>
      </c>
      <c r="M392" s="927" t="s">
        <v>3575</v>
      </c>
      <c r="N392" s="930" t="s">
        <v>1703</v>
      </c>
      <c r="O392" s="927" t="s">
        <v>3575</v>
      </c>
      <c r="P392" s="930" t="s">
        <v>1704</v>
      </c>
      <c r="Q392" s="927" t="s">
        <v>3484</v>
      </c>
      <c r="R392" s="928"/>
      <c r="S392" s="928"/>
      <c r="T392" s="931" t="s">
        <v>1934</v>
      </c>
      <c r="U392" s="931" t="s">
        <v>1938</v>
      </c>
      <c r="V392" s="931" t="s">
        <v>2030</v>
      </c>
      <c r="W392" s="929"/>
    </row>
    <row r="393" spans="1:23" x14ac:dyDescent="0.2">
      <c r="A393" s="927" t="s">
        <v>4328</v>
      </c>
      <c r="B393" s="928">
        <v>6</v>
      </c>
      <c r="C393" s="928">
        <v>9</v>
      </c>
      <c r="D393" s="928">
        <v>10</v>
      </c>
      <c r="E393" s="928">
        <v>4</v>
      </c>
      <c r="F393" s="928">
        <v>8</v>
      </c>
      <c r="G393" s="928">
        <v>14</v>
      </c>
      <c r="H393" s="928">
        <v>1</v>
      </c>
      <c r="I393" s="929" t="s">
        <v>3436</v>
      </c>
      <c r="J393" s="929" t="s">
        <v>4199</v>
      </c>
      <c r="K393" s="928" t="s">
        <v>1685</v>
      </c>
      <c r="L393" s="930" t="s">
        <v>1813</v>
      </c>
      <c r="M393" s="927" t="s">
        <v>3575</v>
      </c>
      <c r="N393" s="930" t="s">
        <v>1703</v>
      </c>
      <c r="O393" s="927" t="s">
        <v>3575</v>
      </c>
      <c r="P393" s="930" t="s">
        <v>1704</v>
      </c>
      <c r="Q393" s="927" t="s">
        <v>3484</v>
      </c>
      <c r="R393" s="928"/>
      <c r="S393" s="928"/>
      <c r="T393" s="931" t="s">
        <v>1934</v>
      </c>
      <c r="U393" s="931" t="s">
        <v>1938</v>
      </c>
      <c r="V393" s="931" t="s">
        <v>2030</v>
      </c>
      <c r="W393" s="929"/>
    </row>
    <row r="394" spans="1:23" x14ac:dyDescent="0.2">
      <c r="A394" s="927" t="s">
        <v>4329</v>
      </c>
      <c r="B394" s="928">
        <v>8</v>
      </c>
      <c r="C394" s="928">
        <v>11</v>
      </c>
      <c r="D394" s="928">
        <v>15</v>
      </c>
      <c r="E394" s="928">
        <v>5</v>
      </c>
      <c r="F394" s="928">
        <v>10</v>
      </c>
      <c r="G394" s="928">
        <v>18</v>
      </c>
      <c r="H394" s="928">
        <v>2</v>
      </c>
      <c r="I394" s="929" t="s">
        <v>3436</v>
      </c>
      <c r="J394" s="929" t="s">
        <v>4199</v>
      </c>
      <c r="K394" s="928" t="s">
        <v>1685</v>
      </c>
      <c r="L394" s="930" t="s">
        <v>1813</v>
      </c>
      <c r="M394" s="927" t="s">
        <v>3575</v>
      </c>
      <c r="N394" s="930" t="s">
        <v>1703</v>
      </c>
      <c r="O394" s="927" t="s">
        <v>3575</v>
      </c>
      <c r="P394" s="930" t="s">
        <v>1704</v>
      </c>
      <c r="Q394" s="927" t="s">
        <v>3484</v>
      </c>
      <c r="R394" s="928"/>
      <c r="S394" s="928"/>
      <c r="T394" s="931" t="s">
        <v>1934</v>
      </c>
      <c r="U394" s="931" t="s">
        <v>1938</v>
      </c>
      <c r="V394" s="931" t="s">
        <v>2030</v>
      </c>
      <c r="W394" s="929"/>
    </row>
    <row r="395" spans="1:23" x14ac:dyDescent="0.2">
      <c r="A395" s="927" t="s">
        <v>4330</v>
      </c>
      <c r="B395" s="928">
        <v>10</v>
      </c>
      <c r="C395" s="928">
        <v>13</v>
      </c>
      <c r="D395" s="928">
        <v>20</v>
      </c>
      <c r="E395" s="928">
        <v>6</v>
      </c>
      <c r="F395" s="928">
        <v>12</v>
      </c>
      <c r="G395" s="928">
        <v>21</v>
      </c>
      <c r="H395" s="928">
        <v>2</v>
      </c>
      <c r="I395" s="929" t="s">
        <v>3436</v>
      </c>
      <c r="J395" s="929" t="s">
        <v>4199</v>
      </c>
      <c r="K395" s="928" t="s">
        <v>1685</v>
      </c>
      <c r="L395" s="930" t="s">
        <v>1813</v>
      </c>
      <c r="M395" s="927" t="s">
        <v>3575</v>
      </c>
      <c r="N395" s="930" t="s">
        <v>1703</v>
      </c>
      <c r="O395" s="927" t="s">
        <v>3575</v>
      </c>
      <c r="P395" s="930" t="s">
        <v>1704</v>
      </c>
      <c r="Q395" s="927" t="s">
        <v>3484</v>
      </c>
      <c r="R395" s="928"/>
      <c r="S395" s="928"/>
      <c r="T395" s="931" t="s">
        <v>1934</v>
      </c>
      <c r="U395" s="931" t="s">
        <v>1938</v>
      </c>
      <c r="V395" s="931" t="s">
        <v>2030</v>
      </c>
      <c r="W395" s="929"/>
    </row>
    <row r="396" spans="1:23" x14ac:dyDescent="0.2">
      <c r="A396" s="927" t="s">
        <v>4331</v>
      </c>
      <c r="B396" s="928">
        <v>12</v>
      </c>
      <c r="C396" s="928">
        <v>15</v>
      </c>
      <c r="D396" s="928">
        <v>25</v>
      </c>
      <c r="E396" s="928">
        <v>7</v>
      </c>
      <c r="F396" s="928">
        <v>14</v>
      </c>
      <c r="G396" s="928">
        <v>25</v>
      </c>
      <c r="H396" s="928">
        <v>3</v>
      </c>
      <c r="I396" s="929" t="s">
        <v>3436</v>
      </c>
      <c r="J396" s="929" t="s">
        <v>4199</v>
      </c>
      <c r="K396" s="928" t="s">
        <v>1685</v>
      </c>
      <c r="L396" s="930" t="s">
        <v>1813</v>
      </c>
      <c r="M396" s="927" t="s">
        <v>3575</v>
      </c>
      <c r="N396" s="930" t="s">
        <v>1703</v>
      </c>
      <c r="O396" s="927" t="s">
        <v>3575</v>
      </c>
      <c r="P396" s="930" t="s">
        <v>1704</v>
      </c>
      <c r="Q396" s="927" t="s">
        <v>3484</v>
      </c>
      <c r="R396" s="928"/>
      <c r="S396" s="928"/>
      <c r="T396" s="931" t="s">
        <v>1934</v>
      </c>
      <c r="U396" s="931" t="s">
        <v>1938</v>
      </c>
      <c r="V396" s="931" t="s">
        <v>2030</v>
      </c>
      <c r="W396" s="929"/>
    </row>
    <row r="397" spans="1:23" x14ac:dyDescent="0.2">
      <c r="A397" s="927" t="s">
        <v>4332</v>
      </c>
      <c r="B397" s="928">
        <v>14</v>
      </c>
      <c r="C397" s="928">
        <v>18</v>
      </c>
      <c r="D397" s="928">
        <v>30</v>
      </c>
      <c r="E397" s="928">
        <v>8</v>
      </c>
      <c r="F397" s="928">
        <v>16</v>
      </c>
      <c r="G397" s="928">
        <v>28</v>
      </c>
      <c r="H397" s="928">
        <v>3</v>
      </c>
      <c r="I397" s="929" t="s">
        <v>3436</v>
      </c>
      <c r="J397" s="929" t="s">
        <v>4199</v>
      </c>
      <c r="K397" s="928" t="s">
        <v>1685</v>
      </c>
      <c r="L397" s="930" t="s">
        <v>1813</v>
      </c>
      <c r="M397" s="927" t="s">
        <v>3575</v>
      </c>
      <c r="N397" s="930" t="s">
        <v>1703</v>
      </c>
      <c r="O397" s="927" t="s">
        <v>3575</v>
      </c>
      <c r="P397" s="930" t="s">
        <v>1704</v>
      </c>
      <c r="Q397" s="927" t="s">
        <v>3484</v>
      </c>
      <c r="R397" s="928"/>
      <c r="S397" s="928"/>
      <c r="T397" s="931" t="s">
        <v>1934</v>
      </c>
      <c r="U397" s="931" t="s">
        <v>1938</v>
      </c>
      <c r="V397" s="931" t="s">
        <v>2030</v>
      </c>
      <c r="W397" s="929"/>
    </row>
    <row r="398" spans="1:23" x14ac:dyDescent="0.2">
      <c r="A398" s="769" t="s">
        <v>3641</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4324</v>
      </c>
    </row>
    <row r="399" spans="1:23" x14ac:dyDescent="0.2">
      <c r="A399" s="927" t="s">
        <v>4333</v>
      </c>
      <c r="B399" s="928">
        <v>1</v>
      </c>
      <c r="C399" s="928">
        <v>2</v>
      </c>
      <c r="D399" s="928">
        <v>5</v>
      </c>
      <c r="E399" s="928">
        <v>1</v>
      </c>
      <c r="F399" s="928">
        <v>2</v>
      </c>
      <c r="G399" s="928">
        <v>4</v>
      </c>
      <c r="H399" s="928">
        <v>1</v>
      </c>
      <c r="I399" s="929" t="s">
        <v>3436</v>
      </c>
      <c r="J399" s="929" t="s">
        <v>4199</v>
      </c>
      <c r="K399" s="928" t="s">
        <v>1695</v>
      </c>
      <c r="L399" s="930" t="s">
        <v>1813</v>
      </c>
      <c r="M399" s="927" t="s">
        <v>3575</v>
      </c>
      <c r="N399" s="930" t="s">
        <v>1703</v>
      </c>
      <c r="O399" s="927" t="s">
        <v>3575</v>
      </c>
      <c r="P399" s="930" t="s">
        <v>1704</v>
      </c>
      <c r="Q399" s="927" t="s">
        <v>3484</v>
      </c>
      <c r="R399" s="928"/>
      <c r="S399" s="928"/>
      <c r="T399" s="931" t="s">
        <v>1934</v>
      </c>
      <c r="U399" s="931" t="s">
        <v>1938</v>
      </c>
      <c r="V399" s="931" t="s">
        <v>2030</v>
      </c>
      <c r="W399" s="929"/>
    </row>
    <row r="400" spans="1:23" x14ac:dyDescent="0.2">
      <c r="A400" s="927" t="s">
        <v>4334</v>
      </c>
      <c r="B400" s="928">
        <v>2</v>
      </c>
      <c r="C400" s="928">
        <v>4</v>
      </c>
      <c r="D400" s="928">
        <v>5</v>
      </c>
      <c r="E400" s="928">
        <v>2</v>
      </c>
      <c r="F400" s="928">
        <v>4</v>
      </c>
      <c r="G400" s="928">
        <v>7</v>
      </c>
      <c r="H400" s="928">
        <v>1</v>
      </c>
      <c r="I400" s="929" t="s">
        <v>3436</v>
      </c>
      <c r="J400" s="929" t="s">
        <v>4199</v>
      </c>
      <c r="K400" s="928" t="s">
        <v>1695</v>
      </c>
      <c r="L400" s="930" t="s">
        <v>1813</v>
      </c>
      <c r="M400" s="927" t="s">
        <v>3575</v>
      </c>
      <c r="N400" s="930" t="s">
        <v>1703</v>
      </c>
      <c r="O400" s="927" t="s">
        <v>3575</v>
      </c>
      <c r="P400" s="930" t="s">
        <v>1704</v>
      </c>
      <c r="Q400" s="927" t="s">
        <v>3484</v>
      </c>
      <c r="R400" s="928"/>
      <c r="S400" s="928"/>
      <c r="T400" s="931" t="s">
        <v>1934</v>
      </c>
      <c r="U400" s="931" t="s">
        <v>1938</v>
      </c>
      <c r="V400" s="931" t="s">
        <v>2030</v>
      </c>
      <c r="W400" s="929"/>
    </row>
    <row r="401" spans="1:23" x14ac:dyDescent="0.2">
      <c r="A401" s="927" t="s">
        <v>4335</v>
      </c>
      <c r="B401" s="928">
        <v>4</v>
      </c>
      <c r="C401" s="928">
        <v>6</v>
      </c>
      <c r="D401" s="928">
        <v>5</v>
      </c>
      <c r="E401" s="928">
        <v>3</v>
      </c>
      <c r="F401" s="928">
        <v>6</v>
      </c>
      <c r="G401" s="928">
        <v>11</v>
      </c>
      <c r="H401" s="928">
        <v>1</v>
      </c>
      <c r="I401" s="929" t="s">
        <v>3436</v>
      </c>
      <c r="J401" s="929" t="s">
        <v>4199</v>
      </c>
      <c r="K401" s="928" t="s">
        <v>1695</v>
      </c>
      <c r="L401" s="930" t="s">
        <v>1813</v>
      </c>
      <c r="M401" s="927" t="s">
        <v>3575</v>
      </c>
      <c r="N401" s="930" t="s">
        <v>1703</v>
      </c>
      <c r="O401" s="927" t="s">
        <v>3575</v>
      </c>
      <c r="P401" s="930" t="s">
        <v>1704</v>
      </c>
      <c r="Q401" s="927" t="s">
        <v>3484</v>
      </c>
      <c r="R401" s="928"/>
      <c r="S401" s="928"/>
      <c r="T401" s="931" t="s">
        <v>1934</v>
      </c>
      <c r="U401" s="931" t="s">
        <v>1938</v>
      </c>
      <c r="V401" s="931" t="s">
        <v>2030</v>
      </c>
      <c r="W401" s="929"/>
    </row>
    <row r="402" spans="1:23" x14ac:dyDescent="0.2">
      <c r="A402" s="927" t="s">
        <v>4336</v>
      </c>
      <c r="B402" s="928">
        <v>6</v>
      </c>
      <c r="C402" s="928">
        <v>9</v>
      </c>
      <c r="D402" s="928">
        <v>10</v>
      </c>
      <c r="E402" s="928">
        <v>4</v>
      </c>
      <c r="F402" s="928">
        <v>8</v>
      </c>
      <c r="G402" s="928">
        <v>14</v>
      </c>
      <c r="H402" s="928">
        <v>1</v>
      </c>
      <c r="I402" s="929" t="s">
        <v>3436</v>
      </c>
      <c r="J402" s="929" t="s">
        <v>4199</v>
      </c>
      <c r="K402" s="928" t="s">
        <v>1695</v>
      </c>
      <c r="L402" s="930" t="s">
        <v>1813</v>
      </c>
      <c r="M402" s="927" t="s">
        <v>3575</v>
      </c>
      <c r="N402" s="930" t="s">
        <v>1703</v>
      </c>
      <c r="O402" s="927" t="s">
        <v>3575</v>
      </c>
      <c r="P402" s="930" t="s">
        <v>1704</v>
      </c>
      <c r="Q402" s="927" t="s">
        <v>3484</v>
      </c>
      <c r="R402" s="928"/>
      <c r="S402" s="928"/>
      <c r="T402" s="931" t="s">
        <v>1934</v>
      </c>
      <c r="U402" s="931" t="s">
        <v>1938</v>
      </c>
      <c r="V402" s="931" t="s">
        <v>2030</v>
      </c>
      <c r="W402" s="929"/>
    </row>
    <row r="403" spans="1:23" x14ac:dyDescent="0.2">
      <c r="A403" s="927" t="s">
        <v>4337</v>
      </c>
      <c r="B403" s="928">
        <v>8</v>
      </c>
      <c r="C403" s="928">
        <v>11</v>
      </c>
      <c r="D403" s="928">
        <v>15</v>
      </c>
      <c r="E403" s="928">
        <v>5</v>
      </c>
      <c r="F403" s="928">
        <v>10</v>
      </c>
      <c r="G403" s="928">
        <v>18</v>
      </c>
      <c r="H403" s="928">
        <v>2</v>
      </c>
      <c r="I403" s="929" t="s">
        <v>3436</v>
      </c>
      <c r="J403" s="929" t="s">
        <v>4199</v>
      </c>
      <c r="K403" s="928" t="s">
        <v>1695</v>
      </c>
      <c r="L403" s="930" t="s">
        <v>1813</v>
      </c>
      <c r="M403" s="927" t="s">
        <v>3575</v>
      </c>
      <c r="N403" s="930" t="s">
        <v>1703</v>
      </c>
      <c r="O403" s="927" t="s">
        <v>3575</v>
      </c>
      <c r="P403" s="930" t="s">
        <v>1704</v>
      </c>
      <c r="Q403" s="927" t="s">
        <v>3484</v>
      </c>
      <c r="R403" s="928"/>
      <c r="S403" s="928"/>
      <c r="T403" s="931" t="s">
        <v>1934</v>
      </c>
      <c r="U403" s="931" t="s">
        <v>1938</v>
      </c>
      <c r="V403" s="931" t="s">
        <v>2030</v>
      </c>
      <c r="W403" s="929"/>
    </row>
    <row r="404" spans="1:23" x14ac:dyDescent="0.2">
      <c r="A404" s="927" t="s">
        <v>4338</v>
      </c>
      <c r="B404" s="928">
        <v>10</v>
      </c>
      <c r="C404" s="928">
        <v>13</v>
      </c>
      <c r="D404" s="928">
        <v>20</v>
      </c>
      <c r="E404" s="928">
        <v>6</v>
      </c>
      <c r="F404" s="928">
        <v>12</v>
      </c>
      <c r="G404" s="928">
        <v>21</v>
      </c>
      <c r="H404" s="928">
        <v>2</v>
      </c>
      <c r="I404" s="929" t="s">
        <v>3436</v>
      </c>
      <c r="J404" s="929" t="s">
        <v>4199</v>
      </c>
      <c r="K404" s="928" t="s">
        <v>1695</v>
      </c>
      <c r="L404" s="930" t="s">
        <v>1813</v>
      </c>
      <c r="M404" s="927" t="s">
        <v>3575</v>
      </c>
      <c r="N404" s="930" t="s">
        <v>1703</v>
      </c>
      <c r="O404" s="927" t="s">
        <v>3575</v>
      </c>
      <c r="P404" s="930" t="s">
        <v>1704</v>
      </c>
      <c r="Q404" s="927" t="s">
        <v>3484</v>
      </c>
      <c r="R404" s="928"/>
      <c r="S404" s="928"/>
      <c r="T404" s="931" t="s">
        <v>1934</v>
      </c>
      <c r="U404" s="931" t="s">
        <v>1938</v>
      </c>
      <c r="V404" s="931" t="s">
        <v>2030</v>
      </c>
      <c r="W404" s="929"/>
    </row>
    <row r="405" spans="1:23" x14ac:dyDescent="0.2">
      <c r="A405" s="927" t="s">
        <v>4339</v>
      </c>
      <c r="B405" s="928">
        <v>12</v>
      </c>
      <c r="C405" s="928">
        <v>15</v>
      </c>
      <c r="D405" s="928">
        <v>25</v>
      </c>
      <c r="E405" s="928">
        <v>7</v>
      </c>
      <c r="F405" s="928">
        <v>14</v>
      </c>
      <c r="G405" s="928">
        <v>25</v>
      </c>
      <c r="H405" s="928">
        <v>3</v>
      </c>
      <c r="I405" s="929" t="s">
        <v>3436</v>
      </c>
      <c r="J405" s="929" t="s">
        <v>4199</v>
      </c>
      <c r="K405" s="928" t="s">
        <v>1695</v>
      </c>
      <c r="L405" s="930" t="s">
        <v>1813</v>
      </c>
      <c r="M405" s="927" t="s">
        <v>3575</v>
      </c>
      <c r="N405" s="930" t="s">
        <v>1703</v>
      </c>
      <c r="O405" s="927" t="s">
        <v>3575</v>
      </c>
      <c r="P405" s="930" t="s">
        <v>1704</v>
      </c>
      <c r="Q405" s="927" t="s">
        <v>3484</v>
      </c>
      <c r="R405" s="928"/>
      <c r="S405" s="928"/>
      <c r="T405" s="931" t="s">
        <v>1934</v>
      </c>
      <c r="U405" s="931" t="s">
        <v>1938</v>
      </c>
      <c r="V405" s="931" t="s">
        <v>2030</v>
      </c>
      <c r="W405" s="929"/>
    </row>
    <row r="406" spans="1:23" x14ac:dyDescent="0.2">
      <c r="A406" s="927" t="s">
        <v>4340</v>
      </c>
      <c r="B406" s="928">
        <v>14</v>
      </c>
      <c r="C406" s="928">
        <v>18</v>
      </c>
      <c r="D406" s="928">
        <v>30</v>
      </c>
      <c r="E406" s="928">
        <v>8</v>
      </c>
      <c r="F406" s="928">
        <v>16</v>
      </c>
      <c r="G406" s="928">
        <v>28</v>
      </c>
      <c r="H406" s="928">
        <v>3</v>
      </c>
      <c r="I406" s="929" t="s">
        <v>3436</v>
      </c>
      <c r="J406" s="929" t="s">
        <v>4199</v>
      </c>
      <c r="K406" s="928" t="s">
        <v>1695</v>
      </c>
      <c r="L406" s="930" t="s">
        <v>1813</v>
      </c>
      <c r="M406" s="927" t="s">
        <v>3575</v>
      </c>
      <c r="N406" s="930" t="s">
        <v>1703</v>
      </c>
      <c r="O406" s="927" t="s">
        <v>3575</v>
      </c>
      <c r="P406" s="930" t="s">
        <v>1704</v>
      </c>
      <c r="Q406" s="927" t="s">
        <v>3484</v>
      </c>
      <c r="R406" s="928"/>
      <c r="S406" s="928"/>
      <c r="T406" s="931" t="s">
        <v>1934</v>
      </c>
      <c r="U406" s="931" t="s">
        <v>1938</v>
      </c>
      <c r="V406" s="931" t="s">
        <v>2030</v>
      </c>
      <c r="W406" s="929"/>
    </row>
    <row r="407" spans="1:23" x14ac:dyDescent="0.2">
      <c r="A407" s="769" t="s">
        <v>3646</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4324</v>
      </c>
    </row>
    <row r="408" spans="1:23" x14ac:dyDescent="0.2">
      <c r="A408" s="927" t="s">
        <v>4341</v>
      </c>
      <c r="B408" s="928">
        <v>1</v>
      </c>
      <c r="C408" s="928">
        <v>2</v>
      </c>
      <c r="D408" s="928">
        <v>5</v>
      </c>
      <c r="E408" s="928">
        <v>1</v>
      </c>
      <c r="F408" s="928">
        <v>2</v>
      </c>
      <c r="G408" s="928">
        <v>4</v>
      </c>
      <c r="H408" s="928">
        <v>1</v>
      </c>
      <c r="I408" s="929" t="s">
        <v>3436</v>
      </c>
      <c r="J408" s="929" t="s">
        <v>4199</v>
      </c>
      <c r="K408" s="928" t="s">
        <v>1690</v>
      </c>
      <c r="L408" s="930" t="s">
        <v>1813</v>
      </c>
      <c r="M408" s="927" t="s">
        <v>3575</v>
      </c>
      <c r="N408" s="930" t="s">
        <v>1703</v>
      </c>
      <c r="O408" s="927" t="s">
        <v>3575</v>
      </c>
      <c r="P408" s="930" t="s">
        <v>1704</v>
      </c>
      <c r="Q408" s="927" t="s">
        <v>3484</v>
      </c>
      <c r="R408" s="928"/>
      <c r="S408" s="928"/>
      <c r="T408" s="931" t="s">
        <v>1934</v>
      </c>
      <c r="U408" s="931" t="s">
        <v>1938</v>
      </c>
      <c r="V408" s="931" t="s">
        <v>2030</v>
      </c>
      <c r="W408" s="928"/>
    </row>
    <row r="409" spans="1:23" x14ac:dyDescent="0.2">
      <c r="A409" s="927" t="s">
        <v>4342</v>
      </c>
      <c r="B409" s="928">
        <v>2</v>
      </c>
      <c r="C409" s="928">
        <v>4</v>
      </c>
      <c r="D409" s="928">
        <v>5</v>
      </c>
      <c r="E409" s="928">
        <v>2</v>
      </c>
      <c r="F409" s="928">
        <v>4</v>
      </c>
      <c r="G409" s="928">
        <v>7</v>
      </c>
      <c r="H409" s="928">
        <v>1</v>
      </c>
      <c r="I409" s="929" t="s">
        <v>3436</v>
      </c>
      <c r="J409" s="929" t="s">
        <v>4199</v>
      </c>
      <c r="K409" s="928" t="s">
        <v>1690</v>
      </c>
      <c r="L409" s="930" t="s">
        <v>1813</v>
      </c>
      <c r="M409" s="927" t="s">
        <v>3575</v>
      </c>
      <c r="N409" s="930" t="s">
        <v>1703</v>
      </c>
      <c r="O409" s="927" t="s">
        <v>3575</v>
      </c>
      <c r="P409" s="930" t="s">
        <v>1704</v>
      </c>
      <c r="Q409" s="927" t="s">
        <v>3484</v>
      </c>
      <c r="R409" s="928"/>
      <c r="S409" s="928"/>
      <c r="T409" s="931" t="s">
        <v>1934</v>
      </c>
      <c r="U409" s="931" t="s">
        <v>1938</v>
      </c>
      <c r="V409" s="931" t="s">
        <v>2030</v>
      </c>
      <c r="W409" s="928"/>
    </row>
    <row r="410" spans="1:23" x14ac:dyDescent="0.2">
      <c r="A410" s="927" t="s">
        <v>4343</v>
      </c>
      <c r="B410" s="928">
        <v>4</v>
      </c>
      <c r="C410" s="928">
        <v>6</v>
      </c>
      <c r="D410" s="928">
        <v>5</v>
      </c>
      <c r="E410" s="928">
        <v>3</v>
      </c>
      <c r="F410" s="928">
        <v>6</v>
      </c>
      <c r="G410" s="928">
        <v>11</v>
      </c>
      <c r="H410" s="928">
        <v>1</v>
      </c>
      <c r="I410" s="929" t="s">
        <v>3436</v>
      </c>
      <c r="J410" s="929" t="s">
        <v>4199</v>
      </c>
      <c r="K410" s="928" t="s">
        <v>1690</v>
      </c>
      <c r="L410" s="930" t="s">
        <v>1813</v>
      </c>
      <c r="M410" s="927" t="s">
        <v>3575</v>
      </c>
      <c r="N410" s="930" t="s">
        <v>1703</v>
      </c>
      <c r="O410" s="927" t="s">
        <v>3575</v>
      </c>
      <c r="P410" s="930" t="s">
        <v>1704</v>
      </c>
      <c r="Q410" s="927" t="s">
        <v>3484</v>
      </c>
      <c r="R410" s="928"/>
      <c r="S410" s="928"/>
      <c r="T410" s="931" t="s">
        <v>1934</v>
      </c>
      <c r="U410" s="931" t="s">
        <v>1938</v>
      </c>
      <c r="V410" s="931" t="s">
        <v>2030</v>
      </c>
      <c r="W410" s="928"/>
    </row>
    <row r="411" spans="1:23" x14ac:dyDescent="0.2">
      <c r="A411" s="927" t="s">
        <v>4344</v>
      </c>
      <c r="B411" s="928">
        <v>6</v>
      </c>
      <c r="C411" s="928">
        <v>9</v>
      </c>
      <c r="D411" s="928">
        <v>10</v>
      </c>
      <c r="E411" s="928">
        <v>4</v>
      </c>
      <c r="F411" s="928">
        <v>8</v>
      </c>
      <c r="G411" s="928">
        <v>14</v>
      </c>
      <c r="H411" s="928">
        <v>1</v>
      </c>
      <c r="I411" s="929" t="s">
        <v>3436</v>
      </c>
      <c r="J411" s="929" t="s">
        <v>4199</v>
      </c>
      <c r="K411" s="928" t="s">
        <v>1690</v>
      </c>
      <c r="L411" s="930" t="s">
        <v>1813</v>
      </c>
      <c r="M411" s="927" t="s">
        <v>3575</v>
      </c>
      <c r="N411" s="930" t="s">
        <v>1703</v>
      </c>
      <c r="O411" s="927" t="s">
        <v>3575</v>
      </c>
      <c r="P411" s="930" t="s">
        <v>1704</v>
      </c>
      <c r="Q411" s="927" t="s">
        <v>3484</v>
      </c>
      <c r="R411" s="928"/>
      <c r="S411" s="928"/>
      <c r="T411" s="931" t="s">
        <v>1934</v>
      </c>
      <c r="U411" s="931" t="s">
        <v>1938</v>
      </c>
      <c r="V411" s="931" t="s">
        <v>2030</v>
      </c>
      <c r="W411" s="928"/>
    </row>
    <row r="412" spans="1:23" x14ac:dyDescent="0.2">
      <c r="A412" s="927" t="s">
        <v>4345</v>
      </c>
      <c r="B412" s="928">
        <v>8</v>
      </c>
      <c r="C412" s="928">
        <v>11</v>
      </c>
      <c r="D412" s="928">
        <v>15</v>
      </c>
      <c r="E412" s="928">
        <v>5</v>
      </c>
      <c r="F412" s="928">
        <v>10</v>
      </c>
      <c r="G412" s="928">
        <v>18</v>
      </c>
      <c r="H412" s="928">
        <v>2</v>
      </c>
      <c r="I412" s="929" t="s">
        <v>3436</v>
      </c>
      <c r="J412" s="929" t="s">
        <v>4199</v>
      </c>
      <c r="K412" s="928" t="s">
        <v>1690</v>
      </c>
      <c r="L412" s="930" t="s">
        <v>1813</v>
      </c>
      <c r="M412" s="927" t="s">
        <v>3575</v>
      </c>
      <c r="N412" s="930" t="s">
        <v>1703</v>
      </c>
      <c r="O412" s="927" t="s">
        <v>3575</v>
      </c>
      <c r="P412" s="930" t="s">
        <v>1704</v>
      </c>
      <c r="Q412" s="927" t="s">
        <v>3484</v>
      </c>
      <c r="R412" s="928"/>
      <c r="S412" s="928"/>
      <c r="T412" s="931" t="s">
        <v>1934</v>
      </c>
      <c r="U412" s="931" t="s">
        <v>1938</v>
      </c>
      <c r="V412" s="931" t="s">
        <v>2030</v>
      </c>
      <c r="W412" s="928"/>
    </row>
    <row r="413" spans="1:23" x14ac:dyDescent="0.2">
      <c r="A413" s="927" t="s">
        <v>4346</v>
      </c>
      <c r="B413" s="928">
        <v>10</v>
      </c>
      <c r="C413" s="928">
        <v>13</v>
      </c>
      <c r="D413" s="928">
        <v>20</v>
      </c>
      <c r="E413" s="928">
        <v>6</v>
      </c>
      <c r="F413" s="928">
        <v>12</v>
      </c>
      <c r="G413" s="928">
        <v>21</v>
      </c>
      <c r="H413" s="928">
        <v>2</v>
      </c>
      <c r="I413" s="929" t="s">
        <v>3436</v>
      </c>
      <c r="J413" s="929" t="s">
        <v>4199</v>
      </c>
      <c r="K413" s="928" t="s">
        <v>1690</v>
      </c>
      <c r="L413" s="930" t="s">
        <v>1813</v>
      </c>
      <c r="M413" s="927" t="s">
        <v>3575</v>
      </c>
      <c r="N413" s="930" t="s">
        <v>1703</v>
      </c>
      <c r="O413" s="927" t="s">
        <v>3575</v>
      </c>
      <c r="P413" s="930" t="s">
        <v>1704</v>
      </c>
      <c r="Q413" s="927" t="s">
        <v>3484</v>
      </c>
      <c r="R413" s="928"/>
      <c r="S413" s="928"/>
      <c r="T413" s="931" t="s">
        <v>1934</v>
      </c>
      <c r="U413" s="931" t="s">
        <v>1938</v>
      </c>
      <c r="V413" s="931" t="s">
        <v>2030</v>
      </c>
      <c r="W413" s="928"/>
    </row>
    <row r="414" spans="1:23" x14ac:dyDescent="0.2">
      <c r="A414" s="927" t="s">
        <v>4347</v>
      </c>
      <c r="B414" s="928">
        <v>12</v>
      </c>
      <c r="C414" s="928">
        <v>15</v>
      </c>
      <c r="D414" s="928">
        <v>25</v>
      </c>
      <c r="E414" s="928">
        <v>7</v>
      </c>
      <c r="F414" s="928">
        <v>14</v>
      </c>
      <c r="G414" s="928">
        <v>25</v>
      </c>
      <c r="H414" s="928">
        <v>3</v>
      </c>
      <c r="I414" s="929" t="s">
        <v>3436</v>
      </c>
      <c r="J414" s="929" t="s">
        <v>4199</v>
      </c>
      <c r="K414" s="928" t="s">
        <v>1690</v>
      </c>
      <c r="L414" s="930" t="s">
        <v>1813</v>
      </c>
      <c r="M414" s="927" t="s">
        <v>3575</v>
      </c>
      <c r="N414" s="930" t="s">
        <v>1703</v>
      </c>
      <c r="O414" s="927" t="s">
        <v>3575</v>
      </c>
      <c r="P414" s="930" t="s">
        <v>1704</v>
      </c>
      <c r="Q414" s="927" t="s">
        <v>3484</v>
      </c>
      <c r="R414" s="928"/>
      <c r="S414" s="928"/>
      <c r="T414" s="931" t="s">
        <v>1934</v>
      </c>
      <c r="U414" s="931" t="s">
        <v>1938</v>
      </c>
      <c r="V414" s="931" t="s">
        <v>2030</v>
      </c>
      <c r="W414" s="928"/>
    </row>
    <row r="415" spans="1:23" x14ac:dyDescent="0.2">
      <c r="A415" s="927" t="s">
        <v>4348</v>
      </c>
      <c r="B415" s="928">
        <v>14</v>
      </c>
      <c r="C415" s="928">
        <v>18</v>
      </c>
      <c r="D415" s="928">
        <v>30</v>
      </c>
      <c r="E415" s="928">
        <v>8</v>
      </c>
      <c r="F415" s="928">
        <v>16</v>
      </c>
      <c r="G415" s="928">
        <v>28</v>
      </c>
      <c r="H415" s="928">
        <v>3</v>
      </c>
      <c r="I415" s="929" t="s">
        <v>3436</v>
      </c>
      <c r="J415" s="929" t="s">
        <v>4199</v>
      </c>
      <c r="K415" s="928" t="s">
        <v>1690</v>
      </c>
      <c r="L415" s="930" t="s">
        <v>1813</v>
      </c>
      <c r="M415" s="927" t="s">
        <v>3575</v>
      </c>
      <c r="N415" s="930" t="s">
        <v>1703</v>
      </c>
      <c r="O415" s="927" t="s">
        <v>3575</v>
      </c>
      <c r="P415" s="930" t="s">
        <v>1704</v>
      </c>
      <c r="Q415" s="927" t="s">
        <v>3484</v>
      </c>
      <c r="R415" s="928"/>
      <c r="S415" s="928"/>
      <c r="T415" s="931" t="s">
        <v>1934</v>
      </c>
      <c r="U415" s="931" t="s">
        <v>1938</v>
      </c>
      <c r="V415" s="931" t="s">
        <v>2030</v>
      </c>
      <c r="W415" s="928"/>
    </row>
    <row r="416" spans="1:23" x14ac:dyDescent="0.2">
      <c r="A416" s="769" t="s">
        <v>3651</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4349</v>
      </c>
      <c r="B417" s="928">
        <v>1</v>
      </c>
      <c r="C417" s="928">
        <v>2</v>
      </c>
      <c r="D417" s="928">
        <v>5</v>
      </c>
      <c r="E417" s="928">
        <v>1</v>
      </c>
      <c r="F417" s="928">
        <v>2</v>
      </c>
      <c r="G417" s="928">
        <v>4</v>
      </c>
      <c r="H417" s="928">
        <v>1</v>
      </c>
      <c r="I417" s="929" t="s">
        <v>3441</v>
      </c>
      <c r="J417" s="929" t="s">
        <v>4199</v>
      </c>
      <c r="K417" s="928" t="s">
        <v>1813</v>
      </c>
      <c r="L417" s="930" t="s">
        <v>1690</v>
      </c>
      <c r="M417" s="927" t="s">
        <v>3485</v>
      </c>
      <c r="N417" s="930" t="s">
        <v>1695</v>
      </c>
      <c r="O417" s="927" t="s">
        <v>3484</v>
      </c>
      <c r="P417" s="930" t="s">
        <v>1703</v>
      </c>
      <c r="Q417" s="927" t="s">
        <v>3575</v>
      </c>
      <c r="R417" s="930" t="s">
        <v>1704</v>
      </c>
      <c r="S417" s="927" t="s">
        <v>3575</v>
      </c>
      <c r="T417" s="931" t="s">
        <v>1934</v>
      </c>
      <c r="U417" s="931" t="s">
        <v>2029</v>
      </c>
      <c r="V417" s="931" t="s">
        <v>2034</v>
      </c>
      <c r="W417" s="928"/>
    </row>
    <row r="418" spans="1:23" x14ac:dyDescent="0.2">
      <c r="A418" s="927" t="s">
        <v>4350</v>
      </c>
      <c r="B418" s="928">
        <v>2</v>
      </c>
      <c r="C418" s="928">
        <v>4</v>
      </c>
      <c r="D418" s="928">
        <v>5</v>
      </c>
      <c r="E418" s="928">
        <v>2</v>
      </c>
      <c r="F418" s="928">
        <v>4</v>
      </c>
      <c r="G418" s="928">
        <v>7</v>
      </c>
      <c r="H418" s="928">
        <v>1</v>
      </c>
      <c r="I418" s="929" t="s">
        <v>3441</v>
      </c>
      <c r="J418" s="929" t="s">
        <v>4199</v>
      </c>
      <c r="K418" s="928" t="s">
        <v>1813</v>
      </c>
      <c r="L418" s="930" t="s">
        <v>1690</v>
      </c>
      <c r="M418" s="927" t="s">
        <v>3485</v>
      </c>
      <c r="N418" s="930" t="s">
        <v>1695</v>
      </c>
      <c r="O418" s="927" t="s">
        <v>3484</v>
      </c>
      <c r="P418" s="930" t="s">
        <v>1703</v>
      </c>
      <c r="Q418" s="927" t="s">
        <v>3575</v>
      </c>
      <c r="R418" s="930" t="s">
        <v>1704</v>
      </c>
      <c r="S418" s="927" t="s">
        <v>3575</v>
      </c>
      <c r="T418" s="931" t="s">
        <v>1934</v>
      </c>
      <c r="U418" s="931" t="s">
        <v>2029</v>
      </c>
      <c r="V418" s="931" t="s">
        <v>2034</v>
      </c>
      <c r="W418" s="928"/>
    </row>
    <row r="419" spans="1:23" x14ac:dyDescent="0.2">
      <c r="A419" s="927" t="s">
        <v>4351</v>
      </c>
      <c r="B419" s="928">
        <v>4</v>
      </c>
      <c r="C419" s="928">
        <v>6</v>
      </c>
      <c r="D419" s="928">
        <v>10</v>
      </c>
      <c r="E419" s="928">
        <v>3</v>
      </c>
      <c r="F419" s="928">
        <v>6</v>
      </c>
      <c r="G419" s="928">
        <v>11</v>
      </c>
      <c r="H419" s="928">
        <v>1</v>
      </c>
      <c r="I419" s="929" t="s">
        <v>3441</v>
      </c>
      <c r="J419" s="929" t="s">
        <v>4199</v>
      </c>
      <c r="K419" s="928" t="s">
        <v>1813</v>
      </c>
      <c r="L419" s="930" t="s">
        <v>1690</v>
      </c>
      <c r="M419" s="927" t="s">
        <v>3485</v>
      </c>
      <c r="N419" s="930" t="s">
        <v>1695</v>
      </c>
      <c r="O419" s="927" t="s">
        <v>3484</v>
      </c>
      <c r="P419" s="930" t="s">
        <v>1703</v>
      </c>
      <c r="Q419" s="927" t="s">
        <v>3575</v>
      </c>
      <c r="R419" s="930" t="s">
        <v>1704</v>
      </c>
      <c r="S419" s="927" t="s">
        <v>3575</v>
      </c>
      <c r="T419" s="931" t="s">
        <v>1934</v>
      </c>
      <c r="U419" s="931" t="s">
        <v>2029</v>
      </c>
      <c r="V419" s="931" t="s">
        <v>2034</v>
      </c>
      <c r="W419" s="928"/>
    </row>
    <row r="420" spans="1:23" x14ac:dyDescent="0.2">
      <c r="A420" s="927" t="s">
        <v>4352</v>
      </c>
      <c r="B420" s="928">
        <v>6</v>
      </c>
      <c r="C420" s="928">
        <v>9</v>
      </c>
      <c r="D420" s="928">
        <v>15</v>
      </c>
      <c r="E420" s="928">
        <v>4</v>
      </c>
      <c r="F420" s="928">
        <v>8</v>
      </c>
      <c r="G420" s="928">
        <v>14</v>
      </c>
      <c r="H420" s="928">
        <v>1</v>
      </c>
      <c r="I420" s="929" t="s">
        <v>3441</v>
      </c>
      <c r="J420" s="929" t="s">
        <v>4199</v>
      </c>
      <c r="K420" s="928" t="s">
        <v>1813</v>
      </c>
      <c r="L420" s="930" t="s">
        <v>1690</v>
      </c>
      <c r="M420" s="927" t="s">
        <v>3485</v>
      </c>
      <c r="N420" s="930" t="s">
        <v>1695</v>
      </c>
      <c r="O420" s="927" t="s">
        <v>3484</v>
      </c>
      <c r="P420" s="930" t="s">
        <v>1703</v>
      </c>
      <c r="Q420" s="927" t="s">
        <v>3575</v>
      </c>
      <c r="R420" s="930" t="s">
        <v>1704</v>
      </c>
      <c r="S420" s="927" t="s">
        <v>3575</v>
      </c>
      <c r="T420" s="931" t="s">
        <v>1934</v>
      </c>
      <c r="U420" s="931" t="s">
        <v>2029</v>
      </c>
      <c r="V420" s="931" t="s">
        <v>2034</v>
      </c>
      <c r="W420" s="928"/>
    </row>
    <row r="421" spans="1:23" x14ac:dyDescent="0.2">
      <c r="A421" s="927" t="s">
        <v>4353</v>
      </c>
      <c r="B421" s="928">
        <v>8</v>
      </c>
      <c r="C421" s="928">
        <v>11</v>
      </c>
      <c r="D421" s="928">
        <v>20</v>
      </c>
      <c r="E421" s="928">
        <v>5</v>
      </c>
      <c r="F421" s="928">
        <v>10</v>
      </c>
      <c r="G421" s="928">
        <v>18</v>
      </c>
      <c r="H421" s="928">
        <v>2</v>
      </c>
      <c r="I421" s="929" t="s">
        <v>3441</v>
      </c>
      <c r="J421" s="929" t="s">
        <v>4199</v>
      </c>
      <c r="K421" s="928" t="s">
        <v>1813</v>
      </c>
      <c r="L421" s="930" t="s">
        <v>1690</v>
      </c>
      <c r="M421" s="927" t="s">
        <v>3485</v>
      </c>
      <c r="N421" s="930" t="s">
        <v>1695</v>
      </c>
      <c r="O421" s="927" t="s">
        <v>3484</v>
      </c>
      <c r="P421" s="930" t="s">
        <v>1703</v>
      </c>
      <c r="Q421" s="927" t="s">
        <v>3575</v>
      </c>
      <c r="R421" s="930" t="s">
        <v>1704</v>
      </c>
      <c r="S421" s="927" t="s">
        <v>3575</v>
      </c>
      <c r="T421" s="931" t="s">
        <v>1934</v>
      </c>
      <c r="U421" s="931" t="s">
        <v>2029</v>
      </c>
      <c r="V421" s="931" t="s">
        <v>2034</v>
      </c>
      <c r="W421" s="928"/>
    </row>
    <row r="422" spans="1:23" x14ac:dyDescent="0.2">
      <c r="A422" s="927" t="s">
        <v>4354</v>
      </c>
      <c r="B422" s="928">
        <v>10</v>
      </c>
      <c r="C422" s="928">
        <v>13</v>
      </c>
      <c r="D422" s="928">
        <v>25</v>
      </c>
      <c r="E422" s="928">
        <v>6</v>
      </c>
      <c r="F422" s="928">
        <v>12</v>
      </c>
      <c r="G422" s="928">
        <v>21</v>
      </c>
      <c r="H422" s="928">
        <v>2</v>
      </c>
      <c r="I422" s="929" t="s">
        <v>3441</v>
      </c>
      <c r="J422" s="929" t="s">
        <v>4199</v>
      </c>
      <c r="K422" s="928" t="s">
        <v>1813</v>
      </c>
      <c r="L422" s="930" t="s">
        <v>1690</v>
      </c>
      <c r="M422" s="927" t="s">
        <v>3485</v>
      </c>
      <c r="N422" s="930" t="s">
        <v>1695</v>
      </c>
      <c r="O422" s="927" t="s">
        <v>3484</v>
      </c>
      <c r="P422" s="930" t="s">
        <v>1703</v>
      </c>
      <c r="Q422" s="927" t="s">
        <v>3575</v>
      </c>
      <c r="R422" s="930" t="s">
        <v>1704</v>
      </c>
      <c r="S422" s="927" t="s">
        <v>3575</v>
      </c>
      <c r="T422" s="931" t="s">
        <v>1934</v>
      </c>
      <c r="U422" s="931" t="s">
        <v>2029</v>
      </c>
      <c r="V422" s="931" t="s">
        <v>2034</v>
      </c>
      <c r="W422" s="928"/>
    </row>
    <row r="423" spans="1:23" x14ac:dyDescent="0.2">
      <c r="A423" s="927" t="s">
        <v>4355</v>
      </c>
      <c r="B423" s="928">
        <v>14</v>
      </c>
      <c r="C423" s="928">
        <v>18</v>
      </c>
      <c r="D423" s="928">
        <v>30</v>
      </c>
      <c r="E423" s="928">
        <v>7</v>
      </c>
      <c r="F423" s="928">
        <v>14</v>
      </c>
      <c r="G423" s="928">
        <v>25</v>
      </c>
      <c r="H423" s="928">
        <v>3</v>
      </c>
      <c r="I423" s="929" t="s">
        <v>3441</v>
      </c>
      <c r="J423" s="929" t="s">
        <v>4199</v>
      </c>
      <c r="K423" s="928" t="s">
        <v>1813</v>
      </c>
      <c r="L423" s="930" t="s">
        <v>1690</v>
      </c>
      <c r="M423" s="927" t="s">
        <v>3485</v>
      </c>
      <c r="N423" s="930" t="s">
        <v>1695</v>
      </c>
      <c r="O423" s="927" t="s">
        <v>3484</v>
      </c>
      <c r="P423" s="930" t="s">
        <v>1703</v>
      </c>
      <c r="Q423" s="927" t="s">
        <v>3575</v>
      </c>
      <c r="R423" s="930" t="s">
        <v>1704</v>
      </c>
      <c r="S423" s="927" t="s">
        <v>3575</v>
      </c>
      <c r="T423" s="931" t="s">
        <v>1934</v>
      </c>
      <c r="U423" s="931" t="s">
        <v>2029</v>
      </c>
      <c r="V423" s="931" t="s">
        <v>2034</v>
      </c>
      <c r="W423" s="928"/>
    </row>
    <row r="424" spans="1:23" x14ac:dyDescent="0.2">
      <c r="A424" s="927" t="s">
        <v>4356</v>
      </c>
      <c r="B424" s="928">
        <v>18</v>
      </c>
      <c r="C424" s="928">
        <v>22</v>
      </c>
      <c r="D424" s="928">
        <v>40</v>
      </c>
      <c r="E424" s="928">
        <v>8</v>
      </c>
      <c r="F424" s="928">
        <v>16</v>
      </c>
      <c r="G424" s="928">
        <v>28</v>
      </c>
      <c r="H424" s="928">
        <v>3</v>
      </c>
      <c r="I424" s="929" t="s">
        <v>3441</v>
      </c>
      <c r="J424" s="929" t="s">
        <v>4199</v>
      </c>
      <c r="K424" s="928" t="s">
        <v>1813</v>
      </c>
      <c r="L424" s="930" t="s">
        <v>1690</v>
      </c>
      <c r="M424" s="927" t="s">
        <v>3485</v>
      </c>
      <c r="N424" s="930" t="s">
        <v>1695</v>
      </c>
      <c r="O424" s="927" t="s">
        <v>3484</v>
      </c>
      <c r="P424" s="930" t="s">
        <v>1703</v>
      </c>
      <c r="Q424" s="927" t="s">
        <v>3575</v>
      </c>
      <c r="R424" s="930" t="s">
        <v>1704</v>
      </c>
      <c r="S424" s="927" t="s">
        <v>3575</v>
      </c>
      <c r="T424" s="931" t="s">
        <v>1934</v>
      </c>
      <c r="U424" s="931" t="s">
        <v>2029</v>
      </c>
      <c r="V424" s="931" t="s">
        <v>2034</v>
      </c>
      <c r="W424" s="928"/>
    </row>
    <row r="425" spans="1:23" x14ac:dyDescent="0.2">
      <c r="A425" s="933" t="s">
        <v>4357</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4358</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4359</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3657</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4360</v>
      </c>
      <c r="B429" s="928">
        <v>1</v>
      </c>
      <c r="C429" s="928">
        <v>2</v>
      </c>
      <c r="D429" s="928">
        <v>5</v>
      </c>
      <c r="E429" s="928">
        <v>1</v>
      </c>
      <c r="F429" s="928">
        <v>2</v>
      </c>
      <c r="G429" s="928">
        <v>4</v>
      </c>
      <c r="H429" s="928">
        <v>1</v>
      </c>
      <c r="I429" s="929" t="s">
        <v>3441</v>
      </c>
      <c r="J429" s="929" t="s">
        <v>4199</v>
      </c>
      <c r="K429" s="928" t="s">
        <v>1703</v>
      </c>
      <c r="L429" s="930" t="s">
        <v>1813</v>
      </c>
      <c r="M429" s="927" t="s">
        <v>3484</v>
      </c>
      <c r="N429" s="930" t="s">
        <v>1690</v>
      </c>
      <c r="O429" s="927" t="s">
        <v>3485</v>
      </c>
      <c r="P429" s="930" t="s">
        <v>1695</v>
      </c>
      <c r="Q429" s="927" t="s">
        <v>3484</v>
      </c>
      <c r="R429" s="930" t="s">
        <v>1704</v>
      </c>
      <c r="S429" s="927" t="s">
        <v>3575</v>
      </c>
      <c r="T429" s="931" t="s">
        <v>1931</v>
      </c>
      <c r="U429" s="931" t="s">
        <v>1938</v>
      </c>
      <c r="V429" s="931" t="s">
        <v>2029</v>
      </c>
      <c r="W429" s="928"/>
    </row>
    <row r="430" spans="1:23" x14ac:dyDescent="0.2">
      <c r="A430" s="927" t="s">
        <v>4361</v>
      </c>
      <c r="B430" s="928">
        <v>2</v>
      </c>
      <c r="C430" s="928">
        <v>4</v>
      </c>
      <c r="D430" s="928">
        <v>5</v>
      </c>
      <c r="E430" s="928">
        <v>2</v>
      </c>
      <c r="F430" s="928">
        <v>4</v>
      </c>
      <c r="G430" s="928">
        <v>7</v>
      </c>
      <c r="H430" s="928">
        <v>1</v>
      </c>
      <c r="I430" s="929" t="s">
        <v>3441</v>
      </c>
      <c r="J430" s="929" t="s">
        <v>4199</v>
      </c>
      <c r="K430" s="928" t="s">
        <v>1703</v>
      </c>
      <c r="L430" s="930" t="s">
        <v>1813</v>
      </c>
      <c r="M430" s="927" t="s">
        <v>3484</v>
      </c>
      <c r="N430" s="930" t="s">
        <v>1690</v>
      </c>
      <c r="O430" s="927" t="s">
        <v>3485</v>
      </c>
      <c r="P430" s="930" t="s">
        <v>1695</v>
      </c>
      <c r="Q430" s="927" t="s">
        <v>3484</v>
      </c>
      <c r="R430" s="930" t="s">
        <v>1704</v>
      </c>
      <c r="S430" s="927" t="s">
        <v>3575</v>
      </c>
      <c r="T430" s="931" t="s">
        <v>1931</v>
      </c>
      <c r="U430" s="931" t="s">
        <v>1938</v>
      </c>
      <c r="V430" s="931" t="s">
        <v>2029</v>
      </c>
      <c r="W430" s="928"/>
    </row>
    <row r="431" spans="1:23" x14ac:dyDescent="0.2">
      <c r="A431" s="927" t="s">
        <v>4362</v>
      </c>
      <c r="B431" s="928">
        <v>4</v>
      </c>
      <c r="C431" s="928">
        <v>6</v>
      </c>
      <c r="D431" s="928">
        <v>10</v>
      </c>
      <c r="E431" s="928">
        <v>3</v>
      </c>
      <c r="F431" s="928">
        <v>6</v>
      </c>
      <c r="G431" s="928">
        <v>11</v>
      </c>
      <c r="H431" s="928">
        <v>1</v>
      </c>
      <c r="I431" s="929" t="s">
        <v>3441</v>
      </c>
      <c r="J431" s="929" t="s">
        <v>4199</v>
      </c>
      <c r="K431" s="928" t="s">
        <v>1703</v>
      </c>
      <c r="L431" s="930" t="s">
        <v>1813</v>
      </c>
      <c r="M431" s="927" t="s">
        <v>3484</v>
      </c>
      <c r="N431" s="930" t="s">
        <v>1690</v>
      </c>
      <c r="O431" s="927" t="s">
        <v>3485</v>
      </c>
      <c r="P431" s="930" t="s">
        <v>1695</v>
      </c>
      <c r="Q431" s="927" t="s">
        <v>3484</v>
      </c>
      <c r="R431" s="930" t="s">
        <v>1704</v>
      </c>
      <c r="S431" s="927" t="s">
        <v>3575</v>
      </c>
      <c r="T431" s="931" t="s">
        <v>1931</v>
      </c>
      <c r="U431" s="931" t="s">
        <v>1938</v>
      </c>
      <c r="V431" s="931" t="s">
        <v>2029</v>
      </c>
      <c r="W431" s="928"/>
    </row>
    <row r="432" spans="1:23" x14ac:dyDescent="0.2">
      <c r="A432" s="927" t="s">
        <v>4363</v>
      </c>
      <c r="B432" s="928">
        <v>6</v>
      </c>
      <c r="C432" s="928">
        <v>9</v>
      </c>
      <c r="D432" s="928">
        <v>15</v>
      </c>
      <c r="E432" s="928">
        <v>4</v>
      </c>
      <c r="F432" s="928">
        <v>8</v>
      </c>
      <c r="G432" s="928">
        <v>14</v>
      </c>
      <c r="H432" s="928">
        <v>1</v>
      </c>
      <c r="I432" s="929" t="s">
        <v>3441</v>
      </c>
      <c r="J432" s="929" t="s">
        <v>4199</v>
      </c>
      <c r="K432" s="928" t="s">
        <v>1703</v>
      </c>
      <c r="L432" s="930" t="s">
        <v>1813</v>
      </c>
      <c r="M432" s="927" t="s">
        <v>3484</v>
      </c>
      <c r="N432" s="930" t="s">
        <v>1690</v>
      </c>
      <c r="O432" s="927" t="s">
        <v>3485</v>
      </c>
      <c r="P432" s="930" t="s">
        <v>1695</v>
      </c>
      <c r="Q432" s="927" t="s">
        <v>3484</v>
      </c>
      <c r="R432" s="930" t="s">
        <v>1704</v>
      </c>
      <c r="S432" s="927" t="s">
        <v>3575</v>
      </c>
      <c r="T432" s="931" t="s">
        <v>1931</v>
      </c>
      <c r="U432" s="931" t="s">
        <v>1938</v>
      </c>
      <c r="V432" s="931" t="s">
        <v>2029</v>
      </c>
      <c r="W432" s="928"/>
    </row>
    <row r="433" spans="1:23" x14ac:dyDescent="0.2">
      <c r="A433" s="927" t="s">
        <v>4364</v>
      </c>
      <c r="B433" s="928">
        <v>8</v>
      </c>
      <c r="C433" s="928">
        <v>11</v>
      </c>
      <c r="D433" s="928">
        <v>20</v>
      </c>
      <c r="E433" s="928">
        <v>5</v>
      </c>
      <c r="F433" s="928">
        <v>10</v>
      </c>
      <c r="G433" s="928">
        <v>18</v>
      </c>
      <c r="H433" s="928">
        <v>2</v>
      </c>
      <c r="I433" s="929" t="s">
        <v>3441</v>
      </c>
      <c r="J433" s="929" t="s">
        <v>4199</v>
      </c>
      <c r="K433" s="928" t="s">
        <v>1703</v>
      </c>
      <c r="L433" s="930" t="s">
        <v>1813</v>
      </c>
      <c r="M433" s="927" t="s">
        <v>3484</v>
      </c>
      <c r="N433" s="930" t="s">
        <v>1690</v>
      </c>
      <c r="O433" s="927" t="s">
        <v>3485</v>
      </c>
      <c r="P433" s="930" t="s">
        <v>1695</v>
      </c>
      <c r="Q433" s="927" t="s">
        <v>3484</v>
      </c>
      <c r="R433" s="930" t="s">
        <v>1704</v>
      </c>
      <c r="S433" s="927" t="s">
        <v>3575</v>
      </c>
      <c r="T433" s="931" t="s">
        <v>1931</v>
      </c>
      <c r="U433" s="931" t="s">
        <v>1938</v>
      </c>
      <c r="V433" s="931" t="s">
        <v>2029</v>
      </c>
      <c r="W433" s="928"/>
    </row>
    <row r="434" spans="1:23" x14ac:dyDescent="0.2">
      <c r="A434" s="927" t="s">
        <v>4365</v>
      </c>
      <c r="B434" s="928">
        <v>10</v>
      </c>
      <c r="C434" s="928">
        <v>13</v>
      </c>
      <c r="D434" s="928">
        <v>25</v>
      </c>
      <c r="E434" s="928">
        <v>6</v>
      </c>
      <c r="F434" s="928">
        <v>12</v>
      </c>
      <c r="G434" s="928">
        <v>21</v>
      </c>
      <c r="H434" s="928">
        <v>2</v>
      </c>
      <c r="I434" s="929" t="s">
        <v>3441</v>
      </c>
      <c r="J434" s="929" t="s">
        <v>4199</v>
      </c>
      <c r="K434" s="928" t="s">
        <v>1703</v>
      </c>
      <c r="L434" s="930" t="s">
        <v>1813</v>
      </c>
      <c r="M434" s="927" t="s">
        <v>3484</v>
      </c>
      <c r="N434" s="930" t="s">
        <v>1690</v>
      </c>
      <c r="O434" s="927" t="s">
        <v>3485</v>
      </c>
      <c r="P434" s="930" t="s">
        <v>1695</v>
      </c>
      <c r="Q434" s="927" t="s">
        <v>3484</v>
      </c>
      <c r="R434" s="930" t="s">
        <v>1704</v>
      </c>
      <c r="S434" s="927" t="s">
        <v>3575</v>
      </c>
      <c r="T434" s="931" t="s">
        <v>1931</v>
      </c>
      <c r="U434" s="931" t="s">
        <v>1938</v>
      </c>
      <c r="V434" s="931" t="s">
        <v>2029</v>
      </c>
      <c r="W434" s="928"/>
    </row>
    <row r="435" spans="1:23" x14ac:dyDescent="0.2">
      <c r="A435" s="927" t="s">
        <v>4366</v>
      </c>
      <c r="B435" s="928">
        <v>14</v>
      </c>
      <c r="C435" s="928">
        <v>18</v>
      </c>
      <c r="D435" s="928">
        <v>30</v>
      </c>
      <c r="E435" s="928">
        <v>7</v>
      </c>
      <c r="F435" s="928">
        <v>14</v>
      </c>
      <c r="G435" s="928">
        <v>25</v>
      </c>
      <c r="H435" s="928">
        <v>3</v>
      </c>
      <c r="I435" s="929" t="s">
        <v>3441</v>
      </c>
      <c r="J435" s="929" t="s">
        <v>4199</v>
      </c>
      <c r="K435" s="928" t="s">
        <v>1703</v>
      </c>
      <c r="L435" s="930" t="s">
        <v>1813</v>
      </c>
      <c r="M435" s="927" t="s">
        <v>3484</v>
      </c>
      <c r="N435" s="930" t="s">
        <v>1690</v>
      </c>
      <c r="O435" s="927" t="s">
        <v>3485</v>
      </c>
      <c r="P435" s="930" t="s">
        <v>1695</v>
      </c>
      <c r="Q435" s="927" t="s">
        <v>3484</v>
      </c>
      <c r="R435" s="930" t="s">
        <v>1704</v>
      </c>
      <c r="S435" s="927" t="s">
        <v>3575</v>
      </c>
      <c r="T435" s="931" t="s">
        <v>1931</v>
      </c>
      <c r="U435" s="931" t="s">
        <v>1938</v>
      </c>
      <c r="V435" s="931" t="s">
        <v>2029</v>
      </c>
      <c r="W435" s="928"/>
    </row>
    <row r="436" spans="1:23" x14ac:dyDescent="0.2">
      <c r="A436" s="927" t="s">
        <v>4367</v>
      </c>
      <c r="B436" s="928">
        <v>18</v>
      </c>
      <c r="C436" s="928">
        <v>22</v>
      </c>
      <c r="D436" s="928">
        <v>40</v>
      </c>
      <c r="E436" s="928">
        <v>8</v>
      </c>
      <c r="F436" s="928">
        <v>16</v>
      </c>
      <c r="G436" s="928">
        <v>28</v>
      </c>
      <c r="H436" s="928">
        <v>3</v>
      </c>
      <c r="I436" s="929" t="s">
        <v>3441</v>
      </c>
      <c r="J436" s="929" t="s">
        <v>4199</v>
      </c>
      <c r="K436" s="928" t="s">
        <v>1703</v>
      </c>
      <c r="L436" s="930" t="s">
        <v>1813</v>
      </c>
      <c r="M436" s="927" t="s">
        <v>3484</v>
      </c>
      <c r="N436" s="930" t="s">
        <v>1690</v>
      </c>
      <c r="O436" s="927" t="s">
        <v>3485</v>
      </c>
      <c r="P436" s="930" t="s">
        <v>1695</v>
      </c>
      <c r="Q436" s="927" t="s">
        <v>3484</v>
      </c>
      <c r="R436" s="930" t="s">
        <v>1704</v>
      </c>
      <c r="S436" s="927" t="s">
        <v>3575</v>
      </c>
      <c r="T436" s="931" t="s">
        <v>1931</v>
      </c>
      <c r="U436" s="931" t="s">
        <v>1938</v>
      </c>
      <c r="V436" s="931" t="s">
        <v>2029</v>
      </c>
      <c r="W436" s="928"/>
    </row>
    <row r="437" spans="1:23" x14ac:dyDescent="0.2">
      <c r="A437" s="769" t="s">
        <v>3663</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4368</v>
      </c>
      <c r="B438" s="928">
        <v>1</v>
      </c>
      <c r="C438" s="928">
        <v>2</v>
      </c>
      <c r="D438" s="928">
        <v>5</v>
      </c>
      <c r="E438" s="928">
        <v>1</v>
      </c>
      <c r="F438" s="928">
        <v>2</v>
      </c>
      <c r="G438" s="928">
        <v>4</v>
      </c>
      <c r="H438" s="928">
        <v>1</v>
      </c>
      <c r="I438" s="929" t="s">
        <v>3441</v>
      </c>
      <c r="J438" s="929" t="s">
        <v>4199</v>
      </c>
      <c r="K438" s="928" t="s">
        <v>1704</v>
      </c>
      <c r="L438" s="930" t="s">
        <v>1813</v>
      </c>
      <c r="M438" s="927" t="s">
        <v>3484</v>
      </c>
      <c r="N438" s="930" t="s">
        <v>1690</v>
      </c>
      <c r="O438" s="927" t="s">
        <v>3485</v>
      </c>
      <c r="P438" s="930" t="s">
        <v>1695</v>
      </c>
      <c r="Q438" s="927" t="s">
        <v>3484</v>
      </c>
      <c r="R438" s="930" t="s">
        <v>1703</v>
      </c>
      <c r="S438" s="927" t="s">
        <v>3575</v>
      </c>
      <c r="T438" s="931" t="s">
        <v>1931</v>
      </c>
      <c r="U438" s="931" t="s">
        <v>1934</v>
      </c>
      <c r="V438" s="931" t="s">
        <v>2029</v>
      </c>
      <c r="W438" s="928"/>
    </row>
    <row r="439" spans="1:23" x14ac:dyDescent="0.2">
      <c r="A439" s="927" t="s">
        <v>4369</v>
      </c>
      <c r="B439" s="928">
        <v>2</v>
      </c>
      <c r="C439" s="928">
        <v>4</v>
      </c>
      <c r="D439" s="928">
        <v>5</v>
      </c>
      <c r="E439" s="928">
        <v>2</v>
      </c>
      <c r="F439" s="928">
        <v>4</v>
      </c>
      <c r="G439" s="928">
        <v>7</v>
      </c>
      <c r="H439" s="928">
        <v>1</v>
      </c>
      <c r="I439" s="929" t="s">
        <v>3441</v>
      </c>
      <c r="J439" s="929" t="s">
        <v>4199</v>
      </c>
      <c r="K439" s="928" t="s">
        <v>1704</v>
      </c>
      <c r="L439" s="930" t="s">
        <v>1813</v>
      </c>
      <c r="M439" s="927" t="s">
        <v>3484</v>
      </c>
      <c r="N439" s="930" t="s">
        <v>1690</v>
      </c>
      <c r="O439" s="927" t="s">
        <v>3485</v>
      </c>
      <c r="P439" s="930" t="s">
        <v>1695</v>
      </c>
      <c r="Q439" s="927" t="s">
        <v>3484</v>
      </c>
      <c r="R439" s="930" t="s">
        <v>1703</v>
      </c>
      <c r="S439" s="927" t="s">
        <v>3575</v>
      </c>
      <c r="T439" s="931" t="s">
        <v>1931</v>
      </c>
      <c r="U439" s="931" t="s">
        <v>1934</v>
      </c>
      <c r="V439" s="931" t="s">
        <v>2029</v>
      </c>
      <c r="W439" s="928"/>
    </row>
    <row r="440" spans="1:23" x14ac:dyDescent="0.2">
      <c r="A440" s="927" t="s">
        <v>4370</v>
      </c>
      <c r="B440" s="928">
        <v>4</v>
      </c>
      <c r="C440" s="928">
        <v>6</v>
      </c>
      <c r="D440" s="928">
        <v>10</v>
      </c>
      <c r="E440" s="928">
        <v>3</v>
      </c>
      <c r="F440" s="928">
        <v>6</v>
      </c>
      <c r="G440" s="928">
        <v>11</v>
      </c>
      <c r="H440" s="928">
        <v>1</v>
      </c>
      <c r="I440" s="929" t="s">
        <v>3441</v>
      </c>
      <c r="J440" s="929" t="s">
        <v>4199</v>
      </c>
      <c r="K440" s="928" t="s">
        <v>1704</v>
      </c>
      <c r="L440" s="930" t="s">
        <v>1813</v>
      </c>
      <c r="M440" s="927" t="s">
        <v>3484</v>
      </c>
      <c r="N440" s="930" t="s">
        <v>1690</v>
      </c>
      <c r="O440" s="927" t="s">
        <v>3485</v>
      </c>
      <c r="P440" s="930" t="s">
        <v>1695</v>
      </c>
      <c r="Q440" s="927" t="s">
        <v>3484</v>
      </c>
      <c r="R440" s="930" t="s">
        <v>1703</v>
      </c>
      <c r="S440" s="927" t="s">
        <v>3575</v>
      </c>
      <c r="T440" s="931" t="s">
        <v>1931</v>
      </c>
      <c r="U440" s="931" t="s">
        <v>1934</v>
      </c>
      <c r="V440" s="931" t="s">
        <v>2029</v>
      </c>
      <c r="W440" s="928"/>
    </row>
    <row r="441" spans="1:23" x14ac:dyDescent="0.2">
      <c r="A441" s="927" t="s">
        <v>4371</v>
      </c>
      <c r="B441" s="928">
        <v>6</v>
      </c>
      <c r="C441" s="928">
        <v>9</v>
      </c>
      <c r="D441" s="928">
        <v>15</v>
      </c>
      <c r="E441" s="928">
        <v>4</v>
      </c>
      <c r="F441" s="928">
        <v>8</v>
      </c>
      <c r="G441" s="928">
        <v>14</v>
      </c>
      <c r="H441" s="928">
        <v>1</v>
      </c>
      <c r="I441" s="929" t="s">
        <v>3441</v>
      </c>
      <c r="J441" s="929" t="s">
        <v>4199</v>
      </c>
      <c r="K441" s="928" t="s">
        <v>1704</v>
      </c>
      <c r="L441" s="930" t="s">
        <v>1813</v>
      </c>
      <c r="M441" s="927" t="s">
        <v>3484</v>
      </c>
      <c r="N441" s="930" t="s">
        <v>1690</v>
      </c>
      <c r="O441" s="927" t="s">
        <v>3485</v>
      </c>
      <c r="P441" s="930" t="s">
        <v>1695</v>
      </c>
      <c r="Q441" s="927" t="s">
        <v>3484</v>
      </c>
      <c r="R441" s="930" t="s">
        <v>1703</v>
      </c>
      <c r="S441" s="927" t="s">
        <v>3575</v>
      </c>
      <c r="T441" s="931" t="s">
        <v>1931</v>
      </c>
      <c r="U441" s="931" t="s">
        <v>1934</v>
      </c>
      <c r="V441" s="931" t="s">
        <v>2029</v>
      </c>
      <c r="W441" s="928"/>
    </row>
    <row r="442" spans="1:23" x14ac:dyDescent="0.2">
      <c r="A442" s="927" t="s">
        <v>4372</v>
      </c>
      <c r="B442" s="928">
        <v>8</v>
      </c>
      <c r="C442" s="928">
        <v>11</v>
      </c>
      <c r="D442" s="928">
        <v>20</v>
      </c>
      <c r="E442" s="928">
        <v>5</v>
      </c>
      <c r="F442" s="928">
        <v>10</v>
      </c>
      <c r="G442" s="928">
        <v>18</v>
      </c>
      <c r="H442" s="928">
        <v>2</v>
      </c>
      <c r="I442" s="929" t="s">
        <v>3441</v>
      </c>
      <c r="J442" s="929" t="s">
        <v>4199</v>
      </c>
      <c r="K442" s="928" t="s">
        <v>1704</v>
      </c>
      <c r="L442" s="930" t="s">
        <v>1813</v>
      </c>
      <c r="M442" s="927" t="s">
        <v>3484</v>
      </c>
      <c r="N442" s="930" t="s">
        <v>1690</v>
      </c>
      <c r="O442" s="927" t="s">
        <v>3485</v>
      </c>
      <c r="P442" s="930" t="s">
        <v>1695</v>
      </c>
      <c r="Q442" s="927" t="s">
        <v>3484</v>
      </c>
      <c r="R442" s="930" t="s">
        <v>1703</v>
      </c>
      <c r="S442" s="927" t="s">
        <v>3575</v>
      </c>
      <c r="T442" s="931" t="s">
        <v>1931</v>
      </c>
      <c r="U442" s="931" t="s">
        <v>1934</v>
      </c>
      <c r="V442" s="931" t="s">
        <v>2029</v>
      </c>
      <c r="W442" s="928"/>
    </row>
    <row r="443" spans="1:23" x14ac:dyDescent="0.2">
      <c r="A443" s="927" t="s">
        <v>4373</v>
      </c>
      <c r="B443" s="928">
        <v>10</v>
      </c>
      <c r="C443" s="928">
        <v>13</v>
      </c>
      <c r="D443" s="928">
        <v>25</v>
      </c>
      <c r="E443" s="928">
        <v>6</v>
      </c>
      <c r="F443" s="928">
        <v>12</v>
      </c>
      <c r="G443" s="928">
        <v>21</v>
      </c>
      <c r="H443" s="928">
        <v>2</v>
      </c>
      <c r="I443" s="929" t="s">
        <v>3441</v>
      </c>
      <c r="J443" s="929" t="s">
        <v>4199</v>
      </c>
      <c r="K443" s="928" t="s">
        <v>1704</v>
      </c>
      <c r="L443" s="930" t="s">
        <v>1813</v>
      </c>
      <c r="M443" s="927" t="s">
        <v>3484</v>
      </c>
      <c r="N443" s="930" t="s">
        <v>1690</v>
      </c>
      <c r="O443" s="927" t="s">
        <v>3485</v>
      </c>
      <c r="P443" s="930" t="s">
        <v>1695</v>
      </c>
      <c r="Q443" s="927" t="s">
        <v>3484</v>
      </c>
      <c r="R443" s="930" t="s">
        <v>1703</v>
      </c>
      <c r="S443" s="927" t="s">
        <v>3575</v>
      </c>
      <c r="T443" s="931" t="s">
        <v>1931</v>
      </c>
      <c r="U443" s="931" t="s">
        <v>1934</v>
      </c>
      <c r="V443" s="931" t="s">
        <v>2029</v>
      </c>
      <c r="W443" s="928"/>
    </row>
    <row r="444" spans="1:23" x14ac:dyDescent="0.2">
      <c r="A444" s="927" t="s">
        <v>4374</v>
      </c>
      <c r="B444" s="928">
        <v>14</v>
      </c>
      <c r="C444" s="928">
        <v>18</v>
      </c>
      <c r="D444" s="928">
        <v>30</v>
      </c>
      <c r="E444" s="928">
        <v>7</v>
      </c>
      <c r="F444" s="928">
        <v>14</v>
      </c>
      <c r="G444" s="928">
        <v>25</v>
      </c>
      <c r="H444" s="928">
        <v>3</v>
      </c>
      <c r="I444" s="929" t="s">
        <v>3441</v>
      </c>
      <c r="J444" s="929" t="s">
        <v>4199</v>
      </c>
      <c r="K444" s="928" t="s">
        <v>1704</v>
      </c>
      <c r="L444" s="930" t="s">
        <v>1813</v>
      </c>
      <c r="M444" s="927" t="s">
        <v>3484</v>
      </c>
      <c r="N444" s="930" t="s">
        <v>1690</v>
      </c>
      <c r="O444" s="927" t="s">
        <v>3485</v>
      </c>
      <c r="P444" s="930" t="s">
        <v>1695</v>
      </c>
      <c r="Q444" s="927" t="s">
        <v>3484</v>
      </c>
      <c r="R444" s="930" t="s">
        <v>1703</v>
      </c>
      <c r="S444" s="927" t="s">
        <v>3575</v>
      </c>
      <c r="T444" s="931" t="s">
        <v>1931</v>
      </c>
      <c r="U444" s="931" t="s">
        <v>1934</v>
      </c>
      <c r="V444" s="931" t="s">
        <v>2029</v>
      </c>
      <c r="W444" s="928"/>
    </row>
    <row r="445" spans="1:23" x14ac:dyDescent="0.2">
      <c r="A445" s="927" t="s">
        <v>4375</v>
      </c>
      <c r="B445" s="928">
        <v>18</v>
      </c>
      <c r="C445" s="928">
        <v>22</v>
      </c>
      <c r="D445" s="928">
        <v>40</v>
      </c>
      <c r="E445" s="928">
        <v>8</v>
      </c>
      <c r="F445" s="928">
        <v>16</v>
      </c>
      <c r="G445" s="928">
        <v>28</v>
      </c>
      <c r="H445" s="928">
        <v>3</v>
      </c>
      <c r="I445" s="929" t="s">
        <v>3441</v>
      </c>
      <c r="J445" s="929" t="s">
        <v>4199</v>
      </c>
      <c r="K445" s="928" t="s">
        <v>1704</v>
      </c>
      <c r="L445" s="930" t="s">
        <v>1813</v>
      </c>
      <c r="M445" s="927" t="s">
        <v>3484</v>
      </c>
      <c r="N445" s="930" t="s">
        <v>1690</v>
      </c>
      <c r="O445" s="927" t="s">
        <v>3485</v>
      </c>
      <c r="P445" s="930" t="s">
        <v>1695</v>
      </c>
      <c r="Q445" s="927" t="s">
        <v>3484</v>
      </c>
      <c r="R445" s="930" t="s">
        <v>1703</v>
      </c>
      <c r="S445" s="927" t="s">
        <v>3575</v>
      </c>
      <c r="T445" s="931" t="s">
        <v>1931</v>
      </c>
      <c r="U445" s="931" t="s">
        <v>1934</v>
      </c>
      <c r="V445" s="931" t="s">
        <v>2029</v>
      </c>
      <c r="W445" s="928"/>
    </row>
    <row r="446" spans="1:23" x14ac:dyDescent="0.2">
      <c r="A446" s="769" t="s">
        <v>3666</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4376</v>
      </c>
      <c r="B447" s="928">
        <v>2</v>
      </c>
      <c r="C447" s="928">
        <v>4</v>
      </c>
      <c r="D447" s="928">
        <v>5</v>
      </c>
      <c r="E447" s="928">
        <v>1</v>
      </c>
      <c r="F447" s="928">
        <v>2</v>
      </c>
      <c r="G447" s="928">
        <v>4</v>
      </c>
      <c r="H447" s="928">
        <v>1</v>
      </c>
      <c r="I447" s="929" t="s">
        <v>3441</v>
      </c>
      <c r="J447" s="929" t="s">
        <v>4199</v>
      </c>
      <c r="K447" s="928" t="s">
        <v>1703</v>
      </c>
      <c r="L447" s="930" t="s">
        <v>1685</v>
      </c>
      <c r="M447" s="927" t="s">
        <v>4219</v>
      </c>
      <c r="N447" s="930" t="s">
        <v>1813</v>
      </c>
      <c r="O447" s="927" t="s">
        <v>4219</v>
      </c>
      <c r="P447" s="930" t="s">
        <v>1690</v>
      </c>
      <c r="Q447" s="927" t="s">
        <v>4219</v>
      </c>
      <c r="R447" s="930" t="s">
        <v>1704</v>
      </c>
      <c r="S447" s="927" t="s">
        <v>3575</v>
      </c>
      <c r="T447" s="931" t="s">
        <v>1934</v>
      </c>
      <c r="U447" s="931" t="s">
        <v>1931</v>
      </c>
      <c r="V447" s="931" t="s">
        <v>2029</v>
      </c>
      <c r="W447" s="928"/>
    </row>
    <row r="448" spans="1:23" x14ac:dyDescent="0.2">
      <c r="A448" s="927" t="s">
        <v>4377</v>
      </c>
      <c r="B448" s="928">
        <v>4</v>
      </c>
      <c r="C448" s="928">
        <v>6</v>
      </c>
      <c r="D448" s="928">
        <v>10</v>
      </c>
      <c r="E448" s="928">
        <v>2</v>
      </c>
      <c r="F448" s="928">
        <v>4</v>
      </c>
      <c r="G448" s="928">
        <v>7</v>
      </c>
      <c r="H448" s="928">
        <v>1</v>
      </c>
      <c r="I448" s="929" t="s">
        <v>3441</v>
      </c>
      <c r="J448" s="929" t="s">
        <v>4199</v>
      </c>
      <c r="K448" s="928" t="s">
        <v>1703</v>
      </c>
      <c r="L448" s="930" t="s">
        <v>1685</v>
      </c>
      <c r="M448" s="927" t="s">
        <v>4219</v>
      </c>
      <c r="N448" s="930" t="s">
        <v>1813</v>
      </c>
      <c r="O448" s="927" t="s">
        <v>4219</v>
      </c>
      <c r="P448" s="930" t="s">
        <v>1690</v>
      </c>
      <c r="Q448" s="927" t="s">
        <v>4219</v>
      </c>
      <c r="R448" s="930" t="s">
        <v>1704</v>
      </c>
      <c r="S448" s="927" t="s">
        <v>3575</v>
      </c>
      <c r="T448" s="931" t="s">
        <v>1934</v>
      </c>
      <c r="U448" s="931" t="s">
        <v>1931</v>
      </c>
      <c r="V448" s="931" t="s">
        <v>2029</v>
      </c>
      <c r="W448" s="928"/>
    </row>
    <row r="449" spans="1:23" x14ac:dyDescent="0.2">
      <c r="A449" s="927" t="s">
        <v>4378</v>
      </c>
      <c r="B449" s="928">
        <v>3</v>
      </c>
      <c r="C449" s="928">
        <v>5</v>
      </c>
      <c r="D449" s="928">
        <v>5</v>
      </c>
      <c r="E449" s="928">
        <v>1</v>
      </c>
      <c r="F449" s="928">
        <v>2</v>
      </c>
      <c r="G449" s="928">
        <v>4</v>
      </c>
      <c r="H449" s="928">
        <v>1</v>
      </c>
      <c r="I449" s="929" t="s">
        <v>3441</v>
      </c>
      <c r="J449" s="929" t="s">
        <v>4199</v>
      </c>
      <c r="K449" s="928" t="s">
        <v>1703</v>
      </c>
      <c r="L449" s="930" t="s">
        <v>1685</v>
      </c>
      <c r="M449" s="927" t="s">
        <v>4219</v>
      </c>
      <c r="N449" s="930" t="s">
        <v>1813</v>
      </c>
      <c r="O449" s="927" t="s">
        <v>4219</v>
      </c>
      <c r="P449" s="930" t="s">
        <v>1690</v>
      </c>
      <c r="Q449" s="927" t="s">
        <v>4219</v>
      </c>
      <c r="R449" s="930" t="s">
        <v>1704</v>
      </c>
      <c r="S449" s="927" t="s">
        <v>3575</v>
      </c>
      <c r="T449" s="931" t="s">
        <v>1934</v>
      </c>
      <c r="U449" s="931" t="s">
        <v>1931</v>
      </c>
      <c r="V449" s="931" t="s">
        <v>2029</v>
      </c>
      <c r="W449" s="928"/>
    </row>
    <row r="450" spans="1:23" x14ac:dyDescent="0.2">
      <c r="A450" s="927" t="s">
        <v>4379</v>
      </c>
      <c r="B450" s="928">
        <v>3</v>
      </c>
      <c r="C450" s="928">
        <v>5</v>
      </c>
      <c r="D450" s="928">
        <v>5</v>
      </c>
      <c r="E450" s="928">
        <v>1</v>
      </c>
      <c r="F450" s="928">
        <v>2</v>
      </c>
      <c r="G450" s="928">
        <v>4</v>
      </c>
      <c r="H450" s="928">
        <v>1</v>
      </c>
      <c r="I450" s="929" t="s">
        <v>3441</v>
      </c>
      <c r="J450" s="929" t="s">
        <v>4199</v>
      </c>
      <c r="K450" s="928" t="s">
        <v>1703</v>
      </c>
      <c r="L450" s="930" t="s">
        <v>1685</v>
      </c>
      <c r="M450" s="927" t="s">
        <v>4219</v>
      </c>
      <c r="N450" s="930" t="s">
        <v>1813</v>
      </c>
      <c r="O450" s="927" t="s">
        <v>4219</v>
      </c>
      <c r="P450" s="930" t="s">
        <v>1690</v>
      </c>
      <c r="Q450" s="927" t="s">
        <v>4219</v>
      </c>
      <c r="R450" s="930" t="s">
        <v>1704</v>
      </c>
      <c r="S450" s="927" t="s">
        <v>3575</v>
      </c>
      <c r="T450" s="931" t="s">
        <v>1934</v>
      </c>
      <c r="U450" s="931" t="s">
        <v>1931</v>
      </c>
      <c r="V450" s="931" t="s">
        <v>2029</v>
      </c>
      <c r="W450" s="928"/>
    </row>
    <row r="451" spans="1:23" x14ac:dyDescent="0.2">
      <c r="A451" s="927" t="s">
        <v>4380</v>
      </c>
      <c r="B451" s="928">
        <v>3</v>
      </c>
      <c r="C451" s="928">
        <v>5</v>
      </c>
      <c r="D451" s="928">
        <v>5</v>
      </c>
      <c r="E451" s="928">
        <v>1</v>
      </c>
      <c r="F451" s="928">
        <v>2</v>
      </c>
      <c r="G451" s="928">
        <v>4</v>
      </c>
      <c r="H451" s="928">
        <v>1</v>
      </c>
      <c r="I451" s="929" t="s">
        <v>3441</v>
      </c>
      <c r="J451" s="929" t="s">
        <v>4199</v>
      </c>
      <c r="K451" s="928" t="s">
        <v>1703</v>
      </c>
      <c r="L451" s="930" t="s">
        <v>1685</v>
      </c>
      <c r="M451" s="927" t="s">
        <v>4219</v>
      </c>
      <c r="N451" s="930" t="s">
        <v>1813</v>
      </c>
      <c r="O451" s="927" t="s">
        <v>4219</v>
      </c>
      <c r="P451" s="930" t="s">
        <v>1690</v>
      </c>
      <c r="Q451" s="927" t="s">
        <v>4219</v>
      </c>
      <c r="R451" s="930" t="s">
        <v>1704</v>
      </c>
      <c r="S451" s="927" t="s">
        <v>3575</v>
      </c>
      <c r="T451" s="931" t="s">
        <v>1934</v>
      </c>
      <c r="U451" s="931" t="s">
        <v>1931</v>
      </c>
      <c r="V451" s="931" t="s">
        <v>2029</v>
      </c>
      <c r="W451" s="928"/>
    </row>
    <row r="452" spans="1:23" x14ac:dyDescent="0.2">
      <c r="A452" s="927" t="s">
        <v>4381</v>
      </c>
      <c r="B452" s="928">
        <v>5</v>
      </c>
      <c r="C452" s="928">
        <v>8</v>
      </c>
      <c r="D452" s="928">
        <v>15</v>
      </c>
      <c r="E452" s="928">
        <v>2</v>
      </c>
      <c r="F452" s="928">
        <v>4</v>
      </c>
      <c r="G452" s="928">
        <v>7</v>
      </c>
      <c r="H452" s="928">
        <v>1</v>
      </c>
      <c r="I452" s="929" t="s">
        <v>3441</v>
      </c>
      <c r="J452" s="929" t="s">
        <v>4199</v>
      </c>
      <c r="K452" s="928" t="s">
        <v>1703</v>
      </c>
      <c r="L452" s="930" t="s">
        <v>1685</v>
      </c>
      <c r="M452" s="927" t="s">
        <v>4219</v>
      </c>
      <c r="N452" s="930" t="s">
        <v>1813</v>
      </c>
      <c r="O452" s="927" t="s">
        <v>4219</v>
      </c>
      <c r="P452" s="930" t="s">
        <v>1690</v>
      </c>
      <c r="Q452" s="927" t="s">
        <v>4219</v>
      </c>
      <c r="R452" s="930" t="s">
        <v>1704</v>
      </c>
      <c r="S452" s="927" t="s">
        <v>3575</v>
      </c>
      <c r="T452" s="931" t="s">
        <v>1934</v>
      </c>
      <c r="U452" s="931" t="s">
        <v>1931</v>
      </c>
      <c r="V452" s="931" t="s">
        <v>2029</v>
      </c>
      <c r="W452" s="928"/>
    </row>
    <row r="453" spans="1:23" x14ac:dyDescent="0.2">
      <c r="A453" s="927" t="s">
        <v>4382</v>
      </c>
      <c r="B453" s="928">
        <v>8</v>
      </c>
      <c r="C453" s="928">
        <v>11</v>
      </c>
      <c r="D453" s="928">
        <v>25</v>
      </c>
      <c r="E453" s="928">
        <v>2</v>
      </c>
      <c r="F453" s="928">
        <v>4</v>
      </c>
      <c r="G453" s="928">
        <v>7</v>
      </c>
      <c r="H453" s="928">
        <v>2</v>
      </c>
      <c r="I453" s="929" t="s">
        <v>3441</v>
      </c>
      <c r="J453" s="929" t="s">
        <v>4199</v>
      </c>
      <c r="K453" s="928" t="s">
        <v>1703</v>
      </c>
      <c r="L453" s="930" t="s">
        <v>1685</v>
      </c>
      <c r="M453" s="927" t="s">
        <v>4219</v>
      </c>
      <c r="N453" s="930" t="s">
        <v>1813</v>
      </c>
      <c r="O453" s="927" t="s">
        <v>4219</v>
      </c>
      <c r="P453" s="930" t="s">
        <v>1690</v>
      </c>
      <c r="Q453" s="927" t="s">
        <v>4219</v>
      </c>
      <c r="R453" s="930" t="s">
        <v>1704</v>
      </c>
      <c r="S453" s="927" t="s">
        <v>3575</v>
      </c>
      <c r="T453" s="931" t="s">
        <v>1934</v>
      </c>
      <c r="U453" s="931" t="s">
        <v>1931</v>
      </c>
      <c r="V453" s="931" t="s">
        <v>2029</v>
      </c>
      <c r="W453" s="928"/>
    </row>
    <row r="454" spans="1:23" x14ac:dyDescent="0.2">
      <c r="A454" s="762" t="s">
        <v>3670</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3675</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4383</v>
      </c>
      <c r="B456" s="928">
        <v>1</v>
      </c>
      <c r="C456" s="928">
        <v>2</v>
      </c>
      <c r="D456" s="928">
        <v>5</v>
      </c>
      <c r="E456" s="928">
        <v>1</v>
      </c>
      <c r="F456" s="928">
        <v>2</v>
      </c>
      <c r="G456" s="928">
        <v>4</v>
      </c>
      <c r="H456" s="928">
        <v>1</v>
      </c>
      <c r="I456" s="929" t="s">
        <v>3436</v>
      </c>
      <c r="J456" s="929" t="s">
        <v>1537</v>
      </c>
      <c r="K456" s="928" t="s">
        <v>1703</v>
      </c>
      <c r="L456" s="930" t="s">
        <v>1813</v>
      </c>
      <c r="M456" s="927" t="s">
        <v>3484</v>
      </c>
      <c r="N456" s="930" t="s">
        <v>1690</v>
      </c>
      <c r="O456" s="927" t="s">
        <v>3485</v>
      </c>
      <c r="P456" s="930" t="s">
        <v>1695</v>
      </c>
      <c r="Q456" s="927" t="s">
        <v>3485</v>
      </c>
      <c r="R456" s="930" t="s">
        <v>1704</v>
      </c>
      <c r="S456" s="927" t="s">
        <v>3575</v>
      </c>
      <c r="T456" s="931" t="s">
        <v>1938</v>
      </c>
      <c r="U456" s="931" t="s">
        <v>2029</v>
      </c>
      <c r="V456" s="931" t="s">
        <v>2030</v>
      </c>
      <c r="W456" s="928"/>
    </row>
    <row r="457" spans="1:23" x14ac:dyDescent="0.2">
      <c r="A457" s="769" t="s">
        <v>3681</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4384</v>
      </c>
      <c r="B458" s="928">
        <v>2</v>
      </c>
      <c r="C458" s="928">
        <v>4</v>
      </c>
      <c r="D458" s="928">
        <v>5</v>
      </c>
      <c r="E458" s="928">
        <v>1</v>
      </c>
      <c r="F458" s="928">
        <v>2</v>
      </c>
      <c r="G458" s="928">
        <v>4</v>
      </c>
      <c r="H458" s="928">
        <v>1</v>
      </c>
      <c r="I458" s="929" t="s">
        <v>3441</v>
      </c>
      <c r="J458" s="929" t="s">
        <v>1537</v>
      </c>
      <c r="K458" s="928" t="s">
        <v>1703</v>
      </c>
      <c r="L458" s="930" t="s">
        <v>1813</v>
      </c>
      <c r="M458" s="927" t="s">
        <v>3484</v>
      </c>
      <c r="N458" s="930" t="s">
        <v>1690</v>
      </c>
      <c r="O458" s="927" t="s">
        <v>3485</v>
      </c>
      <c r="P458" s="930" t="s">
        <v>1695</v>
      </c>
      <c r="Q458" s="927" t="s">
        <v>3485</v>
      </c>
      <c r="R458" s="930" t="s">
        <v>1704</v>
      </c>
      <c r="S458" s="927" t="s">
        <v>3575</v>
      </c>
      <c r="T458" s="931" t="s">
        <v>4199</v>
      </c>
      <c r="U458" s="928"/>
      <c r="V458" s="928"/>
      <c r="W458" s="928"/>
    </row>
    <row r="459" spans="1:23" x14ac:dyDescent="0.2">
      <c r="A459" s="769" t="s">
        <v>3687</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4385</v>
      </c>
      <c r="B460" s="928">
        <v>2</v>
      </c>
      <c r="C460" s="928">
        <v>4</v>
      </c>
      <c r="D460" s="928">
        <v>5</v>
      </c>
      <c r="E460" s="928">
        <v>1</v>
      </c>
      <c r="F460" s="928">
        <v>2</v>
      </c>
      <c r="G460" s="928">
        <v>4</v>
      </c>
      <c r="H460" s="928">
        <v>1</v>
      </c>
      <c r="I460" s="929" t="s">
        <v>3441</v>
      </c>
      <c r="J460" s="929" t="s">
        <v>4199</v>
      </c>
      <c r="K460" s="928" t="s">
        <v>1703</v>
      </c>
      <c r="L460" s="930" t="s">
        <v>1813</v>
      </c>
      <c r="M460" s="927" t="s">
        <v>3575</v>
      </c>
      <c r="N460" s="930" t="s">
        <v>1690</v>
      </c>
      <c r="O460" s="927" t="s">
        <v>3485</v>
      </c>
      <c r="P460" s="930" t="s">
        <v>1695</v>
      </c>
      <c r="Q460" s="927" t="s">
        <v>3484</v>
      </c>
      <c r="R460" s="930" t="s">
        <v>1704</v>
      </c>
      <c r="S460" s="927" t="s">
        <v>3575</v>
      </c>
      <c r="T460" s="931" t="s">
        <v>2029</v>
      </c>
      <c r="U460" s="931" t="s">
        <v>2030</v>
      </c>
      <c r="V460" s="931" t="s">
        <v>2034</v>
      </c>
      <c r="W460" s="928"/>
    </row>
    <row r="461" spans="1:23" x14ac:dyDescent="0.2">
      <c r="A461" s="927" t="s">
        <v>4386</v>
      </c>
      <c r="B461" s="928">
        <v>4</v>
      </c>
      <c r="C461" s="928">
        <v>6</v>
      </c>
      <c r="D461" s="928">
        <v>5</v>
      </c>
      <c r="E461" s="928">
        <v>1</v>
      </c>
      <c r="F461" s="928">
        <v>2</v>
      </c>
      <c r="G461" s="928">
        <v>4</v>
      </c>
      <c r="H461" s="928">
        <v>1</v>
      </c>
      <c r="I461" s="929" t="s">
        <v>3441</v>
      </c>
      <c r="J461" s="929" t="s">
        <v>4199</v>
      </c>
      <c r="K461" s="928" t="s">
        <v>1703</v>
      </c>
      <c r="L461" s="930" t="s">
        <v>1813</v>
      </c>
      <c r="M461" s="927" t="s">
        <v>3575</v>
      </c>
      <c r="N461" s="930" t="s">
        <v>1690</v>
      </c>
      <c r="O461" s="927" t="s">
        <v>3485</v>
      </c>
      <c r="P461" s="930" t="s">
        <v>1695</v>
      </c>
      <c r="Q461" s="927" t="s">
        <v>3484</v>
      </c>
      <c r="R461" s="930" t="s">
        <v>1704</v>
      </c>
      <c r="S461" s="927" t="s">
        <v>3575</v>
      </c>
      <c r="T461" s="931" t="s">
        <v>2029</v>
      </c>
      <c r="U461" s="931" t="s">
        <v>2030</v>
      </c>
      <c r="V461" s="931" t="s">
        <v>2034</v>
      </c>
      <c r="W461" s="928"/>
    </row>
    <row r="462" spans="1:23" x14ac:dyDescent="0.2">
      <c r="A462" s="927" t="s">
        <v>4387</v>
      </c>
      <c r="B462" s="928">
        <v>6</v>
      </c>
      <c r="C462" s="928">
        <v>9</v>
      </c>
      <c r="D462" s="928">
        <v>10</v>
      </c>
      <c r="E462" s="928">
        <v>2</v>
      </c>
      <c r="F462" s="928">
        <v>4</v>
      </c>
      <c r="G462" s="928">
        <v>7</v>
      </c>
      <c r="H462" s="928">
        <v>1</v>
      </c>
      <c r="I462" s="929" t="s">
        <v>3441</v>
      </c>
      <c r="J462" s="929" t="s">
        <v>4199</v>
      </c>
      <c r="K462" s="928" t="s">
        <v>1703</v>
      </c>
      <c r="L462" s="930" t="s">
        <v>1813</v>
      </c>
      <c r="M462" s="927" t="s">
        <v>3575</v>
      </c>
      <c r="N462" s="930" t="s">
        <v>1690</v>
      </c>
      <c r="O462" s="927" t="s">
        <v>3485</v>
      </c>
      <c r="P462" s="930" t="s">
        <v>1695</v>
      </c>
      <c r="Q462" s="927" t="s">
        <v>3484</v>
      </c>
      <c r="R462" s="930" t="s">
        <v>1704</v>
      </c>
      <c r="S462" s="927" t="s">
        <v>3575</v>
      </c>
      <c r="T462" s="931" t="s">
        <v>2029</v>
      </c>
      <c r="U462" s="931" t="s">
        <v>2030</v>
      </c>
      <c r="V462" s="931" t="s">
        <v>2034</v>
      </c>
      <c r="W462" s="928"/>
    </row>
    <row r="463" spans="1:23" x14ac:dyDescent="0.2">
      <c r="A463" s="927" t="s">
        <v>4388</v>
      </c>
      <c r="B463" s="928">
        <v>8</v>
      </c>
      <c r="C463" s="928">
        <v>11</v>
      </c>
      <c r="D463" s="928">
        <v>15</v>
      </c>
      <c r="E463" s="928">
        <v>3</v>
      </c>
      <c r="F463" s="928">
        <v>6</v>
      </c>
      <c r="G463" s="928">
        <v>11</v>
      </c>
      <c r="H463" s="928">
        <v>2</v>
      </c>
      <c r="I463" s="929" t="s">
        <v>3441</v>
      </c>
      <c r="J463" s="929" t="s">
        <v>4199</v>
      </c>
      <c r="K463" s="928" t="s">
        <v>1703</v>
      </c>
      <c r="L463" s="930" t="s">
        <v>1813</v>
      </c>
      <c r="M463" s="927" t="s">
        <v>3575</v>
      </c>
      <c r="N463" s="930" t="s">
        <v>1690</v>
      </c>
      <c r="O463" s="927" t="s">
        <v>3485</v>
      </c>
      <c r="P463" s="930" t="s">
        <v>1695</v>
      </c>
      <c r="Q463" s="927" t="s">
        <v>3484</v>
      </c>
      <c r="R463" s="930" t="s">
        <v>1704</v>
      </c>
      <c r="S463" s="927" t="s">
        <v>3575</v>
      </c>
      <c r="T463" s="931" t="s">
        <v>2029</v>
      </c>
      <c r="U463" s="931" t="s">
        <v>2030</v>
      </c>
      <c r="V463" s="931" t="s">
        <v>2034</v>
      </c>
      <c r="W463" s="928"/>
    </row>
    <row r="464" spans="1:23" x14ac:dyDescent="0.2">
      <c r="A464" s="927" t="s">
        <v>4389</v>
      </c>
      <c r="B464" s="928">
        <v>10</v>
      </c>
      <c r="C464" s="928">
        <v>13</v>
      </c>
      <c r="D464" s="928">
        <v>20</v>
      </c>
      <c r="E464" s="928">
        <v>4</v>
      </c>
      <c r="F464" s="928">
        <v>8</v>
      </c>
      <c r="G464" s="928">
        <v>14</v>
      </c>
      <c r="H464" s="928">
        <v>3</v>
      </c>
      <c r="I464" s="929" t="s">
        <v>3441</v>
      </c>
      <c r="J464" s="929" t="s">
        <v>4199</v>
      </c>
      <c r="K464" s="928" t="s">
        <v>1703</v>
      </c>
      <c r="L464" s="930" t="s">
        <v>1813</v>
      </c>
      <c r="M464" s="927" t="s">
        <v>3575</v>
      </c>
      <c r="N464" s="930" t="s">
        <v>1690</v>
      </c>
      <c r="O464" s="927" t="s">
        <v>3485</v>
      </c>
      <c r="P464" s="930" t="s">
        <v>1695</v>
      </c>
      <c r="Q464" s="927" t="s">
        <v>3484</v>
      </c>
      <c r="R464" s="930" t="s">
        <v>1704</v>
      </c>
      <c r="S464" s="927" t="s">
        <v>3575</v>
      </c>
      <c r="T464" s="931" t="s">
        <v>2029</v>
      </c>
      <c r="U464" s="931" t="s">
        <v>2030</v>
      </c>
      <c r="V464" s="931" t="s">
        <v>2034</v>
      </c>
      <c r="W464" s="928"/>
    </row>
    <row r="465" spans="1:23" x14ac:dyDescent="0.2">
      <c r="A465" s="933" t="s">
        <v>4390</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4391</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4392</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4393</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4394</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4395</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4396</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3693</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4397</v>
      </c>
      <c r="B473" s="928">
        <v>5</v>
      </c>
      <c r="C473" s="928">
        <v>8</v>
      </c>
      <c r="D473" s="928">
        <v>10</v>
      </c>
      <c r="E473" s="928">
        <v>1</v>
      </c>
      <c r="F473" s="928">
        <v>2</v>
      </c>
      <c r="G473" s="928">
        <v>4</v>
      </c>
      <c r="H473" s="928">
        <v>1</v>
      </c>
      <c r="I473" s="929" t="s">
        <v>3436</v>
      </c>
      <c r="J473" s="929" t="s">
        <v>1537</v>
      </c>
      <c r="K473" s="928" t="s">
        <v>1703</v>
      </c>
      <c r="L473" s="930" t="s">
        <v>1813</v>
      </c>
      <c r="M473" s="927" t="s">
        <v>3484</v>
      </c>
      <c r="N473" s="930" t="s">
        <v>1690</v>
      </c>
      <c r="O473" s="927" t="s">
        <v>3485</v>
      </c>
      <c r="P473" s="930" t="s">
        <v>1695</v>
      </c>
      <c r="Q473" s="927" t="s">
        <v>3485</v>
      </c>
      <c r="R473" s="930" t="s">
        <v>1704</v>
      </c>
      <c r="S473" s="927" t="s">
        <v>3575</v>
      </c>
      <c r="T473" s="931" t="s">
        <v>2029</v>
      </c>
      <c r="U473" s="931" t="s">
        <v>2030</v>
      </c>
      <c r="V473" s="928"/>
      <c r="W473" s="928"/>
    </row>
    <row r="474" spans="1:23" x14ac:dyDescent="0.2">
      <c r="A474" s="769" t="s">
        <v>3696</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4398</v>
      </c>
      <c r="B475" s="928">
        <v>1</v>
      </c>
      <c r="C475" s="928">
        <v>2</v>
      </c>
      <c r="D475" s="928">
        <v>5</v>
      </c>
      <c r="E475" s="928">
        <v>1</v>
      </c>
      <c r="F475" s="928">
        <v>2</v>
      </c>
      <c r="G475" s="928">
        <v>4</v>
      </c>
      <c r="H475" s="928">
        <v>1</v>
      </c>
      <c r="I475" s="929" t="s">
        <v>3436</v>
      </c>
      <c r="J475" s="929" t="s">
        <v>1890</v>
      </c>
      <c r="K475" s="928" t="s">
        <v>1703</v>
      </c>
      <c r="L475" s="930" t="s">
        <v>1813</v>
      </c>
      <c r="M475" s="927" t="s">
        <v>3485</v>
      </c>
      <c r="N475" s="930" t="s">
        <v>1690</v>
      </c>
      <c r="O475" s="927" t="s">
        <v>4219</v>
      </c>
      <c r="P475" s="930" t="s">
        <v>1695</v>
      </c>
      <c r="Q475" s="927" t="s">
        <v>3485</v>
      </c>
      <c r="R475" s="930" t="s">
        <v>1704</v>
      </c>
      <c r="S475" s="927" t="s">
        <v>3575</v>
      </c>
      <c r="T475" s="931" t="s">
        <v>1934</v>
      </c>
      <c r="U475" s="931" t="s">
        <v>1931</v>
      </c>
      <c r="V475" s="931" t="s">
        <v>2034</v>
      </c>
      <c r="W475" s="928"/>
    </row>
    <row r="476" spans="1:23" x14ac:dyDescent="0.2">
      <c r="A476" s="927" t="s">
        <v>4399</v>
      </c>
      <c r="B476" s="928">
        <v>2</v>
      </c>
      <c r="C476" s="928">
        <v>4</v>
      </c>
      <c r="D476" s="928">
        <v>10</v>
      </c>
      <c r="E476" s="928">
        <v>2</v>
      </c>
      <c r="F476" s="928">
        <v>4</v>
      </c>
      <c r="G476" s="928">
        <v>7</v>
      </c>
      <c r="H476" s="928">
        <v>1</v>
      </c>
      <c r="I476" s="929" t="s">
        <v>3436</v>
      </c>
      <c r="J476" s="929" t="s">
        <v>1890</v>
      </c>
      <c r="K476" s="928" t="s">
        <v>1703</v>
      </c>
      <c r="L476" s="930" t="s">
        <v>1813</v>
      </c>
      <c r="M476" s="927" t="s">
        <v>3485</v>
      </c>
      <c r="N476" s="930" t="s">
        <v>1690</v>
      </c>
      <c r="O476" s="927" t="s">
        <v>4219</v>
      </c>
      <c r="P476" s="930" t="s">
        <v>1695</v>
      </c>
      <c r="Q476" s="927" t="s">
        <v>3485</v>
      </c>
      <c r="R476" s="930" t="s">
        <v>1704</v>
      </c>
      <c r="S476" s="927" t="s">
        <v>3575</v>
      </c>
      <c r="T476" s="931" t="s">
        <v>1934</v>
      </c>
      <c r="U476" s="931" t="s">
        <v>1931</v>
      </c>
      <c r="V476" s="931" t="s">
        <v>2034</v>
      </c>
      <c r="W476" s="928"/>
    </row>
    <row r="477" spans="1:23" x14ac:dyDescent="0.2">
      <c r="A477" s="927" t="s">
        <v>4400</v>
      </c>
      <c r="B477" s="928">
        <v>4</v>
      </c>
      <c r="C477" s="928">
        <v>6</v>
      </c>
      <c r="D477" s="928">
        <v>15</v>
      </c>
      <c r="E477" s="928">
        <v>3</v>
      </c>
      <c r="F477" s="928">
        <v>6</v>
      </c>
      <c r="G477" s="928">
        <v>11</v>
      </c>
      <c r="H477" s="928">
        <v>2</v>
      </c>
      <c r="I477" s="929" t="s">
        <v>3436</v>
      </c>
      <c r="J477" s="929" t="s">
        <v>1890</v>
      </c>
      <c r="K477" s="928" t="s">
        <v>1703</v>
      </c>
      <c r="L477" s="930" t="s">
        <v>1813</v>
      </c>
      <c r="M477" s="927" t="s">
        <v>3485</v>
      </c>
      <c r="N477" s="930" t="s">
        <v>1690</v>
      </c>
      <c r="O477" s="927" t="s">
        <v>4219</v>
      </c>
      <c r="P477" s="930" t="s">
        <v>1695</v>
      </c>
      <c r="Q477" s="927" t="s">
        <v>3485</v>
      </c>
      <c r="R477" s="930" t="s">
        <v>1704</v>
      </c>
      <c r="S477" s="927" t="s">
        <v>3575</v>
      </c>
      <c r="T477" s="931" t="s">
        <v>1934</v>
      </c>
      <c r="U477" s="931" t="s">
        <v>1931</v>
      </c>
      <c r="V477" s="931" t="s">
        <v>2034</v>
      </c>
      <c r="W477" s="928"/>
    </row>
    <row r="478" spans="1:23" x14ac:dyDescent="0.2">
      <c r="A478" s="927" t="s">
        <v>4401</v>
      </c>
      <c r="B478" s="928">
        <v>6</v>
      </c>
      <c r="C478" s="928">
        <v>9</v>
      </c>
      <c r="D478" s="928">
        <v>20</v>
      </c>
      <c r="E478" s="928">
        <v>4</v>
      </c>
      <c r="F478" s="928">
        <v>8</v>
      </c>
      <c r="G478" s="928">
        <v>14</v>
      </c>
      <c r="H478" s="928">
        <v>2</v>
      </c>
      <c r="I478" s="929" t="s">
        <v>3436</v>
      </c>
      <c r="J478" s="929" t="s">
        <v>1890</v>
      </c>
      <c r="K478" s="928" t="s">
        <v>1703</v>
      </c>
      <c r="L478" s="930" t="s">
        <v>1813</v>
      </c>
      <c r="M478" s="927" t="s">
        <v>3485</v>
      </c>
      <c r="N478" s="930" t="s">
        <v>1690</v>
      </c>
      <c r="O478" s="927" t="s">
        <v>4219</v>
      </c>
      <c r="P478" s="930" t="s">
        <v>1695</v>
      </c>
      <c r="Q478" s="927" t="s">
        <v>3485</v>
      </c>
      <c r="R478" s="930" t="s">
        <v>1704</v>
      </c>
      <c r="S478" s="927" t="s">
        <v>3575</v>
      </c>
      <c r="T478" s="931" t="s">
        <v>1934</v>
      </c>
      <c r="U478" s="931" t="s">
        <v>1931</v>
      </c>
      <c r="V478" s="931" t="s">
        <v>2034</v>
      </c>
      <c r="W478" s="928"/>
    </row>
    <row r="479" spans="1:23" x14ac:dyDescent="0.2">
      <c r="A479" s="927" t="s">
        <v>4402</v>
      </c>
      <c r="B479" s="928">
        <v>8</v>
      </c>
      <c r="C479" s="928">
        <v>11</v>
      </c>
      <c r="D479" s="928">
        <v>25</v>
      </c>
      <c r="E479" s="928">
        <v>6</v>
      </c>
      <c r="F479" s="928">
        <v>12</v>
      </c>
      <c r="G479" s="928">
        <v>21</v>
      </c>
      <c r="H479" s="928">
        <v>2</v>
      </c>
      <c r="I479" s="929" t="s">
        <v>3436</v>
      </c>
      <c r="J479" s="929" t="s">
        <v>1890</v>
      </c>
      <c r="K479" s="928" t="s">
        <v>1703</v>
      </c>
      <c r="L479" s="930" t="s">
        <v>1813</v>
      </c>
      <c r="M479" s="927" t="s">
        <v>3485</v>
      </c>
      <c r="N479" s="930" t="s">
        <v>1690</v>
      </c>
      <c r="O479" s="927" t="s">
        <v>4219</v>
      </c>
      <c r="P479" s="930" t="s">
        <v>1695</v>
      </c>
      <c r="Q479" s="927" t="s">
        <v>3485</v>
      </c>
      <c r="R479" s="930" t="s">
        <v>1704</v>
      </c>
      <c r="S479" s="927" t="s">
        <v>3575</v>
      </c>
      <c r="T479" s="931" t="s">
        <v>1934</v>
      </c>
      <c r="U479" s="931" t="s">
        <v>1931</v>
      </c>
      <c r="V479" s="931" t="s">
        <v>2034</v>
      </c>
      <c r="W479" s="928"/>
    </row>
    <row r="480" spans="1:23" x14ac:dyDescent="0.2">
      <c r="A480" s="927" t="s">
        <v>4403</v>
      </c>
      <c r="B480" s="928">
        <v>10</v>
      </c>
      <c r="C480" s="928">
        <v>13</v>
      </c>
      <c r="D480" s="928">
        <v>30</v>
      </c>
      <c r="E480" s="928">
        <v>8</v>
      </c>
      <c r="F480" s="928">
        <v>16</v>
      </c>
      <c r="G480" s="928">
        <v>28</v>
      </c>
      <c r="H480" s="928">
        <v>3</v>
      </c>
      <c r="I480" s="929" t="s">
        <v>3436</v>
      </c>
      <c r="J480" s="929" t="s">
        <v>1890</v>
      </c>
      <c r="K480" s="928" t="s">
        <v>1703</v>
      </c>
      <c r="L480" s="930" t="s">
        <v>1813</v>
      </c>
      <c r="M480" s="927" t="s">
        <v>3485</v>
      </c>
      <c r="N480" s="930" t="s">
        <v>1690</v>
      </c>
      <c r="O480" s="927" t="s">
        <v>4219</v>
      </c>
      <c r="P480" s="930" t="s">
        <v>1695</v>
      </c>
      <c r="Q480" s="927" t="s">
        <v>3485</v>
      </c>
      <c r="R480" s="930" t="s">
        <v>1704</v>
      </c>
      <c r="S480" s="927" t="s">
        <v>3575</v>
      </c>
      <c r="T480" s="931" t="s">
        <v>1934</v>
      </c>
      <c r="U480" s="931" t="s">
        <v>1931</v>
      </c>
      <c r="V480" s="931" t="s">
        <v>2034</v>
      </c>
      <c r="W480" s="928"/>
    </row>
    <row r="481" spans="1:23" x14ac:dyDescent="0.2">
      <c r="A481" s="769" t="s">
        <v>3701</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4404</v>
      </c>
      <c r="B482" s="928">
        <v>2</v>
      </c>
      <c r="C482" s="928">
        <v>4</v>
      </c>
      <c r="D482" s="928">
        <v>5</v>
      </c>
      <c r="E482" s="928">
        <v>1</v>
      </c>
      <c r="F482" s="928">
        <v>2</v>
      </c>
      <c r="G482" s="928">
        <v>4</v>
      </c>
      <c r="H482" s="928">
        <v>1</v>
      </c>
      <c r="I482" s="929" t="s">
        <v>3436</v>
      </c>
      <c r="J482" s="929" t="s">
        <v>1537</v>
      </c>
      <c r="K482" s="928" t="s">
        <v>1695</v>
      </c>
      <c r="L482" s="930" t="s">
        <v>1813</v>
      </c>
      <c r="M482" s="927" t="s">
        <v>3484</v>
      </c>
      <c r="N482" s="930" t="s">
        <v>1690</v>
      </c>
      <c r="O482" s="927" t="s">
        <v>3575</v>
      </c>
      <c r="P482" s="930" t="s">
        <v>1703</v>
      </c>
      <c r="Q482" s="927" t="s">
        <v>3484</v>
      </c>
      <c r="R482" s="930" t="s">
        <v>1704</v>
      </c>
      <c r="S482" s="927" t="s">
        <v>3484</v>
      </c>
      <c r="T482" s="931" t="s">
        <v>2034</v>
      </c>
      <c r="U482" s="873" t="s">
        <v>3361</v>
      </c>
      <c r="V482" s="873" t="s">
        <v>3361</v>
      </c>
      <c r="W482" s="928"/>
    </row>
    <row r="483" spans="1:23" x14ac:dyDescent="0.2">
      <c r="A483" s="927" t="s">
        <v>4405</v>
      </c>
      <c r="B483" s="928">
        <v>3</v>
      </c>
      <c r="C483" s="928">
        <v>5</v>
      </c>
      <c r="D483" s="928">
        <v>10</v>
      </c>
      <c r="E483" s="928">
        <v>2</v>
      </c>
      <c r="F483" s="928">
        <v>4</v>
      </c>
      <c r="G483" s="928">
        <v>7</v>
      </c>
      <c r="H483" s="928">
        <v>1</v>
      </c>
      <c r="I483" s="929" t="s">
        <v>3436</v>
      </c>
      <c r="J483" s="929" t="s">
        <v>1537</v>
      </c>
      <c r="K483" s="928" t="s">
        <v>1695</v>
      </c>
      <c r="L483" s="930" t="s">
        <v>1813</v>
      </c>
      <c r="M483" s="927" t="s">
        <v>3484</v>
      </c>
      <c r="N483" s="930" t="s">
        <v>1690</v>
      </c>
      <c r="O483" s="927" t="s">
        <v>3575</v>
      </c>
      <c r="P483" s="930" t="s">
        <v>1703</v>
      </c>
      <c r="Q483" s="927" t="s">
        <v>3484</v>
      </c>
      <c r="R483" s="930" t="s">
        <v>1704</v>
      </c>
      <c r="S483" s="927" t="s">
        <v>3484</v>
      </c>
      <c r="T483" s="931" t="s">
        <v>2034</v>
      </c>
      <c r="U483" s="873" t="s">
        <v>3361</v>
      </c>
      <c r="V483" s="873" t="s">
        <v>3361</v>
      </c>
      <c r="W483" s="928"/>
    </row>
    <row r="484" spans="1:23" x14ac:dyDescent="0.2">
      <c r="A484" s="927" t="s">
        <v>4406</v>
      </c>
      <c r="B484" s="928">
        <v>4</v>
      </c>
      <c r="C484" s="928">
        <v>6</v>
      </c>
      <c r="D484" s="928">
        <v>10</v>
      </c>
      <c r="E484" s="928">
        <v>3</v>
      </c>
      <c r="F484" s="928">
        <v>6</v>
      </c>
      <c r="G484" s="928">
        <v>11</v>
      </c>
      <c r="H484" s="928">
        <v>1</v>
      </c>
      <c r="I484" s="929" t="s">
        <v>3436</v>
      </c>
      <c r="J484" s="929" t="s">
        <v>1537</v>
      </c>
      <c r="K484" s="928" t="s">
        <v>1695</v>
      </c>
      <c r="L484" s="930" t="s">
        <v>1813</v>
      </c>
      <c r="M484" s="927" t="s">
        <v>3484</v>
      </c>
      <c r="N484" s="930" t="s">
        <v>1690</v>
      </c>
      <c r="O484" s="927" t="s">
        <v>3575</v>
      </c>
      <c r="P484" s="930" t="s">
        <v>1703</v>
      </c>
      <c r="Q484" s="927" t="s">
        <v>3484</v>
      </c>
      <c r="R484" s="930" t="s">
        <v>1704</v>
      </c>
      <c r="S484" s="927" t="s">
        <v>3484</v>
      </c>
      <c r="T484" s="931" t="s">
        <v>2034</v>
      </c>
      <c r="U484" s="873" t="s">
        <v>3361</v>
      </c>
      <c r="V484" s="873" t="s">
        <v>3361</v>
      </c>
      <c r="W484" s="928"/>
    </row>
    <row r="485" spans="1:23" x14ac:dyDescent="0.2">
      <c r="A485" s="927" t="s">
        <v>4407</v>
      </c>
      <c r="B485" s="928">
        <v>5</v>
      </c>
      <c r="C485" s="928">
        <v>8</v>
      </c>
      <c r="D485" s="928">
        <v>15</v>
      </c>
      <c r="E485" s="928">
        <v>4</v>
      </c>
      <c r="F485" s="928">
        <v>8</v>
      </c>
      <c r="G485" s="928">
        <v>14</v>
      </c>
      <c r="H485" s="928">
        <v>1</v>
      </c>
      <c r="I485" s="929" t="s">
        <v>3436</v>
      </c>
      <c r="J485" s="929" t="s">
        <v>1537</v>
      </c>
      <c r="K485" s="928" t="s">
        <v>1695</v>
      </c>
      <c r="L485" s="930" t="s">
        <v>1813</v>
      </c>
      <c r="M485" s="927" t="s">
        <v>3484</v>
      </c>
      <c r="N485" s="930" t="s">
        <v>1690</v>
      </c>
      <c r="O485" s="927" t="s">
        <v>3575</v>
      </c>
      <c r="P485" s="930" t="s">
        <v>1703</v>
      </c>
      <c r="Q485" s="927" t="s">
        <v>3484</v>
      </c>
      <c r="R485" s="930" t="s">
        <v>1704</v>
      </c>
      <c r="S485" s="927" t="s">
        <v>3484</v>
      </c>
      <c r="T485" s="931" t="s">
        <v>2034</v>
      </c>
      <c r="U485" s="873" t="s">
        <v>3361</v>
      </c>
      <c r="V485" s="873" t="s">
        <v>3361</v>
      </c>
      <c r="W485" s="928"/>
    </row>
    <row r="486" spans="1:23" x14ac:dyDescent="0.2">
      <c r="A486" s="927" t="s">
        <v>4408</v>
      </c>
      <c r="B486" s="928">
        <v>6</v>
      </c>
      <c r="C486" s="928">
        <v>9</v>
      </c>
      <c r="D486" s="928">
        <v>20</v>
      </c>
      <c r="E486" s="928">
        <v>5</v>
      </c>
      <c r="F486" s="928">
        <v>10</v>
      </c>
      <c r="G486" s="928">
        <v>18</v>
      </c>
      <c r="H486" s="928">
        <v>1</v>
      </c>
      <c r="I486" s="929" t="s">
        <v>3436</v>
      </c>
      <c r="J486" s="929" t="s">
        <v>1537</v>
      </c>
      <c r="K486" s="928" t="s">
        <v>1695</v>
      </c>
      <c r="L486" s="930" t="s">
        <v>1813</v>
      </c>
      <c r="M486" s="927" t="s">
        <v>3484</v>
      </c>
      <c r="N486" s="930" t="s">
        <v>1690</v>
      </c>
      <c r="O486" s="927" t="s">
        <v>3575</v>
      </c>
      <c r="P486" s="930" t="s">
        <v>1703</v>
      </c>
      <c r="Q486" s="927" t="s">
        <v>3484</v>
      </c>
      <c r="R486" s="930" t="s">
        <v>1704</v>
      </c>
      <c r="S486" s="927" t="s">
        <v>3484</v>
      </c>
      <c r="T486" s="931" t="s">
        <v>2034</v>
      </c>
      <c r="U486" s="873" t="s">
        <v>3361</v>
      </c>
      <c r="V486" s="873" t="s">
        <v>3361</v>
      </c>
      <c r="W486" s="928"/>
    </row>
    <row r="487" spans="1:23" x14ac:dyDescent="0.2">
      <c r="A487" s="927" t="s">
        <v>4409</v>
      </c>
      <c r="B487" s="928">
        <v>8</v>
      </c>
      <c r="C487" s="928">
        <v>11</v>
      </c>
      <c r="D487" s="928">
        <v>25</v>
      </c>
      <c r="E487" s="928">
        <v>6</v>
      </c>
      <c r="F487" s="928">
        <v>12</v>
      </c>
      <c r="G487" s="928">
        <v>21</v>
      </c>
      <c r="H487" s="928">
        <v>2</v>
      </c>
      <c r="I487" s="929" t="s">
        <v>3436</v>
      </c>
      <c r="J487" s="929" t="s">
        <v>1537</v>
      </c>
      <c r="K487" s="928" t="s">
        <v>1695</v>
      </c>
      <c r="L487" s="930" t="s">
        <v>1813</v>
      </c>
      <c r="M487" s="927" t="s">
        <v>3484</v>
      </c>
      <c r="N487" s="930" t="s">
        <v>1690</v>
      </c>
      <c r="O487" s="927" t="s">
        <v>3575</v>
      </c>
      <c r="P487" s="930" t="s">
        <v>1703</v>
      </c>
      <c r="Q487" s="927" t="s">
        <v>3484</v>
      </c>
      <c r="R487" s="930" t="s">
        <v>1704</v>
      </c>
      <c r="S487" s="927" t="s">
        <v>3484</v>
      </c>
      <c r="T487" s="931" t="s">
        <v>2034</v>
      </c>
      <c r="U487" s="873" t="s">
        <v>3361</v>
      </c>
      <c r="V487" s="873" t="s">
        <v>3361</v>
      </c>
      <c r="W487" s="928"/>
    </row>
    <row r="488" spans="1:23" x14ac:dyDescent="0.2">
      <c r="A488" s="927" t="s">
        <v>4410</v>
      </c>
      <c r="B488" s="928">
        <v>10</v>
      </c>
      <c r="C488" s="928">
        <v>13</v>
      </c>
      <c r="D488" s="928">
        <v>30</v>
      </c>
      <c r="E488" s="928">
        <v>7</v>
      </c>
      <c r="F488" s="928">
        <v>14</v>
      </c>
      <c r="G488" s="928">
        <v>25</v>
      </c>
      <c r="H488" s="928">
        <v>2</v>
      </c>
      <c r="I488" s="929" t="s">
        <v>3436</v>
      </c>
      <c r="J488" s="929" t="s">
        <v>1537</v>
      </c>
      <c r="K488" s="928" t="s">
        <v>1695</v>
      </c>
      <c r="L488" s="930" t="s">
        <v>1813</v>
      </c>
      <c r="M488" s="927" t="s">
        <v>3484</v>
      </c>
      <c r="N488" s="930" t="s">
        <v>1690</v>
      </c>
      <c r="O488" s="927" t="s">
        <v>3575</v>
      </c>
      <c r="P488" s="930" t="s">
        <v>1703</v>
      </c>
      <c r="Q488" s="927" t="s">
        <v>3484</v>
      </c>
      <c r="R488" s="930" t="s">
        <v>1704</v>
      </c>
      <c r="S488" s="927" t="s">
        <v>3484</v>
      </c>
      <c r="T488" s="931" t="s">
        <v>2034</v>
      </c>
      <c r="U488" s="873" t="s">
        <v>3361</v>
      </c>
      <c r="V488" s="873" t="s">
        <v>3361</v>
      </c>
      <c r="W488" s="928"/>
    </row>
    <row r="489" spans="1:23" x14ac:dyDescent="0.2">
      <c r="A489" s="927" t="s">
        <v>4411</v>
      </c>
      <c r="B489" s="928">
        <v>14</v>
      </c>
      <c r="C489" s="928">
        <v>18</v>
      </c>
      <c r="D489" s="928">
        <v>35</v>
      </c>
      <c r="E489" s="928">
        <v>8</v>
      </c>
      <c r="F489" s="928">
        <v>16</v>
      </c>
      <c r="G489" s="928">
        <v>28</v>
      </c>
      <c r="H489" s="928">
        <v>3</v>
      </c>
      <c r="I489" s="929" t="s">
        <v>3436</v>
      </c>
      <c r="J489" s="929" t="s">
        <v>1537</v>
      </c>
      <c r="K489" s="928" t="s">
        <v>1695</v>
      </c>
      <c r="L489" s="930" t="s">
        <v>1813</v>
      </c>
      <c r="M489" s="927" t="s">
        <v>3484</v>
      </c>
      <c r="N489" s="930" t="s">
        <v>1690</v>
      </c>
      <c r="O489" s="927" t="s">
        <v>3575</v>
      </c>
      <c r="P489" s="930" t="s">
        <v>1703</v>
      </c>
      <c r="Q489" s="927" t="s">
        <v>3484</v>
      </c>
      <c r="R489" s="930" t="s">
        <v>1704</v>
      </c>
      <c r="S489" s="927" t="s">
        <v>3484</v>
      </c>
      <c r="T489" s="931" t="s">
        <v>2034</v>
      </c>
      <c r="U489" s="873" t="s">
        <v>3361</v>
      </c>
      <c r="V489" s="873" t="s">
        <v>3361</v>
      </c>
      <c r="W489" s="928"/>
    </row>
    <row r="490" spans="1:23" x14ac:dyDescent="0.2">
      <c r="A490" s="927" t="s">
        <v>4412</v>
      </c>
      <c r="B490" s="928">
        <v>18</v>
      </c>
      <c r="C490" s="928">
        <v>22</v>
      </c>
      <c r="D490" s="928">
        <v>40</v>
      </c>
      <c r="E490" s="928">
        <v>10</v>
      </c>
      <c r="F490" s="928">
        <v>20</v>
      </c>
      <c r="G490" s="928">
        <v>35</v>
      </c>
      <c r="H490" s="928">
        <v>3</v>
      </c>
      <c r="I490" s="929" t="s">
        <v>3436</v>
      </c>
      <c r="J490" s="929" t="s">
        <v>1537</v>
      </c>
      <c r="K490" s="928" t="s">
        <v>1695</v>
      </c>
      <c r="L490" s="930" t="s">
        <v>1813</v>
      </c>
      <c r="M490" s="927" t="s">
        <v>3484</v>
      </c>
      <c r="N490" s="930" t="s">
        <v>1690</v>
      </c>
      <c r="O490" s="927" t="s">
        <v>3575</v>
      </c>
      <c r="P490" s="930" t="s">
        <v>1703</v>
      </c>
      <c r="Q490" s="927" t="s">
        <v>3484</v>
      </c>
      <c r="R490" s="930" t="s">
        <v>1704</v>
      </c>
      <c r="S490" s="927" t="s">
        <v>3484</v>
      </c>
      <c r="T490" s="931" t="s">
        <v>2034</v>
      </c>
      <c r="U490" s="873" t="s">
        <v>3361</v>
      </c>
      <c r="V490" s="873" t="s">
        <v>3361</v>
      </c>
      <c r="W490" s="928"/>
    </row>
    <row r="491" spans="1:23" x14ac:dyDescent="0.2">
      <c r="A491" s="933" t="s">
        <v>4413</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4414</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3705</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4415</v>
      </c>
      <c r="B494" s="928">
        <v>1</v>
      </c>
      <c r="C494" s="928">
        <v>2</v>
      </c>
      <c r="D494" s="928">
        <v>5</v>
      </c>
      <c r="E494" s="928">
        <v>1</v>
      </c>
      <c r="F494" s="928">
        <v>2</v>
      </c>
      <c r="G494" s="928">
        <v>4</v>
      </c>
      <c r="H494" s="928">
        <v>1</v>
      </c>
      <c r="I494" s="929" t="s">
        <v>3436</v>
      </c>
      <c r="J494" s="929" t="s">
        <v>1537</v>
      </c>
      <c r="K494" s="928" t="s">
        <v>1703</v>
      </c>
      <c r="L494" s="930" t="s">
        <v>1813</v>
      </c>
      <c r="M494" s="927" t="s">
        <v>3575</v>
      </c>
      <c r="N494" s="930" t="s">
        <v>1690</v>
      </c>
      <c r="O494" s="927" t="s">
        <v>3485</v>
      </c>
      <c r="P494" s="930" t="s">
        <v>1695</v>
      </c>
      <c r="Q494" s="927" t="s">
        <v>3575</v>
      </c>
      <c r="R494" s="930" t="s">
        <v>1704</v>
      </c>
      <c r="S494" s="927" t="s">
        <v>3575</v>
      </c>
      <c r="T494" s="931" t="s">
        <v>1934</v>
      </c>
      <c r="U494" s="931" t="s">
        <v>2029</v>
      </c>
      <c r="V494" s="931" t="s">
        <v>2034</v>
      </c>
      <c r="W494" s="928"/>
    </row>
    <row r="495" spans="1:23" x14ac:dyDescent="0.2">
      <c r="A495" s="769" t="s">
        <v>2015</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4416</v>
      </c>
      <c r="B496" s="928">
        <v>2</v>
      </c>
      <c r="C496" s="928">
        <v>4</v>
      </c>
      <c r="D496" s="928">
        <v>5</v>
      </c>
      <c r="E496" s="928">
        <v>1</v>
      </c>
      <c r="F496" s="928">
        <v>2</v>
      </c>
      <c r="G496" s="928">
        <v>4</v>
      </c>
      <c r="H496" s="928">
        <v>1</v>
      </c>
      <c r="I496" s="929" t="s">
        <v>3441</v>
      </c>
      <c r="J496" s="929" t="s">
        <v>1890</v>
      </c>
      <c r="K496" s="928" t="s">
        <v>1813</v>
      </c>
      <c r="L496" s="930" t="s">
        <v>1690</v>
      </c>
      <c r="M496" s="927" t="s">
        <v>3485</v>
      </c>
      <c r="N496" s="930" t="s">
        <v>1695</v>
      </c>
      <c r="O496" s="927" t="s">
        <v>3485</v>
      </c>
      <c r="P496" s="930" t="s">
        <v>1703</v>
      </c>
      <c r="Q496" s="927" t="s">
        <v>3485</v>
      </c>
      <c r="R496" s="930" t="s">
        <v>1704</v>
      </c>
      <c r="S496" s="927" t="s">
        <v>3575</v>
      </c>
      <c r="T496" s="931" t="s">
        <v>2034</v>
      </c>
      <c r="U496" s="873" t="s">
        <v>3361</v>
      </c>
      <c r="V496" s="873" t="s">
        <v>3361</v>
      </c>
      <c r="W496" s="928"/>
    </row>
    <row r="497" spans="1:23" x14ac:dyDescent="0.2">
      <c r="A497" s="927" t="s">
        <v>4417</v>
      </c>
      <c r="B497" s="928">
        <v>3</v>
      </c>
      <c r="C497" s="928">
        <v>5</v>
      </c>
      <c r="D497" s="928">
        <v>5</v>
      </c>
      <c r="E497" s="928">
        <v>1</v>
      </c>
      <c r="F497" s="928">
        <v>2</v>
      </c>
      <c r="G497" s="928">
        <v>4</v>
      </c>
      <c r="H497" s="928">
        <v>1</v>
      </c>
      <c r="I497" s="929" t="s">
        <v>3441</v>
      </c>
      <c r="J497" s="929" t="s">
        <v>1890</v>
      </c>
      <c r="K497" s="928" t="s">
        <v>1813</v>
      </c>
      <c r="L497" s="930" t="s">
        <v>1690</v>
      </c>
      <c r="M497" s="927" t="s">
        <v>3485</v>
      </c>
      <c r="N497" s="930" t="s">
        <v>1695</v>
      </c>
      <c r="O497" s="927" t="s">
        <v>3485</v>
      </c>
      <c r="P497" s="930" t="s">
        <v>1703</v>
      </c>
      <c r="Q497" s="927" t="s">
        <v>3485</v>
      </c>
      <c r="R497" s="930" t="s">
        <v>1704</v>
      </c>
      <c r="S497" s="927" t="s">
        <v>3575</v>
      </c>
      <c r="T497" s="931" t="s">
        <v>2034</v>
      </c>
      <c r="U497" s="873" t="s">
        <v>3361</v>
      </c>
      <c r="V497" s="873" t="s">
        <v>3361</v>
      </c>
      <c r="W497" s="928"/>
    </row>
    <row r="498" spans="1:23" x14ac:dyDescent="0.2">
      <c r="A498" s="927" t="s">
        <v>4418</v>
      </c>
      <c r="B498" s="928">
        <v>4</v>
      </c>
      <c r="C498" s="928">
        <v>6</v>
      </c>
      <c r="D498" s="928">
        <v>10</v>
      </c>
      <c r="E498" s="928">
        <v>2</v>
      </c>
      <c r="F498" s="928">
        <v>4</v>
      </c>
      <c r="G498" s="928">
        <v>7</v>
      </c>
      <c r="H498" s="928">
        <v>1</v>
      </c>
      <c r="I498" s="929" t="s">
        <v>3441</v>
      </c>
      <c r="J498" s="929" t="s">
        <v>1890</v>
      </c>
      <c r="K498" s="928" t="s">
        <v>1813</v>
      </c>
      <c r="L498" s="930" t="s">
        <v>1690</v>
      </c>
      <c r="M498" s="927" t="s">
        <v>3485</v>
      </c>
      <c r="N498" s="930" t="s">
        <v>1695</v>
      </c>
      <c r="O498" s="927" t="s">
        <v>3485</v>
      </c>
      <c r="P498" s="930" t="s">
        <v>1703</v>
      </c>
      <c r="Q498" s="927" t="s">
        <v>3485</v>
      </c>
      <c r="R498" s="930" t="s">
        <v>1704</v>
      </c>
      <c r="S498" s="927" t="s">
        <v>3575</v>
      </c>
      <c r="T498" s="931" t="s">
        <v>2034</v>
      </c>
      <c r="U498" s="873" t="s">
        <v>3361</v>
      </c>
      <c r="V498" s="873" t="s">
        <v>3361</v>
      </c>
      <c r="W498" s="928"/>
    </row>
    <row r="499" spans="1:23" x14ac:dyDescent="0.2">
      <c r="A499" s="927" t="s">
        <v>4419</v>
      </c>
      <c r="B499" s="928">
        <v>5</v>
      </c>
      <c r="C499" s="928">
        <v>8</v>
      </c>
      <c r="D499" s="928">
        <v>15</v>
      </c>
      <c r="E499" s="928">
        <v>3</v>
      </c>
      <c r="F499" s="928">
        <v>6</v>
      </c>
      <c r="G499" s="928">
        <v>11</v>
      </c>
      <c r="H499" s="928">
        <v>1</v>
      </c>
      <c r="I499" s="929" t="s">
        <v>3441</v>
      </c>
      <c r="J499" s="929" t="s">
        <v>1890</v>
      </c>
      <c r="K499" s="928" t="s">
        <v>1813</v>
      </c>
      <c r="L499" s="930" t="s">
        <v>1690</v>
      </c>
      <c r="M499" s="927" t="s">
        <v>3485</v>
      </c>
      <c r="N499" s="930" t="s">
        <v>1695</v>
      </c>
      <c r="O499" s="927" t="s">
        <v>3485</v>
      </c>
      <c r="P499" s="930" t="s">
        <v>1703</v>
      </c>
      <c r="Q499" s="927" t="s">
        <v>3485</v>
      </c>
      <c r="R499" s="930" t="s">
        <v>1704</v>
      </c>
      <c r="S499" s="927" t="s">
        <v>3575</v>
      </c>
      <c r="T499" s="931" t="s">
        <v>2034</v>
      </c>
      <c r="U499" s="873" t="s">
        <v>3361</v>
      </c>
      <c r="V499" s="873" t="s">
        <v>3361</v>
      </c>
      <c r="W499" s="928"/>
    </row>
    <row r="500" spans="1:23" x14ac:dyDescent="0.2">
      <c r="A500" s="927" t="s">
        <v>4420</v>
      </c>
      <c r="B500" s="928">
        <v>8</v>
      </c>
      <c r="C500" s="928">
        <v>11</v>
      </c>
      <c r="D500" s="928">
        <v>20</v>
      </c>
      <c r="E500" s="928">
        <v>4</v>
      </c>
      <c r="F500" s="928">
        <v>8</v>
      </c>
      <c r="G500" s="928">
        <v>14</v>
      </c>
      <c r="H500" s="928">
        <v>1</v>
      </c>
      <c r="I500" s="929" t="s">
        <v>3441</v>
      </c>
      <c r="J500" s="929" t="s">
        <v>1890</v>
      </c>
      <c r="K500" s="928" t="s">
        <v>1813</v>
      </c>
      <c r="L500" s="930" t="s">
        <v>1690</v>
      </c>
      <c r="M500" s="927" t="s">
        <v>3485</v>
      </c>
      <c r="N500" s="930" t="s">
        <v>1695</v>
      </c>
      <c r="O500" s="927" t="s">
        <v>3485</v>
      </c>
      <c r="P500" s="930" t="s">
        <v>1703</v>
      </c>
      <c r="Q500" s="927" t="s">
        <v>3485</v>
      </c>
      <c r="R500" s="930" t="s">
        <v>1704</v>
      </c>
      <c r="S500" s="927" t="s">
        <v>3575</v>
      </c>
      <c r="T500" s="931" t="s">
        <v>2034</v>
      </c>
      <c r="U500" s="873" t="s">
        <v>3361</v>
      </c>
      <c r="V500" s="873" t="s">
        <v>3361</v>
      </c>
      <c r="W500" s="928"/>
    </row>
    <row r="501" spans="1:23" x14ac:dyDescent="0.2">
      <c r="A501" s="927" t="s">
        <v>4421</v>
      </c>
      <c r="B501" s="928">
        <v>12</v>
      </c>
      <c r="C501" s="928">
        <v>15</v>
      </c>
      <c r="D501" s="928">
        <v>25</v>
      </c>
      <c r="E501" s="928">
        <v>5</v>
      </c>
      <c r="F501" s="928">
        <v>10</v>
      </c>
      <c r="G501" s="928">
        <v>18</v>
      </c>
      <c r="H501" s="928">
        <v>1</v>
      </c>
      <c r="I501" s="929" t="s">
        <v>3441</v>
      </c>
      <c r="J501" s="929" t="s">
        <v>1890</v>
      </c>
      <c r="K501" s="928" t="s">
        <v>1813</v>
      </c>
      <c r="L501" s="930" t="s">
        <v>1690</v>
      </c>
      <c r="M501" s="927" t="s">
        <v>3485</v>
      </c>
      <c r="N501" s="930" t="s">
        <v>1695</v>
      </c>
      <c r="O501" s="927" t="s">
        <v>3485</v>
      </c>
      <c r="P501" s="930" t="s">
        <v>1703</v>
      </c>
      <c r="Q501" s="927" t="s">
        <v>3485</v>
      </c>
      <c r="R501" s="930" t="s">
        <v>1704</v>
      </c>
      <c r="S501" s="927" t="s">
        <v>3575</v>
      </c>
      <c r="T501" s="931" t="s">
        <v>2034</v>
      </c>
      <c r="U501" s="873" t="s">
        <v>3361</v>
      </c>
      <c r="V501" s="873" t="s">
        <v>3361</v>
      </c>
      <c r="W501" s="928"/>
    </row>
    <row r="502" spans="1:23" x14ac:dyDescent="0.2">
      <c r="A502" s="927" t="s">
        <v>4422</v>
      </c>
      <c r="B502" s="928">
        <v>14</v>
      </c>
      <c r="C502" s="928">
        <v>18</v>
      </c>
      <c r="D502" s="928">
        <v>30</v>
      </c>
      <c r="E502" s="928">
        <v>8</v>
      </c>
      <c r="F502" s="928">
        <v>16</v>
      </c>
      <c r="G502" s="928">
        <v>28</v>
      </c>
      <c r="H502" s="928">
        <v>2</v>
      </c>
      <c r="I502" s="929" t="s">
        <v>3441</v>
      </c>
      <c r="J502" s="929" t="s">
        <v>1890</v>
      </c>
      <c r="K502" s="928" t="s">
        <v>1813</v>
      </c>
      <c r="L502" s="930" t="s">
        <v>1690</v>
      </c>
      <c r="M502" s="927" t="s">
        <v>3485</v>
      </c>
      <c r="N502" s="930" t="s">
        <v>1695</v>
      </c>
      <c r="O502" s="927" t="s">
        <v>3485</v>
      </c>
      <c r="P502" s="930" t="s">
        <v>1703</v>
      </c>
      <c r="Q502" s="927" t="s">
        <v>3485</v>
      </c>
      <c r="R502" s="930" t="s">
        <v>1704</v>
      </c>
      <c r="S502" s="927" t="s">
        <v>3575</v>
      </c>
      <c r="T502" s="931" t="s">
        <v>2034</v>
      </c>
      <c r="U502" s="873" t="s">
        <v>3361</v>
      </c>
      <c r="V502" s="873" t="s">
        <v>3361</v>
      </c>
      <c r="W502" s="928"/>
    </row>
    <row r="503" spans="1:23" x14ac:dyDescent="0.2">
      <c r="A503" s="927" t="s">
        <v>4423</v>
      </c>
      <c r="B503" s="928">
        <v>18</v>
      </c>
      <c r="C503" s="928">
        <v>22</v>
      </c>
      <c r="D503" s="928">
        <v>35</v>
      </c>
      <c r="E503" s="928">
        <v>10</v>
      </c>
      <c r="F503" s="928">
        <v>20</v>
      </c>
      <c r="G503" s="928">
        <v>35</v>
      </c>
      <c r="H503" s="928">
        <v>2</v>
      </c>
      <c r="I503" s="929" t="s">
        <v>3441</v>
      </c>
      <c r="J503" s="929" t="s">
        <v>1890</v>
      </c>
      <c r="K503" s="928" t="s">
        <v>1813</v>
      </c>
      <c r="L503" s="930" t="s">
        <v>1690</v>
      </c>
      <c r="M503" s="927" t="s">
        <v>3485</v>
      </c>
      <c r="N503" s="930" t="s">
        <v>1695</v>
      </c>
      <c r="O503" s="927" t="s">
        <v>3485</v>
      </c>
      <c r="P503" s="930" t="s">
        <v>1703</v>
      </c>
      <c r="Q503" s="927" t="s">
        <v>3485</v>
      </c>
      <c r="R503" s="930" t="s">
        <v>1704</v>
      </c>
      <c r="S503" s="927" t="s">
        <v>3575</v>
      </c>
      <c r="T503" s="931" t="s">
        <v>2034</v>
      </c>
      <c r="U503" s="873" t="s">
        <v>3361</v>
      </c>
      <c r="V503" s="873" t="s">
        <v>3361</v>
      </c>
      <c r="W503" s="928"/>
    </row>
    <row r="504" spans="1:23" x14ac:dyDescent="0.2">
      <c r="A504" s="927" t="s">
        <v>4424</v>
      </c>
      <c r="B504" s="928">
        <v>22</v>
      </c>
      <c r="C504" s="928">
        <v>26</v>
      </c>
      <c r="D504" s="928">
        <v>40</v>
      </c>
      <c r="E504" s="928">
        <v>12</v>
      </c>
      <c r="F504" s="928">
        <v>24</v>
      </c>
      <c r="G504" s="928">
        <v>42</v>
      </c>
      <c r="H504" s="928">
        <v>3</v>
      </c>
      <c r="I504" s="929" t="s">
        <v>3441</v>
      </c>
      <c r="J504" s="929" t="s">
        <v>1890</v>
      </c>
      <c r="K504" s="928" t="s">
        <v>1813</v>
      </c>
      <c r="L504" s="930" t="s">
        <v>1690</v>
      </c>
      <c r="M504" s="927" t="s">
        <v>3485</v>
      </c>
      <c r="N504" s="930" t="s">
        <v>1695</v>
      </c>
      <c r="O504" s="927" t="s">
        <v>3485</v>
      </c>
      <c r="P504" s="930" t="s">
        <v>1703</v>
      </c>
      <c r="Q504" s="927" t="s">
        <v>3485</v>
      </c>
      <c r="R504" s="930" t="s">
        <v>1704</v>
      </c>
      <c r="S504" s="927" t="s">
        <v>3575</v>
      </c>
      <c r="T504" s="931" t="s">
        <v>2034</v>
      </c>
      <c r="U504" s="873" t="s">
        <v>3361</v>
      </c>
      <c r="V504" s="873" t="s">
        <v>3361</v>
      </c>
      <c r="W504" s="928"/>
    </row>
    <row r="505" spans="1:23" x14ac:dyDescent="0.2">
      <c r="A505" s="933" t="s">
        <v>4425</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4426</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3361</v>
      </c>
      <c r="V506" s="873" t="s">
        <v>3361</v>
      </c>
      <c r="W506" s="928"/>
    </row>
    <row r="507" spans="1:23" x14ac:dyDescent="0.2">
      <c r="A507" s="927" t="s">
        <v>4427</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3361</v>
      </c>
      <c r="V507" s="873" t="s">
        <v>3361</v>
      </c>
      <c r="W507" s="928"/>
    </row>
    <row r="508" spans="1:23" x14ac:dyDescent="0.2">
      <c r="A508" s="927" t="s">
        <v>4428</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3361</v>
      </c>
      <c r="V508" s="873" t="s">
        <v>3361</v>
      </c>
      <c r="W508" s="928"/>
    </row>
    <row r="509" spans="1:23" x14ac:dyDescent="0.2">
      <c r="A509" s="769" t="s">
        <v>3716</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4429</v>
      </c>
      <c r="B510" s="928">
        <v>1</v>
      </c>
      <c r="C510" s="928">
        <v>2</v>
      </c>
      <c r="D510" s="928">
        <v>5</v>
      </c>
      <c r="E510" s="928">
        <v>1</v>
      </c>
      <c r="F510" s="928">
        <v>2</v>
      </c>
      <c r="G510" s="928">
        <v>4</v>
      </c>
      <c r="H510" s="928">
        <v>1</v>
      </c>
      <c r="I510" s="929" t="s">
        <v>3441</v>
      </c>
      <c r="J510" s="929" t="s">
        <v>4199</v>
      </c>
      <c r="K510" s="928" t="s">
        <v>1704</v>
      </c>
      <c r="L510" s="930" t="s">
        <v>1685</v>
      </c>
      <c r="M510" s="927" t="s">
        <v>3484</v>
      </c>
      <c r="N510" s="930" t="s">
        <v>1690</v>
      </c>
      <c r="O510" s="927" t="s">
        <v>3485</v>
      </c>
      <c r="P510" s="930" t="s">
        <v>1813</v>
      </c>
      <c r="Q510" s="927" t="s">
        <v>3485</v>
      </c>
      <c r="R510" s="930" t="s">
        <v>1703</v>
      </c>
      <c r="S510" s="927" t="s">
        <v>3575</v>
      </c>
      <c r="T510" s="931" t="s">
        <v>1934</v>
      </c>
      <c r="U510" s="931" t="s">
        <v>2030</v>
      </c>
      <c r="V510" s="873" t="s">
        <v>3361</v>
      </c>
      <c r="W510" s="873" t="s">
        <v>3361</v>
      </c>
    </row>
    <row r="511" spans="1:23" x14ac:dyDescent="0.2">
      <c r="A511" s="927" t="s">
        <v>4430</v>
      </c>
      <c r="B511" s="928">
        <v>2</v>
      </c>
      <c r="C511" s="928">
        <v>4</v>
      </c>
      <c r="D511" s="928">
        <v>5</v>
      </c>
      <c r="E511" s="928">
        <v>2</v>
      </c>
      <c r="F511" s="928">
        <v>4</v>
      </c>
      <c r="G511" s="928">
        <v>7</v>
      </c>
      <c r="H511" s="928">
        <v>1</v>
      </c>
      <c r="I511" s="929" t="s">
        <v>3441</v>
      </c>
      <c r="J511" s="929" t="s">
        <v>4199</v>
      </c>
      <c r="K511" s="928" t="s">
        <v>1704</v>
      </c>
      <c r="L511" s="930" t="s">
        <v>1685</v>
      </c>
      <c r="M511" s="927" t="s">
        <v>3484</v>
      </c>
      <c r="N511" s="930" t="s">
        <v>1690</v>
      </c>
      <c r="O511" s="927" t="s">
        <v>3485</v>
      </c>
      <c r="P511" s="930" t="s">
        <v>1813</v>
      </c>
      <c r="Q511" s="927" t="s">
        <v>3485</v>
      </c>
      <c r="R511" s="930" t="s">
        <v>1703</v>
      </c>
      <c r="S511" s="927" t="s">
        <v>3575</v>
      </c>
      <c r="T511" s="931" t="s">
        <v>1934</v>
      </c>
      <c r="U511" s="931" t="s">
        <v>2030</v>
      </c>
      <c r="V511" s="873" t="s">
        <v>3361</v>
      </c>
      <c r="W511" s="873" t="s">
        <v>3361</v>
      </c>
    </row>
    <row r="512" spans="1:23" x14ac:dyDescent="0.2">
      <c r="A512" s="927" t="s">
        <v>4431</v>
      </c>
      <c r="B512" s="928">
        <v>4</v>
      </c>
      <c r="C512" s="928">
        <v>6</v>
      </c>
      <c r="D512" s="928">
        <v>10</v>
      </c>
      <c r="E512" s="928">
        <v>3</v>
      </c>
      <c r="F512" s="928">
        <v>6</v>
      </c>
      <c r="G512" s="928">
        <v>11</v>
      </c>
      <c r="H512" s="928">
        <v>1</v>
      </c>
      <c r="I512" s="929" t="s">
        <v>3441</v>
      </c>
      <c r="J512" s="929" t="s">
        <v>4199</v>
      </c>
      <c r="K512" s="928" t="s">
        <v>1704</v>
      </c>
      <c r="L512" s="930" t="s">
        <v>1685</v>
      </c>
      <c r="M512" s="927" t="s">
        <v>3484</v>
      </c>
      <c r="N512" s="930" t="s">
        <v>1690</v>
      </c>
      <c r="O512" s="927" t="s">
        <v>3485</v>
      </c>
      <c r="P512" s="930" t="s">
        <v>1813</v>
      </c>
      <c r="Q512" s="927" t="s">
        <v>3485</v>
      </c>
      <c r="R512" s="930" t="s">
        <v>1703</v>
      </c>
      <c r="S512" s="927" t="s">
        <v>3575</v>
      </c>
      <c r="T512" s="931" t="s">
        <v>1934</v>
      </c>
      <c r="U512" s="931" t="s">
        <v>2030</v>
      </c>
      <c r="V512" s="873" t="s">
        <v>3361</v>
      </c>
      <c r="W512" s="873" t="s">
        <v>3361</v>
      </c>
    </row>
    <row r="513" spans="1:23" x14ac:dyDescent="0.2">
      <c r="A513" s="927" t="s">
        <v>4432</v>
      </c>
      <c r="B513" s="928">
        <v>6</v>
      </c>
      <c r="C513" s="928">
        <v>9</v>
      </c>
      <c r="D513" s="928">
        <v>10</v>
      </c>
      <c r="E513" s="928">
        <v>4</v>
      </c>
      <c r="F513" s="928">
        <v>8</v>
      </c>
      <c r="G513" s="928">
        <v>14</v>
      </c>
      <c r="H513" s="928">
        <v>1</v>
      </c>
      <c r="I513" s="929" t="s">
        <v>3441</v>
      </c>
      <c r="J513" s="929" t="s">
        <v>4199</v>
      </c>
      <c r="K513" s="928" t="s">
        <v>1704</v>
      </c>
      <c r="L513" s="930" t="s">
        <v>1685</v>
      </c>
      <c r="M513" s="927" t="s">
        <v>3484</v>
      </c>
      <c r="N513" s="930" t="s">
        <v>1690</v>
      </c>
      <c r="O513" s="927" t="s">
        <v>3485</v>
      </c>
      <c r="P513" s="930" t="s">
        <v>1813</v>
      </c>
      <c r="Q513" s="927" t="s">
        <v>3485</v>
      </c>
      <c r="R513" s="930" t="s">
        <v>1703</v>
      </c>
      <c r="S513" s="927" t="s">
        <v>3575</v>
      </c>
      <c r="T513" s="931" t="s">
        <v>1934</v>
      </c>
      <c r="U513" s="931" t="s">
        <v>2030</v>
      </c>
      <c r="V513" s="873" t="s">
        <v>3361</v>
      </c>
      <c r="W513" s="873" t="s">
        <v>3361</v>
      </c>
    </row>
    <row r="514" spans="1:23" x14ac:dyDescent="0.2">
      <c r="A514" s="927" t="s">
        <v>4433</v>
      </c>
      <c r="B514" s="928">
        <v>8</v>
      </c>
      <c r="C514" s="928">
        <v>11</v>
      </c>
      <c r="D514" s="928">
        <v>15</v>
      </c>
      <c r="E514" s="928">
        <v>6</v>
      </c>
      <c r="F514" s="928">
        <v>12</v>
      </c>
      <c r="G514" s="928">
        <v>21</v>
      </c>
      <c r="H514" s="928">
        <v>2</v>
      </c>
      <c r="I514" s="929" t="s">
        <v>3441</v>
      </c>
      <c r="J514" s="929" t="s">
        <v>4199</v>
      </c>
      <c r="K514" s="928" t="s">
        <v>1704</v>
      </c>
      <c r="L514" s="930" t="s">
        <v>1685</v>
      </c>
      <c r="M514" s="927" t="s">
        <v>3484</v>
      </c>
      <c r="N514" s="930" t="s">
        <v>1690</v>
      </c>
      <c r="O514" s="927" t="s">
        <v>3485</v>
      </c>
      <c r="P514" s="930" t="s">
        <v>1813</v>
      </c>
      <c r="Q514" s="927" t="s">
        <v>3485</v>
      </c>
      <c r="R514" s="930" t="s">
        <v>1703</v>
      </c>
      <c r="S514" s="927" t="s">
        <v>3575</v>
      </c>
      <c r="T514" s="931" t="s">
        <v>1934</v>
      </c>
      <c r="U514" s="931" t="s">
        <v>2030</v>
      </c>
      <c r="V514" s="873" t="s">
        <v>3361</v>
      </c>
      <c r="W514" s="873" t="s">
        <v>3361</v>
      </c>
    </row>
    <row r="515" spans="1:23" x14ac:dyDescent="0.2">
      <c r="A515" s="927" t="s">
        <v>4434</v>
      </c>
      <c r="B515" s="928">
        <v>10</v>
      </c>
      <c r="C515" s="928">
        <v>13</v>
      </c>
      <c r="D515" s="928">
        <v>20</v>
      </c>
      <c r="E515" s="928">
        <v>8</v>
      </c>
      <c r="F515" s="928">
        <v>16</v>
      </c>
      <c r="G515" s="928">
        <v>28</v>
      </c>
      <c r="H515" s="928">
        <v>2</v>
      </c>
      <c r="I515" s="929" t="s">
        <v>3441</v>
      </c>
      <c r="J515" s="929" t="s">
        <v>4199</v>
      </c>
      <c r="K515" s="928" t="s">
        <v>1704</v>
      </c>
      <c r="L515" s="930" t="s">
        <v>1685</v>
      </c>
      <c r="M515" s="927" t="s">
        <v>3484</v>
      </c>
      <c r="N515" s="930" t="s">
        <v>1690</v>
      </c>
      <c r="O515" s="927" t="s">
        <v>3485</v>
      </c>
      <c r="P515" s="930" t="s">
        <v>1813</v>
      </c>
      <c r="Q515" s="927" t="s">
        <v>3485</v>
      </c>
      <c r="R515" s="930" t="s">
        <v>1703</v>
      </c>
      <c r="S515" s="927" t="s">
        <v>3575</v>
      </c>
      <c r="T515" s="931" t="s">
        <v>1934</v>
      </c>
      <c r="U515" s="931" t="s">
        <v>2030</v>
      </c>
      <c r="V515" s="873" t="s">
        <v>3361</v>
      </c>
      <c r="W515" s="873" t="s">
        <v>3361</v>
      </c>
    </row>
    <row r="516" spans="1:23" x14ac:dyDescent="0.2">
      <c r="A516" s="927" t="s">
        <v>4435</v>
      </c>
      <c r="B516" s="928">
        <v>12</v>
      </c>
      <c r="C516" s="928">
        <v>15</v>
      </c>
      <c r="D516" s="928">
        <v>25</v>
      </c>
      <c r="E516" s="928">
        <v>10</v>
      </c>
      <c r="F516" s="928">
        <v>20</v>
      </c>
      <c r="G516" s="928">
        <v>35</v>
      </c>
      <c r="H516" s="928">
        <v>2</v>
      </c>
      <c r="I516" s="929" t="s">
        <v>3441</v>
      </c>
      <c r="J516" s="929" t="s">
        <v>4199</v>
      </c>
      <c r="K516" s="928" t="s">
        <v>1704</v>
      </c>
      <c r="L516" s="930" t="s">
        <v>1685</v>
      </c>
      <c r="M516" s="927" t="s">
        <v>3484</v>
      </c>
      <c r="N516" s="930" t="s">
        <v>1690</v>
      </c>
      <c r="O516" s="927" t="s">
        <v>3485</v>
      </c>
      <c r="P516" s="930" t="s">
        <v>1813</v>
      </c>
      <c r="Q516" s="927" t="s">
        <v>3485</v>
      </c>
      <c r="R516" s="930" t="s">
        <v>1703</v>
      </c>
      <c r="S516" s="927" t="s">
        <v>3575</v>
      </c>
      <c r="T516" s="931" t="s">
        <v>1934</v>
      </c>
      <c r="U516" s="931" t="s">
        <v>2030</v>
      </c>
      <c r="V516" s="873" t="s">
        <v>3361</v>
      </c>
      <c r="W516" s="873" t="s">
        <v>3361</v>
      </c>
    </row>
    <row r="517" spans="1:23" x14ac:dyDescent="0.2">
      <c r="A517" s="927" t="s">
        <v>4436</v>
      </c>
      <c r="B517" s="928">
        <v>14</v>
      </c>
      <c r="C517" s="928">
        <v>18</v>
      </c>
      <c r="D517" s="928">
        <v>30</v>
      </c>
      <c r="E517" s="928">
        <v>12</v>
      </c>
      <c r="F517" s="928">
        <v>24</v>
      </c>
      <c r="G517" s="928">
        <v>42</v>
      </c>
      <c r="H517" s="928">
        <v>3</v>
      </c>
      <c r="I517" s="929" t="s">
        <v>3441</v>
      </c>
      <c r="J517" s="929" t="s">
        <v>4199</v>
      </c>
      <c r="K517" s="928" t="s">
        <v>1704</v>
      </c>
      <c r="L517" s="930" t="s">
        <v>1685</v>
      </c>
      <c r="M517" s="927" t="s">
        <v>3484</v>
      </c>
      <c r="N517" s="930" t="s">
        <v>1690</v>
      </c>
      <c r="O517" s="927" t="s">
        <v>3485</v>
      </c>
      <c r="P517" s="930" t="s">
        <v>1813</v>
      </c>
      <c r="Q517" s="927" t="s">
        <v>3485</v>
      </c>
      <c r="R517" s="930" t="s">
        <v>1703</v>
      </c>
      <c r="S517" s="927" t="s">
        <v>3575</v>
      </c>
      <c r="T517" s="931" t="s">
        <v>1934</v>
      </c>
      <c r="U517" s="931" t="s">
        <v>2030</v>
      </c>
      <c r="V517" s="873" t="s">
        <v>3361</v>
      </c>
      <c r="W517" s="873" t="s">
        <v>3361</v>
      </c>
    </row>
    <row r="518" spans="1:23" x14ac:dyDescent="0.2">
      <c r="A518" s="933" t="s">
        <v>4437</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4438</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4439</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4440</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4441</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4442</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4443</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4444</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4445</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4446</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4447</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4448</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4449</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4450</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4451</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3722</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4452</v>
      </c>
      <c r="B534" s="928">
        <v>2</v>
      </c>
      <c r="C534" s="928">
        <v>4</v>
      </c>
      <c r="D534" s="928">
        <v>5</v>
      </c>
      <c r="E534" s="928">
        <v>1</v>
      </c>
      <c r="F534" s="928">
        <v>2</v>
      </c>
      <c r="G534" s="928">
        <v>4</v>
      </c>
      <c r="H534" s="928">
        <v>1</v>
      </c>
      <c r="I534" s="929" t="s">
        <v>3441</v>
      </c>
      <c r="J534" s="929" t="s">
        <v>1890</v>
      </c>
      <c r="K534" s="928" t="s">
        <v>1703</v>
      </c>
      <c r="L534" s="930" t="s">
        <v>1685</v>
      </c>
      <c r="M534" s="927" t="s">
        <v>3485</v>
      </c>
      <c r="N534" s="930" t="s">
        <v>1813</v>
      </c>
      <c r="O534" s="927" t="s">
        <v>3484</v>
      </c>
      <c r="P534" s="930" t="s">
        <v>1690</v>
      </c>
      <c r="Q534" s="927" t="s">
        <v>3485</v>
      </c>
      <c r="R534" s="930" t="s">
        <v>1695</v>
      </c>
      <c r="S534" s="927" t="s">
        <v>3484</v>
      </c>
      <c r="T534" s="931" t="s">
        <v>1934</v>
      </c>
      <c r="U534" s="931" t="s">
        <v>2029</v>
      </c>
      <c r="V534" s="873" t="s">
        <v>3361</v>
      </c>
      <c r="W534" s="928"/>
    </row>
    <row r="535" spans="1:23" x14ac:dyDescent="0.2">
      <c r="A535" s="927" t="s">
        <v>4453</v>
      </c>
      <c r="B535" s="928">
        <v>3</v>
      </c>
      <c r="C535" s="928">
        <v>5</v>
      </c>
      <c r="D535" s="928">
        <v>5</v>
      </c>
      <c r="E535" s="928">
        <v>1</v>
      </c>
      <c r="F535" s="928">
        <v>2</v>
      </c>
      <c r="G535" s="928">
        <v>4</v>
      </c>
      <c r="H535" s="928">
        <v>1</v>
      </c>
      <c r="I535" s="929" t="s">
        <v>3441</v>
      </c>
      <c r="J535" s="929" t="s">
        <v>1890</v>
      </c>
      <c r="K535" s="928" t="s">
        <v>1703</v>
      </c>
      <c r="L535" s="930" t="s">
        <v>1685</v>
      </c>
      <c r="M535" s="927" t="s">
        <v>3485</v>
      </c>
      <c r="N535" s="930" t="s">
        <v>1813</v>
      </c>
      <c r="O535" s="927" t="s">
        <v>3484</v>
      </c>
      <c r="P535" s="930" t="s">
        <v>1690</v>
      </c>
      <c r="Q535" s="927" t="s">
        <v>3485</v>
      </c>
      <c r="R535" s="930" t="s">
        <v>1695</v>
      </c>
      <c r="S535" s="927" t="s">
        <v>3484</v>
      </c>
      <c r="T535" s="931" t="s">
        <v>1934</v>
      </c>
      <c r="U535" s="931" t="s">
        <v>2029</v>
      </c>
      <c r="V535" s="873" t="s">
        <v>3361</v>
      </c>
      <c r="W535" s="928"/>
    </row>
    <row r="536" spans="1:23" x14ac:dyDescent="0.2">
      <c r="A536" s="927" t="s">
        <v>4454</v>
      </c>
      <c r="B536" s="928">
        <v>4</v>
      </c>
      <c r="C536" s="928">
        <v>6</v>
      </c>
      <c r="D536" s="928">
        <v>10</v>
      </c>
      <c r="E536" s="928">
        <v>2</v>
      </c>
      <c r="F536" s="928">
        <v>4</v>
      </c>
      <c r="G536" s="928">
        <v>7</v>
      </c>
      <c r="H536" s="928">
        <v>1</v>
      </c>
      <c r="I536" s="929" t="s">
        <v>3441</v>
      </c>
      <c r="J536" s="929" t="s">
        <v>1890</v>
      </c>
      <c r="K536" s="928" t="s">
        <v>1703</v>
      </c>
      <c r="L536" s="930" t="s">
        <v>1685</v>
      </c>
      <c r="M536" s="927" t="s">
        <v>3485</v>
      </c>
      <c r="N536" s="930" t="s">
        <v>1813</v>
      </c>
      <c r="O536" s="927" t="s">
        <v>3484</v>
      </c>
      <c r="P536" s="930" t="s">
        <v>1690</v>
      </c>
      <c r="Q536" s="927" t="s">
        <v>3485</v>
      </c>
      <c r="R536" s="930" t="s">
        <v>1695</v>
      </c>
      <c r="S536" s="927" t="s">
        <v>3484</v>
      </c>
      <c r="T536" s="931" t="s">
        <v>1934</v>
      </c>
      <c r="U536" s="931" t="s">
        <v>2029</v>
      </c>
      <c r="V536" s="873" t="s">
        <v>3361</v>
      </c>
      <c r="W536" s="928"/>
    </row>
    <row r="537" spans="1:23" x14ac:dyDescent="0.2">
      <c r="A537" s="927" t="s">
        <v>4455</v>
      </c>
      <c r="B537" s="928">
        <v>5</v>
      </c>
      <c r="C537" s="928">
        <v>8</v>
      </c>
      <c r="D537" s="928">
        <v>15</v>
      </c>
      <c r="E537" s="928">
        <v>3</v>
      </c>
      <c r="F537" s="928">
        <v>6</v>
      </c>
      <c r="G537" s="928">
        <v>11</v>
      </c>
      <c r="H537" s="928">
        <v>1</v>
      </c>
      <c r="I537" s="929" t="s">
        <v>3441</v>
      </c>
      <c r="J537" s="929" t="s">
        <v>1890</v>
      </c>
      <c r="K537" s="928" t="s">
        <v>1703</v>
      </c>
      <c r="L537" s="930" t="s">
        <v>1685</v>
      </c>
      <c r="M537" s="927" t="s">
        <v>3485</v>
      </c>
      <c r="N537" s="930" t="s">
        <v>1813</v>
      </c>
      <c r="O537" s="927" t="s">
        <v>3484</v>
      </c>
      <c r="P537" s="930" t="s">
        <v>1690</v>
      </c>
      <c r="Q537" s="927" t="s">
        <v>3485</v>
      </c>
      <c r="R537" s="930" t="s">
        <v>1695</v>
      </c>
      <c r="S537" s="927" t="s">
        <v>3484</v>
      </c>
      <c r="T537" s="931" t="s">
        <v>1934</v>
      </c>
      <c r="U537" s="931" t="s">
        <v>2029</v>
      </c>
      <c r="V537" s="873" t="s">
        <v>3361</v>
      </c>
      <c r="W537" s="928"/>
    </row>
    <row r="538" spans="1:23" x14ac:dyDescent="0.2">
      <c r="A538" s="927" t="s">
        <v>4456</v>
      </c>
      <c r="B538" s="928">
        <v>8</v>
      </c>
      <c r="C538" s="928">
        <v>11</v>
      </c>
      <c r="D538" s="928">
        <v>20</v>
      </c>
      <c r="E538" s="928">
        <v>4</v>
      </c>
      <c r="F538" s="928">
        <v>8</v>
      </c>
      <c r="G538" s="928">
        <v>14</v>
      </c>
      <c r="H538" s="928">
        <v>1</v>
      </c>
      <c r="I538" s="929" t="s">
        <v>3441</v>
      </c>
      <c r="J538" s="929" t="s">
        <v>1890</v>
      </c>
      <c r="K538" s="928" t="s">
        <v>1703</v>
      </c>
      <c r="L538" s="930" t="s">
        <v>1685</v>
      </c>
      <c r="M538" s="927" t="s">
        <v>3485</v>
      </c>
      <c r="N538" s="930" t="s">
        <v>1813</v>
      </c>
      <c r="O538" s="927" t="s">
        <v>3484</v>
      </c>
      <c r="P538" s="930" t="s">
        <v>1690</v>
      </c>
      <c r="Q538" s="927" t="s">
        <v>3485</v>
      </c>
      <c r="R538" s="930" t="s">
        <v>1695</v>
      </c>
      <c r="S538" s="927" t="s">
        <v>3484</v>
      </c>
      <c r="T538" s="931" t="s">
        <v>1934</v>
      </c>
      <c r="U538" s="931" t="s">
        <v>2029</v>
      </c>
      <c r="V538" s="873" t="s">
        <v>3361</v>
      </c>
      <c r="W538" s="928"/>
    </row>
    <row r="539" spans="1:23" x14ac:dyDescent="0.2">
      <c r="A539" s="927" t="s">
        <v>4457</v>
      </c>
      <c r="B539" s="928">
        <v>12</v>
      </c>
      <c r="C539" s="928">
        <v>15</v>
      </c>
      <c r="D539" s="928">
        <v>25</v>
      </c>
      <c r="E539" s="928">
        <v>5</v>
      </c>
      <c r="F539" s="928">
        <v>10</v>
      </c>
      <c r="G539" s="928">
        <v>18</v>
      </c>
      <c r="H539" s="928">
        <v>2</v>
      </c>
      <c r="I539" s="929" t="s">
        <v>3441</v>
      </c>
      <c r="J539" s="929" t="s">
        <v>1890</v>
      </c>
      <c r="K539" s="928" t="s">
        <v>1703</v>
      </c>
      <c r="L539" s="930" t="s">
        <v>1685</v>
      </c>
      <c r="M539" s="927" t="s">
        <v>3485</v>
      </c>
      <c r="N539" s="930" t="s">
        <v>1813</v>
      </c>
      <c r="O539" s="927" t="s">
        <v>3484</v>
      </c>
      <c r="P539" s="930" t="s">
        <v>1690</v>
      </c>
      <c r="Q539" s="927" t="s">
        <v>3485</v>
      </c>
      <c r="R539" s="930" t="s">
        <v>1695</v>
      </c>
      <c r="S539" s="927" t="s">
        <v>3484</v>
      </c>
      <c r="T539" s="931" t="s">
        <v>1934</v>
      </c>
      <c r="U539" s="931" t="s">
        <v>2029</v>
      </c>
      <c r="V539" s="873" t="s">
        <v>3361</v>
      </c>
      <c r="W539" s="928"/>
    </row>
    <row r="540" spans="1:23" x14ac:dyDescent="0.2">
      <c r="A540" s="927" t="s">
        <v>4458</v>
      </c>
      <c r="B540" s="928">
        <v>14</v>
      </c>
      <c r="C540" s="928">
        <v>18</v>
      </c>
      <c r="D540" s="928">
        <v>30</v>
      </c>
      <c r="E540" s="928">
        <v>8</v>
      </c>
      <c r="F540" s="928">
        <v>16</v>
      </c>
      <c r="G540" s="928">
        <v>28</v>
      </c>
      <c r="H540" s="928">
        <v>2</v>
      </c>
      <c r="I540" s="929" t="s">
        <v>3441</v>
      </c>
      <c r="J540" s="929" t="s">
        <v>1890</v>
      </c>
      <c r="K540" s="928" t="s">
        <v>1703</v>
      </c>
      <c r="L540" s="930" t="s">
        <v>1685</v>
      </c>
      <c r="M540" s="927" t="s">
        <v>3485</v>
      </c>
      <c r="N540" s="930" t="s">
        <v>1813</v>
      </c>
      <c r="O540" s="927" t="s">
        <v>3484</v>
      </c>
      <c r="P540" s="930" t="s">
        <v>1690</v>
      </c>
      <c r="Q540" s="927" t="s">
        <v>3485</v>
      </c>
      <c r="R540" s="930" t="s">
        <v>1695</v>
      </c>
      <c r="S540" s="927" t="s">
        <v>3484</v>
      </c>
      <c r="T540" s="931" t="s">
        <v>1934</v>
      </c>
      <c r="U540" s="931" t="s">
        <v>2029</v>
      </c>
      <c r="V540" s="873" t="s">
        <v>3361</v>
      </c>
      <c r="W540" s="928"/>
    </row>
    <row r="541" spans="1:23" x14ac:dyDescent="0.2">
      <c r="A541" s="927" t="s">
        <v>4459</v>
      </c>
      <c r="B541" s="928">
        <v>18</v>
      </c>
      <c r="C541" s="928">
        <v>22</v>
      </c>
      <c r="D541" s="928">
        <v>35</v>
      </c>
      <c r="E541" s="928">
        <v>10</v>
      </c>
      <c r="F541" s="928">
        <v>20</v>
      </c>
      <c r="G541" s="928">
        <v>35</v>
      </c>
      <c r="H541" s="928">
        <v>2</v>
      </c>
      <c r="I541" s="929" t="s">
        <v>3441</v>
      </c>
      <c r="J541" s="929" t="s">
        <v>1890</v>
      </c>
      <c r="K541" s="928" t="s">
        <v>1703</v>
      </c>
      <c r="L541" s="930" t="s">
        <v>1685</v>
      </c>
      <c r="M541" s="927" t="s">
        <v>3485</v>
      </c>
      <c r="N541" s="930" t="s">
        <v>1813</v>
      </c>
      <c r="O541" s="927" t="s">
        <v>3484</v>
      </c>
      <c r="P541" s="930" t="s">
        <v>1690</v>
      </c>
      <c r="Q541" s="927" t="s">
        <v>3485</v>
      </c>
      <c r="R541" s="930" t="s">
        <v>1695</v>
      </c>
      <c r="S541" s="927" t="s">
        <v>3484</v>
      </c>
      <c r="T541" s="931" t="s">
        <v>1934</v>
      </c>
      <c r="U541" s="931" t="s">
        <v>2029</v>
      </c>
      <c r="V541" s="873" t="s">
        <v>3361</v>
      </c>
      <c r="W541" s="928"/>
    </row>
    <row r="542" spans="1:23" x14ac:dyDescent="0.2">
      <c r="A542" s="927" t="s">
        <v>4460</v>
      </c>
      <c r="B542" s="928">
        <v>22</v>
      </c>
      <c r="C542" s="928">
        <v>26</v>
      </c>
      <c r="D542" s="928">
        <v>40</v>
      </c>
      <c r="E542" s="928">
        <v>12</v>
      </c>
      <c r="F542" s="928">
        <v>24</v>
      </c>
      <c r="G542" s="928">
        <v>42</v>
      </c>
      <c r="H542" s="928">
        <v>3</v>
      </c>
      <c r="I542" s="929" t="s">
        <v>3441</v>
      </c>
      <c r="J542" s="929" t="s">
        <v>1890</v>
      </c>
      <c r="K542" s="928" t="s">
        <v>1703</v>
      </c>
      <c r="L542" s="930" t="s">
        <v>1685</v>
      </c>
      <c r="M542" s="927" t="s">
        <v>3485</v>
      </c>
      <c r="N542" s="930" t="s">
        <v>1813</v>
      </c>
      <c r="O542" s="927" t="s">
        <v>3484</v>
      </c>
      <c r="P542" s="930" t="s">
        <v>1690</v>
      </c>
      <c r="Q542" s="927" t="s">
        <v>3485</v>
      </c>
      <c r="R542" s="930" t="s">
        <v>1695</v>
      </c>
      <c r="S542" s="927" t="s">
        <v>3484</v>
      </c>
      <c r="T542" s="931" t="s">
        <v>1934</v>
      </c>
      <c r="U542" s="931" t="s">
        <v>2029</v>
      </c>
      <c r="V542" s="873" t="s">
        <v>3361</v>
      </c>
      <c r="W542" s="928"/>
    </row>
    <row r="543" spans="1:23" x14ac:dyDescent="0.2">
      <c r="A543" s="927" t="s">
        <v>4461</v>
      </c>
      <c r="B543" s="928">
        <v>26</v>
      </c>
      <c r="C543" s="928">
        <v>32</v>
      </c>
      <c r="D543" s="928">
        <v>45</v>
      </c>
      <c r="E543" s="928">
        <v>14</v>
      </c>
      <c r="F543" s="928">
        <v>28</v>
      </c>
      <c r="G543" s="928">
        <v>49</v>
      </c>
      <c r="H543" s="928">
        <v>3</v>
      </c>
      <c r="I543" s="929" t="s">
        <v>3441</v>
      </c>
      <c r="J543" s="929" t="s">
        <v>1890</v>
      </c>
      <c r="K543" s="928" t="s">
        <v>1703</v>
      </c>
      <c r="L543" s="930" t="s">
        <v>1685</v>
      </c>
      <c r="M543" s="927" t="s">
        <v>3485</v>
      </c>
      <c r="N543" s="930" t="s">
        <v>1813</v>
      </c>
      <c r="O543" s="927" t="s">
        <v>3484</v>
      </c>
      <c r="P543" s="930" t="s">
        <v>1690</v>
      </c>
      <c r="Q543" s="927" t="s">
        <v>3485</v>
      </c>
      <c r="R543" s="930" t="s">
        <v>1695</v>
      </c>
      <c r="S543" s="927" t="s">
        <v>3484</v>
      </c>
      <c r="T543" s="931" t="s">
        <v>1934</v>
      </c>
      <c r="U543" s="931" t="s">
        <v>2029</v>
      </c>
      <c r="V543" s="873" t="s">
        <v>3361</v>
      </c>
      <c r="W543" s="928"/>
    </row>
    <row r="544" spans="1:23" x14ac:dyDescent="0.2">
      <c r="A544" s="933" t="s">
        <v>4425</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4426</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4427</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4428</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3724</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4462</v>
      </c>
      <c r="B549" s="928">
        <v>1</v>
      </c>
      <c r="C549" s="928">
        <v>2</v>
      </c>
      <c r="D549" s="928">
        <v>5</v>
      </c>
      <c r="E549" s="928">
        <v>1</v>
      </c>
      <c r="F549" s="928">
        <v>2</v>
      </c>
      <c r="G549" s="928">
        <v>4</v>
      </c>
      <c r="H549" s="928">
        <v>1</v>
      </c>
      <c r="I549" s="929" t="s">
        <v>3436</v>
      </c>
      <c r="J549" s="929" t="s">
        <v>1537</v>
      </c>
      <c r="K549" s="928" t="s">
        <v>1703</v>
      </c>
      <c r="L549" s="930" t="s">
        <v>1813</v>
      </c>
      <c r="M549" s="927" t="s">
        <v>4219</v>
      </c>
      <c r="N549" s="930" t="s">
        <v>1690</v>
      </c>
      <c r="O549" s="927" t="s">
        <v>4219</v>
      </c>
      <c r="P549" s="930" t="s">
        <v>1695</v>
      </c>
      <c r="Q549" s="927" t="s">
        <v>4219</v>
      </c>
      <c r="R549" s="930" t="s">
        <v>1704</v>
      </c>
      <c r="S549" s="927" t="s">
        <v>3575</v>
      </c>
      <c r="T549" s="931" t="s">
        <v>2029</v>
      </c>
      <c r="U549" s="931" t="s">
        <v>2030</v>
      </c>
      <c r="V549" s="873" t="s">
        <v>3361</v>
      </c>
      <c r="W549" s="928"/>
    </row>
    <row r="550" spans="1:24" x14ac:dyDescent="0.2">
      <c r="A550" s="927" t="s">
        <v>4463</v>
      </c>
      <c r="B550" s="928">
        <v>2</v>
      </c>
      <c r="C550" s="928">
        <v>4</v>
      </c>
      <c r="D550" s="928">
        <v>5</v>
      </c>
      <c r="E550" s="928">
        <v>1</v>
      </c>
      <c r="F550" s="928">
        <v>2</v>
      </c>
      <c r="G550" s="928">
        <v>4</v>
      </c>
      <c r="H550" s="928">
        <v>1</v>
      </c>
      <c r="I550" s="929" t="s">
        <v>3436</v>
      </c>
      <c r="J550" s="929" t="s">
        <v>1537</v>
      </c>
      <c r="K550" s="928" t="s">
        <v>1703</v>
      </c>
      <c r="L550" s="930" t="s">
        <v>1813</v>
      </c>
      <c r="M550" s="927" t="s">
        <v>4219</v>
      </c>
      <c r="N550" s="930" t="s">
        <v>1690</v>
      </c>
      <c r="O550" s="927" t="s">
        <v>4219</v>
      </c>
      <c r="P550" s="930" t="s">
        <v>1695</v>
      </c>
      <c r="Q550" s="927" t="s">
        <v>4219</v>
      </c>
      <c r="R550" s="930" t="s">
        <v>1704</v>
      </c>
      <c r="S550" s="927" t="s">
        <v>3575</v>
      </c>
      <c r="T550" s="931" t="s">
        <v>2029</v>
      </c>
      <c r="U550" s="931" t="s">
        <v>2030</v>
      </c>
      <c r="V550" s="873" t="s">
        <v>3361</v>
      </c>
      <c r="W550" s="928"/>
    </row>
    <row r="551" spans="1:24" x14ac:dyDescent="0.2">
      <c r="A551" s="927" t="s">
        <v>4464</v>
      </c>
      <c r="B551" s="928">
        <v>3</v>
      </c>
      <c r="C551" s="928">
        <v>5</v>
      </c>
      <c r="D551" s="928">
        <v>10</v>
      </c>
      <c r="E551" s="928">
        <v>2</v>
      </c>
      <c r="F551" s="928">
        <v>4</v>
      </c>
      <c r="G551" s="928">
        <v>7</v>
      </c>
      <c r="H551" s="928">
        <v>1</v>
      </c>
      <c r="I551" s="929" t="s">
        <v>3436</v>
      </c>
      <c r="J551" s="929" t="s">
        <v>1537</v>
      </c>
      <c r="K551" s="928" t="s">
        <v>1703</v>
      </c>
      <c r="L551" s="930" t="s">
        <v>1813</v>
      </c>
      <c r="M551" s="927" t="s">
        <v>4219</v>
      </c>
      <c r="N551" s="930" t="s">
        <v>1690</v>
      </c>
      <c r="O551" s="927" t="s">
        <v>4219</v>
      </c>
      <c r="P551" s="930" t="s">
        <v>1695</v>
      </c>
      <c r="Q551" s="927" t="s">
        <v>4219</v>
      </c>
      <c r="R551" s="930" t="s">
        <v>1704</v>
      </c>
      <c r="S551" s="927" t="s">
        <v>3575</v>
      </c>
      <c r="T551" s="931" t="s">
        <v>2029</v>
      </c>
      <c r="U551" s="931" t="s">
        <v>2030</v>
      </c>
      <c r="V551" s="873" t="s">
        <v>3361</v>
      </c>
      <c r="W551" s="928"/>
    </row>
    <row r="552" spans="1:24" x14ac:dyDescent="0.2">
      <c r="A552" s="927" t="s">
        <v>4465</v>
      </c>
      <c r="B552" s="928">
        <v>5</v>
      </c>
      <c r="C552" s="928">
        <v>8</v>
      </c>
      <c r="D552" s="928">
        <v>15</v>
      </c>
      <c r="E552" s="928">
        <v>3</v>
      </c>
      <c r="F552" s="928">
        <v>6</v>
      </c>
      <c r="G552" s="928">
        <v>11</v>
      </c>
      <c r="H552" s="928">
        <v>1</v>
      </c>
      <c r="I552" s="929" t="s">
        <v>3436</v>
      </c>
      <c r="J552" s="929" t="s">
        <v>1537</v>
      </c>
      <c r="K552" s="928" t="s">
        <v>1703</v>
      </c>
      <c r="L552" s="930" t="s">
        <v>1813</v>
      </c>
      <c r="M552" s="927" t="s">
        <v>4219</v>
      </c>
      <c r="N552" s="930" t="s">
        <v>1690</v>
      </c>
      <c r="O552" s="927" t="s">
        <v>4219</v>
      </c>
      <c r="P552" s="930" t="s">
        <v>1695</v>
      </c>
      <c r="Q552" s="927" t="s">
        <v>4219</v>
      </c>
      <c r="R552" s="930" t="s">
        <v>1704</v>
      </c>
      <c r="S552" s="927" t="s">
        <v>3575</v>
      </c>
      <c r="T552" s="931" t="s">
        <v>2029</v>
      </c>
      <c r="U552" s="931" t="s">
        <v>2030</v>
      </c>
      <c r="V552" s="873" t="s">
        <v>3361</v>
      </c>
      <c r="W552" s="928"/>
    </row>
    <row r="553" spans="1:24" x14ac:dyDescent="0.2">
      <c r="A553" s="927" t="s">
        <v>4466</v>
      </c>
      <c r="B553" s="928">
        <v>6</v>
      </c>
      <c r="C553" s="928">
        <v>9</v>
      </c>
      <c r="D553" s="928">
        <v>20</v>
      </c>
      <c r="E553" s="928">
        <v>4</v>
      </c>
      <c r="F553" s="928">
        <v>8</v>
      </c>
      <c r="G553" s="928">
        <v>14</v>
      </c>
      <c r="H553" s="928">
        <v>1</v>
      </c>
      <c r="I553" s="929" t="s">
        <v>3436</v>
      </c>
      <c r="J553" s="929" t="s">
        <v>1537</v>
      </c>
      <c r="K553" s="928" t="s">
        <v>1703</v>
      </c>
      <c r="L553" s="930" t="s">
        <v>1813</v>
      </c>
      <c r="M553" s="927" t="s">
        <v>4219</v>
      </c>
      <c r="N553" s="930" t="s">
        <v>1690</v>
      </c>
      <c r="O553" s="927" t="s">
        <v>4219</v>
      </c>
      <c r="P553" s="930" t="s">
        <v>1695</v>
      </c>
      <c r="Q553" s="927" t="s">
        <v>4219</v>
      </c>
      <c r="R553" s="930" t="s">
        <v>1704</v>
      </c>
      <c r="S553" s="927" t="s">
        <v>3575</v>
      </c>
      <c r="T553" s="931" t="s">
        <v>2029</v>
      </c>
      <c r="U553" s="931" t="s">
        <v>2030</v>
      </c>
      <c r="V553" s="873" t="s">
        <v>3361</v>
      </c>
      <c r="W553" s="928"/>
    </row>
    <row r="554" spans="1:24" x14ac:dyDescent="0.2">
      <c r="A554" s="927" t="s">
        <v>4467</v>
      </c>
      <c r="B554" s="928">
        <v>8</v>
      </c>
      <c r="C554" s="928">
        <v>11</v>
      </c>
      <c r="D554" s="928">
        <v>20</v>
      </c>
      <c r="E554" s="928">
        <v>5</v>
      </c>
      <c r="F554" s="928">
        <v>10</v>
      </c>
      <c r="G554" s="928">
        <v>18</v>
      </c>
      <c r="H554" s="928">
        <v>2</v>
      </c>
      <c r="I554" s="929" t="s">
        <v>3436</v>
      </c>
      <c r="J554" s="929" t="s">
        <v>1537</v>
      </c>
      <c r="K554" s="928" t="s">
        <v>1703</v>
      </c>
      <c r="L554" s="930" t="s">
        <v>1813</v>
      </c>
      <c r="M554" s="927" t="s">
        <v>4219</v>
      </c>
      <c r="N554" s="930" t="s">
        <v>1690</v>
      </c>
      <c r="O554" s="927" t="s">
        <v>4219</v>
      </c>
      <c r="P554" s="930" t="s">
        <v>1695</v>
      </c>
      <c r="Q554" s="927" t="s">
        <v>4219</v>
      </c>
      <c r="R554" s="930" t="s">
        <v>1704</v>
      </c>
      <c r="S554" s="927" t="s">
        <v>3575</v>
      </c>
      <c r="T554" s="931" t="s">
        <v>2029</v>
      </c>
      <c r="U554" s="931" t="s">
        <v>2030</v>
      </c>
      <c r="V554" s="873" t="s">
        <v>3361</v>
      </c>
      <c r="W554" s="928"/>
    </row>
    <row r="555" spans="1:24" x14ac:dyDescent="0.2">
      <c r="A555" s="927" t="s">
        <v>4468</v>
      </c>
      <c r="B555" s="928">
        <v>14</v>
      </c>
      <c r="C555" s="928">
        <v>18</v>
      </c>
      <c r="D555" s="928">
        <v>35</v>
      </c>
      <c r="E555" s="928">
        <v>6</v>
      </c>
      <c r="F555" s="928">
        <v>12</v>
      </c>
      <c r="G555" s="928">
        <v>21</v>
      </c>
      <c r="H555" s="928">
        <v>2</v>
      </c>
      <c r="I555" s="929" t="s">
        <v>3436</v>
      </c>
      <c r="J555" s="929" t="s">
        <v>1537</v>
      </c>
      <c r="K555" s="928" t="s">
        <v>1703</v>
      </c>
      <c r="L555" s="930" t="s">
        <v>1813</v>
      </c>
      <c r="M555" s="927" t="s">
        <v>4219</v>
      </c>
      <c r="N555" s="930" t="s">
        <v>1690</v>
      </c>
      <c r="O555" s="927" t="s">
        <v>4219</v>
      </c>
      <c r="P555" s="930" t="s">
        <v>1695</v>
      </c>
      <c r="Q555" s="927" t="s">
        <v>4219</v>
      </c>
      <c r="R555" s="930" t="s">
        <v>1704</v>
      </c>
      <c r="S555" s="927" t="s">
        <v>3575</v>
      </c>
      <c r="T555" s="931" t="s">
        <v>2029</v>
      </c>
      <c r="U555" s="931" t="s">
        <v>2030</v>
      </c>
      <c r="V555" s="873" t="s">
        <v>3361</v>
      </c>
      <c r="W555" s="928"/>
    </row>
    <row r="556" spans="1:24" x14ac:dyDescent="0.2">
      <c r="A556" s="927" t="s">
        <v>4469</v>
      </c>
      <c r="B556" s="928">
        <v>20</v>
      </c>
      <c r="C556" s="928">
        <v>24</v>
      </c>
      <c r="D556" s="928">
        <v>50</v>
      </c>
      <c r="E556" s="928">
        <v>8</v>
      </c>
      <c r="F556" s="928">
        <v>16</v>
      </c>
      <c r="G556" s="928">
        <v>28</v>
      </c>
      <c r="H556" s="928">
        <v>3</v>
      </c>
      <c r="I556" s="929" t="s">
        <v>3436</v>
      </c>
      <c r="J556" s="929" t="s">
        <v>1537</v>
      </c>
      <c r="K556" s="928" t="s">
        <v>1703</v>
      </c>
      <c r="L556" s="930" t="s">
        <v>1813</v>
      </c>
      <c r="M556" s="927" t="s">
        <v>4219</v>
      </c>
      <c r="N556" s="930" t="s">
        <v>1690</v>
      </c>
      <c r="O556" s="927" t="s">
        <v>4219</v>
      </c>
      <c r="P556" s="930" t="s">
        <v>1695</v>
      </c>
      <c r="Q556" s="927" t="s">
        <v>4219</v>
      </c>
      <c r="R556" s="930" t="s">
        <v>1704</v>
      </c>
      <c r="S556" s="927" t="s">
        <v>3575</v>
      </c>
      <c r="T556" s="931" t="s">
        <v>2029</v>
      </c>
      <c r="U556" s="931" t="s">
        <v>2030</v>
      </c>
      <c r="V556" s="873" t="s">
        <v>3361</v>
      </c>
      <c r="W556" s="928"/>
    </row>
    <row r="557" spans="1:24" x14ac:dyDescent="0.2">
      <c r="A557" s="927" t="s">
        <v>4470</v>
      </c>
      <c r="B557" s="928">
        <v>28</v>
      </c>
      <c r="C557" s="928">
        <v>32</v>
      </c>
      <c r="D557" s="928">
        <v>80</v>
      </c>
      <c r="E557" s="928">
        <v>10</v>
      </c>
      <c r="F557" s="928">
        <v>20</v>
      </c>
      <c r="G557" s="928">
        <v>35</v>
      </c>
      <c r="H557" s="928">
        <v>3</v>
      </c>
      <c r="I557" s="929" t="s">
        <v>3436</v>
      </c>
      <c r="J557" s="929" t="s">
        <v>1537</v>
      </c>
      <c r="K557" s="928" t="s">
        <v>1703</v>
      </c>
      <c r="L557" s="930" t="s">
        <v>1813</v>
      </c>
      <c r="M557" s="927" t="s">
        <v>4219</v>
      </c>
      <c r="N557" s="930" t="s">
        <v>1690</v>
      </c>
      <c r="O557" s="927" t="s">
        <v>4219</v>
      </c>
      <c r="P557" s="930" t="s">
        <v>1695</v>
      </c>
      <c r="Q557" s="927" t="s">
        <v>4219</v>
      </c>
      <c r="R557" s="930" t="s">
        <v>1704</v>
      </c>
      <c r="S557" s="927" t="s">
        <v>3575</v>
      </c>
      <c r="T557" s="931" t="s">
        <v>2029</v>
      </c>
      <c r="U557" s="931" t="s">
        <v>2030</v>
      </c>
      <c r="V557" s="873" t="s">
        <v>3361</v>
      </c>
      <c r="W557" s="928"/>
    </row>
    <row r="558" spans="1:24" x14ac:dyDescent="0.2">
      <c r="A558" s="933" t="s">
        <v>4471</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4472</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4472</v>
      </c>
    </row>
    <row r="561" spans="1:24" x14ac:dyDescent="0.2">
      <c r="A561" s="927" t="s">
        <v>4473</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4473</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4474</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4474</v>
      </c>
    </row>
    <row r="564" spans="1:24" x14ac:dyDescent="0.2">
      <c r="A564" s="927" t="s">
        <v>4475</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4475</v>
      </c>
    </row>
    <row r="565" spans="1:24" x14ac:dyDescent="0.2">
      <c r="A565" s="927" t="s">
        <v>4476</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4476</v>
      </c>
    </row>
    <row r="566" spans="1:24" x14ac:dyDescent="0.2">
      <c r="A566" s="927" t="s">
        <v>4477</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4477</v>
      </c>
    </row>
    <row r="567" spans="1:24" x14ac:dyDescent="0.2">
      <c r="A567" s="927" t="s">
        <v>4478</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4478</v>
      </c>
    </row>
    <row r="568" spans="1:24" x14ac:dyDescent="0.2">
      <c r="A568" s="927" t="s">
        <v>4479</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4479</v>
      </c>
    </row>
    <row r="569" spans="1:24" x14ac:dyDescent="0.2">
      <c r="A569" s="927" t="s">
        <v>2041</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2041</v>
      </c>
    </row>
    <row r="570" spans="1:24" x14ac:dyDescent="0.2">
      <c r="A570" s="927" t="s">
        <v>4480</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4480</v>
      </c>
    </row>
    <row r="571" spans="1:24" x14ac:dyDescent="0.2">
      <c r="A571" s="927" t="s">
        <v>4481</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4481</v>
      </c>
    </row>
    <row r="572" spans="1:24" x14ac:dyDescent="0.2">
      <c r="A572" s="927" t="s">
        <v>4482</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4482</v>
      </c>
    </row>
    <row r="573" spans="1:24" x14ac:dyDescent="0.2">
      <c r="A573" s="927" t="s">
        <v>4483</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4483</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4484</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4484</v>
      </c>
    </row>
    <row r="576" spans="1:24" x14ac:dyDescent="0.2">
      <c r="A576" s="927" t="s">
        <v>4485</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4485</v>
      </c>
    </row>
    <row r="577" spans="1:24" x14ac:dyDescent="0.2">
      <c r="A577" s="927" t="s">
        <v>4486</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4486</v>
      </c>
    </row>
    <row r="578" spans="1:24" x14ac:dyDescent="0.2">
      <c r="A578" s="927" t="s">
        <v>4487</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4487</v>
      </c>
    </row>
    <row r="579" spans="1:24" x14ac:dyDescent="0.2">
      <c r="A579" s="927" t="s">
        <v>4488</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4488</v>
      </c>
    </row>
    <row r="580" spans="1:24" x14ac:dyDescent="0.2">
      <c r="A580" s="927" t="s">
        <v>4489</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4489</v>
      </c>
    </row>
    <row r="581" spans="1:24" x14ac:dyDescent="0.2">
      <c r="A581" s="927" t="s">
        <v>4490</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4490</v>
      </c>
    </row>
    <row r="582" spans="1:24" x14ac:dyDescent="0.2">
      <c r="A582" s="927" t="s">
        <v>4491</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4491</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4492</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4493</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4494</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4495</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4496</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4497</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4498</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4499</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4500</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4501</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4502</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4503</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4504</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4505</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4506</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4507</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4508</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4509</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4510</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4511</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4512</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3730</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4513</v>
      </c>
      <c r="B606" s="928">
        <v>1</v>
      </c>
      <c r="C606" s="928">
        <v>2</v>
      </c>
      <c r="D606" s="928">
        <v>5</v>
      </c>
      <c r="E606" s="928">
        <v>1</v>
      </c>
      <c r="F606" s="928">
        <v>2</v>
      </c>
      <c r="G606" s="928">
        <v>4</v>
      </c>
      <c r="H606" s="928">
        <v>1</v>
      </c>
      <c r="I606" s="929" t="s">
        <v>3436</v>
      </c>
      <c r="J606" s="929" t="s">
        <v>1537</v>
      </c>
      <c r="K606" s="928" t="s">
        <v>1695</v>
      </c>
      <c r="L606" s="930" t="s">
        <v>1813</v>
      </c>
      <c r="M606" s="927" t="s">
        <v>3484</v>
      </c>
      <c r="N606" s="930" t="s">
        <v>1690</v>
      </c>
      <c r="O606" s="927" t="s">
        <v>3485</v>
      </c>
      <c r="P606" s="930" t="s">
        <v>1703</v>
      </c>
      <c r="Q606" s="927" t="s">
        <v>3484</v>
      </c>
      <c r="R606" s="930" t="s">
        <v>1704</v>
      </c>
      <c r="S606" s="927" t="s">
        <v>3575</v>
      </c>
      <c r="T606" s="931" t="s">
        <v>1938</v>
      </c>
      <c r="U606" s="931" t="s">
        <v>2034</v>
      </c>
      <c r="V606" s="873" t="s">
        <v>3361</v>
      </c>
      <c r="W606" s="928"/>
    </row>
    <row r="607" spans="1:23" x14ac:dyDescent="0.2">
      <c r="A607" s="927" t="s">
        <v>4514</v>
      </c>
      <c r="B607" s="928">
        <v>2</v>
      </c>
      <c r="C607" s="928">
        <v>4</v>
      </c>
      <c r="D607" s="928">
        <v>5</v>
      </c>
      <c r="E607" s="928">
        <v>2</v>
      </c>
      <c r="F607" s="928">
        <v>4</v>
      </c>
      <c r="G607" s="928">
        <v>7</v>
      </c>
      <c r="H607" s="928">
        <v>1</v>
      </c>
      <c r="I607" s="929" t="s">
        <v>3436</v>
      </c>
      <c r="J607" s="929" t="s">
        <v>1537</v>
      </c>
      <c r="K607" s="928" t="s">
        <v>1695</v>
      </c>
      <c r="L607" s="930" t="s">
        <v>1813</v>
      </c>
      <c r="M607" s="927" t="s">
        <v>3484</v>
      </c>
      <c r="N607" s="930" t="s">
        <v>1690</v>
      </c>
      <c r="O607" s="927" t="s">
        <v>3485</v>
      </c>
      <c r="P607" s="930" t="s">
        <v>1703</v>
      </c>
      <c r="Q607" s="927" t="s">
        <v>3484</v>
      </c>
      <c r="R607" s="930" t="s">
        <v>1704</v>
      </c>
      <c r="S607" s="927" t="s">
        <v>3575</v>
      </c>
      <c r="T607" s="931" t="s">
        <v>1938</v>
      </c>
      <c r="U607" s="931" t="s">
        <v>2034</v>
      </c>
      <c r="V607" s="873" t="s">
        <v>3361</v>
      </c>
      <c r="W607" s="928"/>
    </row>
    <row r="608" spans="1:23" x14ac:dyDescent="0.2">
      <c r="A608" s="927" t="s">
        <v>4515</v>
      </c>
      <c r="B608" s="928">
        <v>3</v>
      </c>
      <c r="C608" s="928">
        <v>5</v>
      </c>
      <c r="D608" s="928">
        <v>10</v>
      </c>
      <c r="E608" s="928">
        <v>3</v>
      </c>
      <c r="F608" s="928">
        <v>6</v>
      </c>
      <c r="G608" s="928">
        <v>11</v>
      </c>
      <c r="H608" s="928">
        <v>1</v>
      </c>
      <c r="I608" s="929" t="s">
        <v>3436</v>
      </c>
      <c r="J608" s="929" t="s">
        <v>1537</v>
      </c>
      <c r="K608" s="928" t="s">
        <v>1695</v>
      </c>
      <c r="L608" s="930" t="s">
        <v>1813</v>
      </c>
      <c r="M608" s="927" t="s">
        <v>3484</v>
      </c>
      <c r="N608" s="930" t="s">
        <v>1690</v>
      </c>
      <c r="O608" s="927" t="s">
        <v>3485</v>
      </c>
      <c r="P608" s="930" t="s">
        <v>1703</v>
      </c>
      <c r="Q608" s="927" t="s">
        <v>3484</v>
      </c>
      <c r="R608" s="930" t="s">
        <v>1704</v>
      </c>
      <c r="S608" s="927" t="s">
        <v>3575</v>
      </c>
      <c r="T608" s="931" t="s">
        <v>1938</v>
      </c>
      <c r="U608" s="931" t="s">
        <v>2034</v>
      </c>
      <c r="V608" s="873" t="s">
        <v>3361</v>
      </c>
      <c r="W608" s="928"/>
    </row>
    <row r="609" spans="1:23" x14ac:dyDescent="0.2">
      <c r="A609" s="927" t="s">
        <v>4516</v>
      </c>
      <c r="B609" s="928">
        <v>4</v>
      </c>
      <c r="C609" s="928">
        <v>6</v>
      </c>
      <c r="D609" s="928">
        <v>10</v>
      </c>
      <c r="E609" s="928">
        <v>4</v>
      </c>
      <c r="F609" s="928">
        <v>8</v>
      </c>
      <c r="G609" s="928">
        <v>14</v>
      </c>
      <c r="H609" s="928">
        <v>1</v>
      </c>
      <c r="I609" s="929" t="s">
        <v>3436</v>
      </c>
      <c r="J609" s="929" t="s">
        <v>1537</v>
      </c>
      <c r="K609" s="928" t="s">
        <v>1695</v>
      </c>
      <c r="L609" s="930" t="s">
        <v>1813</v>
      </c>
      <c r="M609" s="927" t="s">
        <v>3484</v>
      </c>
      <c r="N609" s="930" t="s">
        <v>1690</v>
      </c>
      <c r="O609" s="927" t="s">
        <v>3485</v>
      </c>
      <c r="P609" s="930" t="s">
        <v>1703</v>
      </c>
      <c r="Q609" s="927" t="s">
        <v>3484</v>
      </c>
      <c r="R609" s="930" t="s">
        <v>1704</v>
      </c>
      <c r="S609" s="927" t="s">
        <v>3575</v>
      </c>
      <c r="T609" s="931" t="s">
        <v>1938</v>
      </c>
      <c r="U609" s="931" t="s">
        <v>2034</v>
      </c>
      <c r="V609" s="873" t="s">
        <v>3361</v>
      </c>
      <c r="W609" s="928"/>
    </row>
    <row r="610" spans="1:23" x14ac:dyDescent="0.2">
      <c r="A610" s="927" t="s">
        <v>4517</v>
      </c>
      <c r="B610" s="928">
        <v>5</v>
      </c>
      <c r="C610" s="928">
        <v>8</v>
      </c>
      <c r="D610" s="928">
        <v>15</v>
      </c>
      <c r="E610" s="928">
        <v>5</v>
      </c>
      <c r="F610" s="928">
        <v>10</v>
      </c>
      <c r="G610" s="928">
        <v>18</v>
      </c>
      <c r="H610" s="928">
        <v>1</v>
      </c>
      <c r="I610" s="929" t="s">
        <v>3436</v>
      </c>
      <c r="J610" s="929" t="s">
        <v>1537</v>
      </c>
      <c r="K610" s="928" t="s">
        <v>1695</v>
      </c>
      <c r="L610" s="930" t="s">
        <v>1813</v>
      </c>
      <c r="M610" s="927" t="s">
        <v>3484</v>
      </c>
      <c r="N610" s="930" t="s">
        <v>1690</v>
      </c>
      <c r="O610" s="927" t="s">
        <v>3485</v>
      </c>
      <c r="P610" s="930" t="s">
        <v>1703</v>
      </c>
      <c r="Q610" s="927" t="s">
        <v>3484</v>
      </c>
      <c r="R610" s="930" t="s">
        <v>1704</v>
      </c>
      <c r="S610" s="927" t="s">
        <v>3575</v>
      </c>
      <c r="T610" s="931" t="s">
        <v>1938</v>
      </c>
      <c r="U610" s="931" t="s">
        <v>2034</v>
      </c>
      <c r="V610" s="873" t="s">
        <v>3361</v>
      </c>
      <c r="W610" s="928"/>
    </row>
    <row r="611" spans="1:23" x14ac:dyDescent="0.2">
      <c r="A611" s="927" t="s">
        <v>4518</v>
      </c>
      <c r="B611" s="928">
        <v>6</v>
      </c>
      <c r="C611" s="928">
        <v>9</v>
      </c>
      <c r="D611" s="928">
        <v>20</v>
      </c>
      <c r="E611" s="928">
        <v>6</v>
      </c>
      <c r="F611" s="928">
        <v>12</v>
      </c>
      <c r="G611" s="928">
        <v>21</v>
      </c>
      <c r="H611" s="928">
        <v>2</v>
      </c>
      <c r="I611" s="929" t="s">
        <v>3436</v>
      </c>
      <c r="J611" s="929" t="s">
        <v>1537</v>
      </c>
      <c r="K611" s="928" t="s">
        <v>1695</v>
      </c>
      <c r="L611" s="930" t="s">
        <v>1813</v>
      </c>
      <c r="M611" s="927" t="s">
        <v>3484</v>
      </c>
      <c r="N611" s="930" t="s">
        <v>1690</v>
      </c>
      <c r="O611" s="927" t="s">
        <v>3485</v>
      </c>
      <c r="P611" s="930" t="s">
        <v>1703</v>
      </c>
      <c r="Q611" s="927" t="s">
        <v>3484</v>
      </c>
      <c r="R611" s="930" t="s">
        <v>1704</v>
      </c>
      <c r="S611" s="927" t="s">
        <v>3575</v>
      </c>
      <c r="T611" s="931" t="s">
        <v>1938</v>
      </c>
      <c r="U611" s="931" t="s">
        <v>2034</v>
      </c>
      <c r="V611" s="873" t="s">
        <v>3361</v>
      </c>
      <c r="W611" s="928"/>
    </row>
    <row r="612" spans="1:23" x14ac:dyDescent="0.2">
      <c r="A612" s="927" t="s">
        <v>4519</v>
      </c>
      <c r="B612" s="928">
        <v>8</v>
      </c>
      <c r="C612" s="928">
        <v>11</v>
      </c>
      <c r="D612" s="928">
        <v>25</v>
      </c>
      <c r="E612" s="928">
        <v>7</v>
      </c>
      <c r="F612" s="928">
        <v>14</v>
      </c>
      <c r="G612" s="928">
        <v>25</v>
      </c>
      <c r="H612" s="928">
        <v>2</v>
      </c>
      <c r="I612" s="929" t="s">
        <v>3436</v>
      </c>
      <c r="J612" s="929" t="s">
        <v>1537</v>
      </c>
      <c r="K612" s="928" t="s">
        <v>1695</v>
      </c>
      <c r="L612" s="930" t="s">
        <v>1813</v>
      </c>
      <c r="M612" s="927" t="s">
        <v>3484</v>
      </c>
      <c r="N612" s="930" t="s">
        <v>1690</v>
      </c>
      <c r="O612" s="927" t="s">
        <v>3485</v>
      </c>
      <c r="P612" s="930" t="s">
        <v>1703</v>
      </c>
      <c r="Q612" s="927" t="s">
        <v>3484</v>
      </c>
      <c r="R612" s="930" t="s">
        <v>1704</v>
      </c>
      <c r="S612" s="927" t="s">
        <v>3575</v>
      </c>
      <c r="T612" s="931" t="s">
        <v>1938</v>
      </c>
      <c r="U612" s="931" t="s">
        <v>2034</v>
      </c>
      <c r="V612" s="873" t="s">
        <v>3361</v>
      </c>
      <c r="W612" s="928"/>
    </row>
    <row r="613" spans="1:23" x14ac:dyDescent="0.2">
      <c r="A613" s="927" t="s">
        <v>4520</v>
      </c>
      <c r="B613" s="928">
        <v>10</v>
      </c>
      <c r="C613" s="928">
        <v>13</v>
      </c>
      <c r="D613" s="928">
        <v>30</v>
      </c>
      <c r="E613" s="928">
        <v>8</v>
      </c>
      <c r="F613" s="928">
        <v>16</v>
      </c>
      <c r="G613" s="928">
        <v>28</v>
      </c>
      <c r="H613" s="928">
        <v>3</v>
      </c>
      <c r="I613" s="929" t="s">
        <v>3436</v>
      </c>
      <c r="J613" s="929" t="s">
        <v>1537</v>
      </c>
      <c r="K613" s="928" t="s">
        <v>1695</v>
      </c>
      <c r="L613" s="930" t="s">
        <v>1813</v>
      </c>
      <c r="M613" s="927" t="s">
        <v>3484</v>
      </c>
      <c r="N613" s="930" t="s">
        <v>1690</v>
      </c>
      <c r="O613" s="927" t="s">
        <v>3485</v>
      </c>
      <c r="P613" s="930" t="s">
        <v>1703</v>
      </c>
      <c r="Q613" s="927" t="s">
        <v>3484</v>
      </c>
      <c r="R613" s="930" t="s">
        <v>1704</v>
      </c>
      <c r="S613" s="927" t="s">
        <v>3575</v>
      </c>
      <c r="T613" s="931" t="s">
        <v>1938</v>
      </c>
      <c r="U613" s="931" t="s">
        <v>2034</v>
      </c>
      <c r="V613" s="873" t="s">
        <v>3361</v>
      </c>
      <c r="W613" s="928"/>
    </row>
    <row r="614" spans="1:23" x14ac:dyDescent="0.2">
      <c r="A614" s="927" t="s">
        <v>4521</v>
      </c>
      <c r="B614" s="928">
        <v>12</v>
      </c>
      <c r="C614" s="928">
        <v>15</v>
      </c>
      <c r="D614" s="928">
        <v>35</v>
      </c>
      <c r="E614" s="928">
        <v>10</v>
      </c>
      <c r="F614" s="928">
        <v>20</v>
      </c>
      <c r="G614" s="928">
        <v>35</v>
      </c>
      <c r="H614" s="928">
        <v>3</v>
      </c>
      <c r="I614" s="929" t="s">
        <v>3436</v>
      </c>
      <c r="J614" s="929" t="s">
        <v>1537</v>
      </c>
      <c r="K614" s="928" t="s">
        <v>1695</v>
      </c>
      <c r="L614" s="930" t="s">
        <v>1813</v>
      </c>
      <c r="M614" s="927" t="s">
        <v>3484</v>
      </c>
      <c r="N614" s="930" t="s">
        <v>1690</v>
      </c>
      <c r="O614" s="927" t="s">
        <v>3485</v>
      </c>
      <c r="P614" s="930" t="s">
        <v>1703</v>
      </c>
      <c r="Q614" s="927" t="s">
        <v>3484</v>
      </c>
      <c r="R614" s="930" t="s">
        <v>1704</v>
      </c>
      <c r="S614" s="927" t="s">
        <v>3575</v>
      </c>
      <c r="T614" s="931" t="s">
        <v>1938</v>
      </c>
      <c r="U614" s="931" t="s">
        <v>2034</v>
      </c>
      <c r="V614" s="873" t="s">
        <v>3361</v>
      </c>
      <c r="W614" s="928"/>
    </row>
    <row r="615" spans="1:23" x14ac:dyDescent="0.2">
      <c r="A615" s="2322" t="s">
        <v>9184</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9183</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3736</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4522</v>
      </c>
      <c r="B618" s="928">
        <v>1</v>
      </c>
      <c r="C618" s="928">
        <v>2</v>
      </c>
      <c r="D618" s="928">
        <v>5</v>
      </c>
      <c r="E618" s="928">
        <v>1</v>
      </c>
      <c r="F618" s="928">
        <v>2</v>
      </c>
      <c r="G618" s="928">
        <v>4</v>
      </c>
      <c r="H618" s="928">
        <v>1</v>
      </c>
      <c r="I618" s="929" t="s">
        <v>3436</v>
      </c>
      <c r="J618" s="929" t="s">
        <v>1537</v>
      </c>
      <c r="K618" s="928" t="s">
        <v>1704</v>
      </c>
      <c r="L618" s="930" t="s">
        <v>1813</v>
      </c>
      <c r="M618" s="927" t="s">
        <v>3485</v>
      </c>
      <c r="N618" s="930" t="s">
        <v>1690</v>
      </c>
      <c r="O618" s="927" t="s">
        <v>3485</v>
      </c>
      <c r="P618" s="930" t="s">
        <v>1695</v>
      </c>
      <c r="Q618" s="927" t="s">
        <v>3484</v>
      </c>
      <c r="R618" s="930" t="s">
        <v>1703</v>
      </c>
      <c r="S618" s="927" t="s">
        <v>3575</v>
      </c>
      <c r="T618" s="931" t="s">
        <v>1934</v>
      </c>
      <c r="U618" s="931" t="s">
        <v>1931</v>
      </c>
      <c r="V618" s="931" t="s">
        <v>2029</v>
      </c>
      <c r="W618" s="928"/>
    </row>
    <row r="619" spans="1:23" x14ac:dyDescent="0.2">
      <c r="A619" s="927" t="s">
        <v>4523</v>
      </c>
      <c r="B619" s="928">
        <v>2</v>
      </c>
      <c r="C619" s="928">
        <v>4</v>
      </c>
      <c r="D619" s="928">
        <v>10</v>
      </c>
      <c r="E619" s="928">
        <v>2</v>
      </c>
      <c r="F619" s="928">
        <v>4</v>
      </c>
      <c r="G619" s="928">
        <v>7</v>
      </c>
      <c r="H619" s="928">
        <v>1</v>
      </c>
      <c r="I619" s="929" t="s">
        <v>3436</v>
      </c>
      <c r="J619" s="929" t="s">
        <v>1537</v>
      </c>
      <c r="K619" s="928" t="s">
        <v>1704</v>
      </c>
      <c r="L619" s="930" t="s">
        <v>1813</v>
      </c>
      <c r="M619" s="927" t="s">
        <v>3485</v>
      </c>
      <c r="N619" s="930" t="s">
        <v>1690</v>
      </c>
      <c r="O619" s="927" t="s">
        <v>3485</v>
      </c>
      <c r="P619" s="930" t="s">
        <v>1695</v>
      </c>
      <c r="Q619" s="927" t="s">
        <v>3484</v>
      </c>
      <c r="R619" s="930" t="s">
        <v>1703</v>
      </c>
      <c r="S619" s="927" t="s">
        <v>3575</v>
      </c>
      <c r="T619" s="931" t="s">
        <v>1934</v>
      </c>
      <c r="U619" s="931" t="s">
        <v>1931</v>
      </c>
      <c r="V619" s="931" t="s">
        <v>2029</v>
      </c>
      <c r="W619" s="928"/>
    </row>
    <row r="620" spans="1:23" x14ac:dyDescent="0.2">
      <c r="A620" s="927" t="s">
        <v>4524</v>
      </c>
      <c r="B620" s="928">
        <v>4</v>
      </c>
      <c r="C620" s="928">
        <v>6</v>
      </c>
      <c r="D620" s="928">
        <v>15</v>
      </c>
      <c r="E620" s="928">
        <v>3</v>
      </c>
      <c r="F620" s="928">
        <v>6</v>
      </c>
      <c r="G620" s="928">
        <v>11</v>
      </c>
      <c r="H620" s="928">
        <v>1</v>
      </c>
      <c r="I620" s="929" t="s">
        <v>3436</v>
      </c>
      <c r="J620" s="929" t="s">
        <v>1537</v>
      </c>
      <c r="K620" s="928" t="s">
        <v>1704</v>
      </c>
      <c r="L620" s="930" t="s">
        <v>1813</v>
      </c>
      <c r="M620" s="927" t="s">
        <v>3485</v>
      </c>
      <c r="N620" s="930" t="s">
        <v>1690</v>
      </c>
      <c r="O620" s="927" t="s">
        <v>3485</v>
      </c>
      <c r="P620" s="930" t="s">
        <v>1695</v>
      </c>
      <c r="Q620" s="927" t="s">
        <v>3484</v>
      </c>
      <c r="R620" s="930" t="s">
        <v>1703</v>
      </c>
      <c r="S620" s="927" t="s">
        <v>3575</v>
      </c>
      <c r="T620" s="931" t="s">
        <v>1934</v>
      </c>
      <c r="U620" s="931" t="s">
        <v>1931</v>
      </c>
      <c r="V620" s="931" t="s">
        <v>2029</v>
      </c>
      <c r="W620" s="928"/>
    </row>
    <row r="621" spans="1:23" x14ac:dyDescent="0.2">
      <c r="A621" s="927" t="s">
        <v>4525</v>
      </c>
      <c r="B621" s="928">
        <v>6</v>
      </c>
      <c r="C621" s="928">
        <v>9</v>
      </c>
      <c r="D621" s="928">
        <v>20</v>
      </c>
      <c r="E621" s="928">
        <v>4</v>
      </c>
      <c r="F621" s="928">
        <v>8</v>
      </c>
      <c r="G621" s="928">
        <v>14</v>
      </c>
      <c r="H621" s="928">
        <v>1</v>
      </c>
      <c r="I621" s="929" t="s">
        <v>3436</v>
      </c>
      <c r="J621" s="929" t="s">
        <v>1537</v>
      </c>
      <c r="K621" s="928" t="s">
        <v>1704</v>
      </c>
      <c r="L621" s="930" t="s">
        <v>1813</v>
      </c>
      <c r="M621" s="927" t="s">
        <v>3485</v>
      </c>
      <c r="N621" s="930" t="s">
        <v>1690</v>
      </c>
      <c r="O621" s="927" t="s">
        <v>3485</v>
      </c>
      <c r="P621" s="930" t="s">
        <v>1695</v>
      </c>
      <c r="Q621" s="927" t="s">
        <v>3484</v>
      </c>
      <c r="R621" s="930" t="s">
        <v>1703</v>
      </c>
      <c r="S621" s="927" t="s">
        <v>3575</v>
      </c>
      <c r="T621" s="931" t="s">
        <v>1934</v>
      </c>
      <c r="U621" s="931" t="s">
        <v>1931</v>
      </c>
      <c r="V621" s="931" t="s">
        <v>2029</v>
      </c>
      <c r="W621" s="928"/>
    </row>
    <row r="622" spans="1:23" x14ac:dyDescent="0.2">
      <c r="A622" s="927" t="s">
        <v>4526</v>
      </c>
      <c r="B622" s="928">
        <v>8</v>
      </c>
      <c r="C622" s="928">
        <v>11</v>
      </c>
      <c r="D622" s="928">
        <v>25</v>
      </c>
      <c r="E622" s="928">
        <v>6</v>
      </c>
      <c r="F622" s="928">
        <v>12</v>
      </c>
      <c r="G622" s="928">
        <v>21</v>
      </c>
      <c r="H622" s="928">
        <v>2</v>
      </c>
      <c r="I622" s="929" t="s">
        <v>3436</v>
      </c>
      <c r="J622" s="929" t="s">
        <v>1537</v>
      </c>
      <c r="K622" s="928" t="s">
        <v>1704</v>
      </c>
      <c r="L622" s="930" t="s">
        <v>1813</v>
      </c>
      <c r="M622" s="927" t="s">
        <v>3485</v>
      </c>
      <c r="N622" s="930" t="s">
        <v>1690</v>
      </c>
      <c r="O622" s="927" t="s">
        <v>3485</v>
      </c>
      <c r="P622" s="930" t="s">
        <v>1695</v>
      </c>
      <c r="Q622" s="927" t="s">
        <v>3484</v>
      </c>
      <c r="R622" s="930" t="s">
        <v>1703</v>
      </c>
      <c r="S622" s="927" t="s">
        <v>3575</v>
      </c>
      <c r="T622" s="931" t="s">
        <v>1934</v>
      </c>
      <c r="U622" s="931" t="s">
        <v>1931</v>
      </c>
      <c r="V622" s="931" t="s">
        <v>2029</v>
      </c>
      <c r="W622" s="928"/>
    </row>
    <row r="623" spans="1:23" x14ac:dyDescent="0.2">
      <c r="A623" s="927" t="s">
        <v>4527</v>
      </c>
      <c r="B623" s="928">
        <v>12</v>
      </c>
      <c r="C623" s="928">
        <v>15</v>
      </c>
      <c r="D623" s="928">
        <v>30</v>
      </c>
      <c r="E623" s="928">
        <v>8</v>
      </c>
      <c r="F623" s="928">
        <v>16</v>
      </c>
      <c r="G623" s="928">
        <v>28</v>
      </c>
      <c r="H623" s="928">
        <v>2</v>
      </c>
      <c r="I623" s="929" t="s">
        <v>3436</v>
      </c>
      <c r="J623" s="929" t="s">
        <v>1537</v>
      </c>
      <c r="K623" s="928" t="s">
        <v>1704</v>
      </c>
      <c r="L623" s="930" t="s">
        <v>1813</v>
      </c>
      <c r="M623" s="927" t="s">
        <v>3485</v>
      </c>
      <c r="N623" s="930" t="s">
        <v>1690</v>
      </c>
      <c r="O623" s="927" t="s">
        <v>3485</v>
      </c>
      <c r="P623" s="930" t="s">
        <v>1695</v>
      </c>
      <c r="Q623" s="927" t="s">
        <v>3484</v>
      </c>
      <c r="R623" s="930" t="s">
        <v>1703</v>
      </c>
      <c r="S623" s="927" t="s">
        <v>3575</v>
      </c>
      <c r="T623" s="931" t="s">
        <v>1934</v>
      </c>
      <c r="U623" s="931" t="s">
        <v>1931</v>
      </c>
      <c r="V623" s="931" t="s">
        <v>2029</v>
      </c>
      <c r="W623" s="928"/>
    </row>
    <row r="624" spans="1:23" x14ac:dyDescent="0.2">
      <c r="A624" s="927" t="s">
        <v>4528</v>
      </c>
      <c r="B624" s="928">
        <v>16</v>
      </c>
      <c r="C624" s="928">
        <v>20</v>
      </c>
      <c r="D624" s="928">
        <v>35</v>
      </c>
      <c r="E624" s="928">
        <v>10</v>
      </c>
      <c r="F624" s="928">
        <v>20</v>
      </c>
      <c r="G624" s="928">
        <v>35</v>
      </c>
      <c r="H624" s="928">
        <v>3</v>
      </c>
      <c r="I624" s="929" t="s">
        <v>3436</v>
      </c>
      <c r="J624" s="929" t="s">
        <v>1537</v>
      </c>
      <c r="K624" s="928" t="s">
        <v>1704</v>
      </c>
      <c r="L624" s="930" t="s">
        <v>1813</v>
      </c>
      <c r="M624" s="927" t="s">
        <v>3485</v>
      </c>
      <c r="N624" s="930" t="s">
        <v>1690</v>
      </c>
      <c r="O624" s="927" t="s">
        <v>3485</v>
      </c>
      <c r="P624" s="930" t="s">
        <v>1695</v>
      </c>
      <c r="Q624" s="927" t="s">
        <v>3484</v>
      </c>
      <c r="R624" s="930" t="s">
        <v>1703</v>
      </c>
      <c r="S624" s="927" t="s">
        <v>3575</v>
      </c>
      <c r="T624" s="931" t="s">
        <v>1934</v>
      </c>
      <c r="U624" s="931" t="s">
        <v>1931</v>
      </c>
      <c r="V624" s="931" t="s">
        <v>2029</v>
      </c>
      <c r="W624" s="928"/>
    </row>
    <row r="625" spans="1:23" x14ac:dyDescent="0.2">
      <c r="A625" s="933" t="s">
        <v>4529</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4530</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4531</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4532</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3743</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9187</v>
      </c>
      <c r="B630" s="928">
        <v>3</v>
      </c>
      <c r="C630" s="928">
        <v>5</v>
      </c>
      <c r="D630" s="928">
        <v>10</v>
      </c>
      <c r="E630" s="928">
        <v>2</v>
      </c>
      <c r="F630" s="928">
        <v>4</v>
      </c>
      <c r="G630" s="928">
        <v>7</v>
      </c>
      <c r="H630" s="928">
        <v>1</v>
      </c>
      <c r="I630" s="929" t="s">
        <v>3441</v>
      </c>
      <c r="J630" s="929" t="s">
        <v>4199</v>
      </c>
      <c r="K630" s="928" t="s">
        <v>1703</v>
      </c>
      <c r="L630" s="930" t="s">
        <v>1813</v>
      </c>
      <c r="M630" s="927" t="s">
        <v>3485</v>
      </c>
      <c r="N630" s="930" t="s">
        <v>1690</v>
      </c>
      <c r="O630" s="927" t="s">
        <v>3485</v>
      </c>
      <c r="P630" s="930" t="s">
        <v>1695</v>
      </c>
      <c r="Q630" s="927" t="s">
        <v>3485</v>
      </c>
      <c r="R630" s="930" t="s">
        <v>1704</v>
      </c>
      <c r="S630" s="927" t="s">
        <v>3575</v>
      </c>
      <c r="T630" s="931" t="s">
        <v>1934</v>
      </c>
      <c r="U630" s="931" t="s">
        <v>2029</v>
      </c>
      <c r="V630" s="931" t="s">
        <v>2030</v>
      </c>
      <c r="W630" s="928"/>
    </row>
    <row r="631" spans="1:23" x14ac:dyDescent="0.2">
      <c r="A631" s="933" t="s">
        <v>4533</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4534</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4535</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4536</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4537</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3748</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4538</v>
      </c>
      <c r="B637" s="928">
        <v>4</v>
      </c>
      <c r="C637" s="928">
        <v>6</v>
      </c>
      <c r="D637" s="928">
        <v>10</v>
      </c>
      <c r="E637" s="928">
        <v>2</v>
      </c>
      <c r="F637" s="928">
        <v>4</v>
      </c>
      <c r="G637" s="928">
        <v>7</v>
      </c>
      <c r="H637" s="928">
        <v>1</v>
      </c>
      <c r="I637" s="929" t="s">
        <v>3436</v>
      </c>
      <c r="J637" s="929" t="s">
        <v>1537</v>
      </c>
      <c r="K637" s="928" t="s">
        <v>1703</v>
      </c>
      <c r="L637" s="930" t="s">
        <v>1813</v>
      </c>
      <c r="M637" s="927" t="s">
        <v>3484</v>
      </c>
      <c r="N637" s="930" t="s">
        <v>1690</v>
      </c>
      <c r="O637" s="927" t="s">
        <v>3485</v>
      </c>
      <c r="P637" s="930" t="s">
        <v>1695</v>
      </c>
      <c r="Q637" s="927" t="s">
        <v>3485</v>
      </c>
      <c r="R637" s="930" t="s">
        <v>1704</v>
      </c>
      <c r="S637" s="927" t="s">
        <v>3575</v>
      </c>
      <c r="T637" s="931" t="s">
        <v>1931</v>
      </c>
      <c r="U637" s="931" t="s">
        <v>2029</v>
      </c>
      <c r="V637" s="931" t="s">
        <v>2030</v>
      </c>
      <c r="W637" s="928"/>
    </row>
    <row r="638" spans="1:23" x14ac:dyDescent="0.2">
      <c r="A638" s="927" t="s">
        <v>4539</v>
      </c>
      <c r="B638" s="928">
        <v>10</v>
      </c>
      <c r="C638" s="928">
        <v>13</v>
      </c>
      <c r="D638" s="928">
        <v>25</v>
      </c>
      <c r="E638" s="928">
        <v>4</v>
      </c>
      <c r="F638" s="928">
        <v>8</v>
      </c>
      <c r="G638" s="928">
        <v>14</v>
      </c>
      <c r="H638" s="928">
        <v>2</v>
      </c>
      <c r="I638" s="929" t="s">
        <v>3436</v>
      </c>
      <c r="J638" s="929" t="s">
        <v>1537</v>
      </c>
      <c r="K638" s="928" t="s">
        <v>1703</v>
      </c>
      <c r="L638" s="930" t="s">
        <v>1813</v>
      </c>
      <c r="M638" s="927" t="s">
        <v>3484</v>
      </c>
      <c r="N638" s="930" t="s">
        <v>1690</v>
      </c>
      <c r="O638" s="927" t="s">
        <v>3485</v>
      </c>
      <c r="P638" s="930" t="s">
        <v>1695</v>
      </c>
      <c r="Q638" s="927" t="s">
        <v>3485</v>
      </c>
      <c r="R638" s="930" t="s">
        <v>1704</v>
      </c>
      <c r="S638" s="927" t="s">
        <v>3575</v>
      </c>
      <c r="T638" s="931" t="s">
        <v>1931</v>
      </c>
      <c r="U638" s="931" t="s">
        <v>2029</v>
      </c>
      <c r="V638" s="931" t="s">
        <v>2030</v>
      </c>
      <c r="W638" s="928"/>
    </row>
    <row r="639" spans="1:23" x14ac:dyDescent="0.2">
      <c r="A639" s="933" t="s">
        <v>4540</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4541</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4542</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3754</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4543</v>
      </c>
      <c r="B643" s="928">
        <v>2</v>
      </c>
      <c r="C643" s="928">
        <v>4</v>
      </c>
      <c r="D643" s="928">
        <v>5</v>
      </c>
      <c r="E643" s="928">
        <v>1</v>
      </c>
      <c r="F643" s="928">
        <v>2</v>
      </c>
      <c r="G643" s="928">
        <v>4</v>
      </c>
      <c r="H643" s="928">
        <v>1</v>
      </c>
      <c r="I643" s="929" t="s">
        <v>3436</v>
      </c>
      <c r="J643" s="929" t="s">
        <v>1537</v>
      </c>
      <c r="K643" s="928" t="s">
        <v>1703</v>
      </c>
      <c r="L643" s="930" t="s">
        <v>1813</v>
      </c>
      <c r="M643" s="927" t="s">
        <v>3484</v>
      </c>
      <c r="N643" s="930" t="s">
        <v>1690</v>
      </c>
      <c r="O643" s="927" t="s">
        <v>3484</v>
      </c>
      <c r="P643" s="930" t="s">
        <v>1695</v>
      </c>
      <c r="Q643" s="927" t="s">
        <v>3575</v>
      </c>
      <c r="R643" s="930" t="s">
        <v>1704</v>
      </c>
      <c r="S643" s="927" t="s">
        <v>3575</v>
      </c>
      <c r="T643" s="931" t="s">
        <v>1938</v>
      </c>
      <c r="U643" s="931" t="s">
        <v>2034</v>
      </c>
      <c r="V643" s="873" t="s">
        <v>3361</v>
      </c>
      <c r="W643" s="928"/>
    </row>
    <row r="644" spans="1:23" x14ac:dyDescent="0.2">
      <c r="A644" s="927" t="s">
        <v>4544</v>
      </c>
      <c r="B644" s="928">
        <v>3</v>
      </c>
      <c r="C644" s="928">
        <v>5</v>
      </c>
      <c r="D644" s="928">
        <v>5</v>
      </c>
      <c r="E644" s="928">
        <v>2</v>
      </c>
      <c r="F644" s="928">
        <v>4</v>
      </c>
      <c r="G644" s="928">
        <v>7</v>
      </c>
      <c r="H644" s="928">
        <v>1</v>
      </c>
      <c r="I644" s="929" t="s">
        <v>3436</v>
      </c>
      <c r="J644" s="929" t="s">
        <v>1537</v>
      </c>
      <c r="K644" s="928" t="s">
        <v>1703</v>
      </c>
      <c r="L644" s="930" t="s">
        <v>1813</v>
      </c>
      <c r="M644" s="927" t="s">
        <v>3484</v>
      </c>
      <c r="N644" s="930" t="s">
        <v>1690</v>
      </c>
      <c r="O644" s="927" t="s">
        <v>3484</v>
      </c>
      <c r="P644" s="930" t="s">
        <v>1695</v>
      </c>
      <c r="Q644" s="927" t="s">
        <v>3575</v>
      </c>
      <c r="R644" s="930" t="s">
        <v>1704</v>
      </c>
      <c r="S644" s="927" t="s">
        <v>3575</v>
      </c>
      <c r="T644" s="931" t="s">
        <v>1938</v>
      </c>
      <c r="U644" s="931" t="s">
        <v>2034</v>
      </c>
      <c r="V644" s="873" t="s">
        <v>3361</v>
      </c>
      <c r="W644" s="928"/>
    </row>
    <row r="645" spans="1:23" x14ac:dyDescent="0.2">
      <c r="A645" s="927" t="s">
        <v>4545</v>
      </c>
      <c r="B645" s="928">
        <v>4</v>
      </c>
      <c r="C645" s="928">
        <v>6</v>
      </c>
      <c r="D645" s="928">
        <v>10</v>
      </c>
      <c r="E645" s="928">
        <v>3</v>
      </c>
      <c r="F645" s="928">
        <v>6</v>
      </c>
      <c r="G645" s="928">
        <v>11</v>
      </c>
      <c r="H645" s="928">
        <v>1</v>
      </c>
      <c r="I645" s="929" t="s">
        <v>3436</v>
      </c>
      <c r="J645" s="929" t="s">
        <v>1537</v>
      </c>
      <c r="K645" s="928" t="s">
        <v>1703</v>
      </c>
      <c r="L645" s="930" t="s">
        <v>1813</v>
      </c>
      <c r="M645" s="927" t="s">
        <v>3484</v>
      </c>
      <c r="N645" s="930" t="s">
        <v>1690</v>
      </c>
      <c r="O645" s="927" t="s">
        <v>3484</v>
      </c>
      <c r="P645" s="930" t="s">
        <v>1695</v>
      </c>
      <c r="Q645" s="927" t="s">
        <v>3575</v>
      </c>
      <c r="R645" s="930" t="s">
        <v>1704</v>
      </c>
      <c r="S645" s="927" t="s">
        <v>3575</v>
      </c>
      <c r="T645" s="931" t="s">
        <v>1938</v>
      </c>
      <c r="U645" s="931" t="s">
        <v>2034</v>
      </c>
      <c r="V645" s="873" t="s">
        <v>3361</v>
      </c>
      <c r="W645" s="928"/>
    </row>
    <row r="646" spans="1:23" x14ac:dyDescent="0.2">
      <c r="A646" s="927" t="s">
        <v>4546</v>
      </c>
      <c r="B646" s="928">
        <v>5</v>
      </c>
      <c r="C646" s="928">
        <v>8</v>
      </c>
      <c r="D646" s="928">
        <v>15</v>
      </c>
      <c r="E646" s="928">
        <v>4</v>
      </c>
      <c r="F646" s="928">
        <v>8</v>
      </c>
      <c r="G646" s="928">
        <v>14</v>
      </c>
      <c r="H646" s="928">
        <v>1</v>
      </c>
      <c r="I646" s="929" t="s">
        <v>3436</v>
      </c>
      <c r="J646" s="929" t="s">
        <v>1537</v>
      </c>
      <c r="K646" s="928" t="s">
        <v>1703</v>
      </c>
      <c r="L646" s="930" t="s">
        <v>1813</v>
      </c>
      <c r="M646" s="927" t="s">
        <v>3484</v>
      </c>
      <c r="N646" s="930" t="s">
        <v>1690</v>
      </c>
      <c r="O646" s="927" t="s">
        <v>3484</v>
      </c>
      <c r="P646" s="930" t="s">
        <v>1695</v>
      </c>
      <c r="Q646" s="927" t="s">
        <v>3575</v>
      </c>
      <c r="R646" s="930" t="s">
        <v>1704</v>
      </c>
      <c r="S646" s="927" t="s">
        <v>3575</v>
      </c>
      <c r="T646" s="931" t="s">
        <v>1938</v>
      </c>
      <c r="U646" s="931" t="s">
        <v>2034</v>
      </c>
      <c r="V646" s="928"/>
      <c r="W646" s="928"/>
    </row>
    <row r="647" spans="1:23" x14ac:dyDescent="0.2">
      <c r="A647" s="927" t="s">
        <v>4547</v>
      </c>
      <c r="B647" s="928">
        <v>8</v>
      </c>
      <c r="C647" s="928">
        <v>11</v>
      </c>
      <c r="D647" s="928">
        <v>20</v>
      </c>
      <c r="E647" s="928">
        <v>6</v>
      </c>
      <c r="F647" s="928">
        <v>12</v>
      </c>
      <c r="G647" s="928">
        <v>21</v>
      </c>
      <c r="H647" s="928">
        <v>1</v>
      </c>
      <c r="I647" s="929" t="s">
        <v>3436</v>
      </c>
      <c r="J647" s="929" t="s">
        <v>1537</v>
      </c>
      <c r="K647" s="928" t="s">
        <v>1703</v>
      </c>
      <c r="L647" s="930" t="s">
        <v>1813</v>
      </c>
      <c r="M647" s="927" t="s">
        <v>3484</v>
      </c>
      <c r="N647" s="930" t="s">
        <v>1690</v>
      </c>
      <c r="O647" s="927" t="s">
        <v>3484</v>
      </c>
      <c r="P647" s="930" t="s">
        <v>1695</v>
      </c>
      <c r="Q647" s="927" t="s">
        <v>3575</v>
      </c>
      <c r="R647" s="930" t="s">
        <v>1704</v>
      </c>
      <c r="S647" s="927" t="s">
        <v>3575</v>
      </c>
      <c r="T647" s="931" t="s">
        <v>1938</v>
      </c>
      <c r="U647" s="931" t="s">
        <v>2034</v>
      </c>
      <c r="V647" s="873" t="s">
        <v>3361</v>
      </c>
      <c r="W647" s="928"/>
    </row>
    <row r="648" spans="1:23" x14ac:dyDescent="0.2">
      <c r="A648" s="927" t="s">
        <v>4548</v>
      </c>
      <c r="B648" s="928">
        <v>12</v>
      </c>
      <c r="C648" s="928">
        <v>15</v>
      </c>
      <c r="D648" s="928">
        <v>25</v>
      </c>
      <c r="E648" s="928">
        <v>8</v>
      </c>
      <c r="F648" s="928">
        <v>16</v>
      </c>
      <c r="G648" s="928">
        <v>28</v>
      </c>
      <c r="H648" s="928">
        <v>1</v>
      </c>
      <c r="I648" s="929" t="s">
        <v>3436</v>
      </c>
      <c r="J648" s="929" t="s">
        <v>1537</v>
      </c>
      <c r="K648" s="928" t="s">
        <v>1703</v>
      </c>
      <c r="L648" s="930" t="s">
        <v>1813</v>
      </c>
      <c r="M648" s="927" t="s">
        <v>3484</v>
      </c>
      <c r="N648" s="930" t="s">
        <v>1690</v>
      </c>
      <c r="O648" s="927" t="s">
        <v>3484</v>
      </c>
      <c r="P648" s="930" t="s">
        <v>1695</v>
      </c>
      <c r="Q648" s="927" t="s">
        <v>3575</v>
      </c>
      <c r="R648" s="930" t="s">
        <v>1704</v>
      </c>
      <c r="S648" s="927" t="s">
        <v>3575</v>
      </c>
      <c r="T648" s="931" t="s">
        <v>1938</v>
      </c>
      <c r="U648" s="931" t="s">
        <v>2034</v>
      </c>
      <c r="V648" s="873" t="s">
        <v>3361</v>
      </c>
      <c r="W648" s="928"/>
    </row>
    <row r="649" spans="1:23" x14ac:dyDescent="0.2">
      <c r="A649" s="927" t="s">
        <v>4549</v>
      </c>
      <c r="B649" s="928">
        <v>14</v>
      </c>
      <c r="C649" s="928">
        <v>18</v>
      </c>
      <c r="D649" s="928">
        <v>30</v>
      </c>
      <c r="E649" s="928">
        <v>10</v>
      </c>
      <c r="F649" s="928">
        <v>20</v>
      </c>
      <c r="G649" s="928">
        <v>35</v>
      </c>
      <c r="H649" s="928">
        <v>1</v>
      </c>
      <c r="I649" s="929" t="s">
        <v>3436</v>
      </c>
      <c r="J649" s="929" t="s">
        <v>1537</v>
      </c>
      <c r="K649" s="928" t="s">
        <v>1703</v>
      </c>
      <c r="L649" s="930" t="s">
        <v>1813</v>
      </c>
      <c r="M649" s="927" t="s">
        <v>3484</v>
      </c>
      <c r="N649" s="930" t="s">
        <v>1690</v>
      </c>
      <c r="O649" s="927" t="s">
        <v>3484</v>
      </c>
      <c r="P649" s="930" t="s">
        <v>1695</v>
      </c>
      <c r="Q649" s="927" t="s">
        <v>3575</v>
      </c>
      <c r="R649" s="930" t="s">
        <v>1704</v>
      </c>
      <c r="S649" s="927" t="s">
        <v>3575</v>
      </c>
      <c r="T649" s="931" t="s">
        <v>1938</v>
      </c>
      <c r="U649" s="931" t="s">
        <v>2034</v>
      </c>
      <c r="V649" s="873" t="s">
        <v>3361</v>
      </c>
      <c r="W649" s="928"/>
    </row>
    <row r="650" spans="1:23" x14ac:dyDescent="0.2">
      <c r="A650" s="927" t="s">
        <v>4550</v>
      </c>
      <c r="B650" s="928">
        <v>18</v>
      </c>
      <c r="C650" s="928">
        <v>22</v>
      </c>
      <c r="D650" s="928">
        <v>35</v>
      </c>
      <c r="E650" s="928">
        <v>12</v>
      </c>
      <c r="F650" s="928">
        <v>24</v>
      </c>
      <c r="G650" s="928">
        <v>42</v>
      </c>
      <c r="H650" s="928">
        <v>2</v>
      </c>
      <c r="I650" s="929" t="s">
        <v>3436</v>
      </c>
      <c r="J650" s="929" t="s">
        <v>1537</v>
      </c>
      <c r="K650" s="928" t="s">
        <v>1703</v>
      </c>
      <c r="L650" s="930" t="s">
        <v>1813</v>
      </c>
      <c r="M650" s="927" t="s">
        <v>3484</v>
      </c>
      <c r="N650" s="930" t="s">
        <v>1690</v>
      </c>
      <c r="O650" s="927" t="s">
        <v>3484</v>
      </c>
      <c r="P650" s="930" t="s">
        <v>1695</v>
      </c>
      <c r="Q650" s="927" t="s">
        <v>3575</v>
      </c>
      <c r="R650" s="930" t="s">
        <v>1704</v>
      </c>
      <c r="S650" s="927" t="s">
        <v>3575</v>
      </c>
      <c r="T650" s="931" t="s">
        <v>1938</v>
      </c>
      <c r="U650" s="931" t="s">
        <v>2034</v>
      </c>
      <c r="V650" s="873" t="s">
        <v>3361</v>
      </c>
      <c r="W650" s="928"/>
    </row>
    <row r="651" spans="1:23" x14ac:dyDescent="0.2">
      <c r="A651" s="927" t="s">
        <v>4551</v>
      </c>
      <c r="B651" s="928">
        <v>22</v>
      </c>
      <c r="C651" s="928">
        <v>26</v>
      </c>
      <c r="D651" s="928">
        <v>40</v>
      </c>
      <c r="E651" s="928">
        <v>14</v>
      </c>
      <c r="F651" s="928">
        <v>28</v>
      </c>
      <c r="G651" s="928">
        <v>49</v>
      </c>
      <c r="H651" s="928">
        <v>2</v>
      </c>
      <c r="I651" s="929" t="s">
        <v>3436</v>
      </c>
      <c r="J651" s="929" t="s">
        <v>1537</v>
      </c>
      <c r="K651" s="928" t="s">
        <v>1703</v>
      </c>
      <c r="L651" s="930" t="s">
        <v>1813</v>
      </c>
      <c r="M651" s="927" t="s">
        <v>3484</v>
      </c>
      <c r="N651" s="930" t="s">
        <v>1690</v>
      </c>
      <c r="O651" s="927" t="s">
        <v>3484</v>
      </c>
      <c r="P651" s="930" t="s">
        <v>1695</v>
      </c>
      <c r="Q651" s="927" t="s">
        <v>3575</v>
      </c>
      <c r="R651" s="930" t="s">
        <v>1704</v>
      </c>
      <c r="S651" s="927" t="s">
        <v>3575</v>
      </c>
      <c r="T651" s="931" t="s">
        <v>1938</v>
      </c>
      <c r="U651" s="931" t="s">
        <v>2034</v>
      </c>
      <c r="V651" s="873" t="s">
        <v>3361</v>
      </c>
      <c r="W651" s="928"/>
    </row>
    <row r="652" spans="1:23" x14ac:dyDescent="0.2">
      <c r="A652" s="927" t="s">
        <v>4552</v>
      </c>
      <c r="B652" s="928">
        <v>26</v>
      </c>
      <c r="C652" s="928">
        <v>32</v>
      </c>
      <c r="D652" s="928">
        <v>45</v>
      </c>
      <c r="E652" s="928">
        <v>16</v>
      </c>
      <c r="F652" s="928">
        <v>32</v>
      </c>
      <c r="G652" s="928">
        <v>56</v>
      </c>
      <c r="H652" s="928">
        <v>3</v>
      </c>
      <c r="I652" s="929" t="s">
        <v>3436</v>
      </c>
      <c r="J652" s="929" t="s">
        <v>1537</v>
      </c>
      <c r="K652" s="928" t="s">
        <v>1703</v>
      </c>
      <c r="L652" s="930" t="s">
        <v>1813</v>
      </c>
      <c r="M652" s="927" t="s">
        <v>3484</v>
      </c>
      <c r="N652" s="930" t="s">
        <v>1690</v>
      </c>
      <c r="O652" s="927" t="s">
        <v>3484</v>
      </c>
      <c r="P652" s="930" t="s">
        <v>1695</v>
      </c>
      <c r="Q652" s="927" t="s">
        <v>3575</v>
      </c>
      <c r="R652" s="930" t="s">
        <v>1704</v>
      </c>
      <c r="S652" s="927" t="s">
        <v>3575</v>
      </c>
      <c r="T652" s="931" t="s">
        <v>1938</v>
      </c>
      <c r="U652" s="931" t="s">
        <v>2034</v>
      </c>
      <c r="V652" s="873" t="s">
        <v>3361</v>
      </c>
      <c r="W652" s="928"/>
    </row>
    <row r="653" spans="1:23" x14ac:dyDescent="0.2">
      <c r="A653" s="927" t="s">
        <v>4553</v>
      </c>
      <c r="B653" s="928">
        <v>30</v>
      </c>
      <c r="C653" s="928">
        <v>36</v>
      </c>
      <c r="D653" s="928">
        <v>50</v>
      </c>
      <c r="E653" s="928">
        <v>18</v>
      </c>
      <c r="F653" s="928">
        <v>36</v>
      </c>
      <c r="G653" s="928">
        <v>63</v>
      </c>
      <c r="H653" s="928">
        <v>3</v>
      </c>
      <c r="I653" s="929" t="s">
        <v>3436</v>
      </c>
      <c r="J653" s="929" t="s">
        <v>1537</v>
      </c>
      <c r="K653" s="928" t="s">
        <v>1703</v>
      </c>
      <c r="L653" s="930" t="s">
        <v>1813</v>
      </c>
      <c r="M653" s="927" t="s">
        <v>3484</v>
      </c>
      <c r="N653" s="930" t="s">
        <v>1690</v>
      </c>
      <c r="O653" s="927" t="s">
        <v>3484</v>
      </c>
      <c r="P653" s="930" t="s">
        <v>1695</v>
      </c>
      <c r="Q653" s="927" t="s">
        <v>3575</v>
      </c>
      <c r="R653" s="930" t="s">
        <v>1704</v>
      </c>
      <c r="S653" s="927" t="s">
        <v>3575</v>
      </c>
      <c r="T653" s="931" t="s">
        <v>1938</v>
      </c>
      <c r="U653" s="931" t="s">
        <v>2034</v>
      </c>
      <c r="V653" s="873" t="s">
        <v>3361</v>
      </c>
      <c r="W653" s="928"/>
    </row>
    <row r="654" spans="1:23" x14ac:dyDescent="0.2">
      <c r="A654" s="933" t="s">
        <v>4554</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3760</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4555</v>
      </c>
      <c r="B657" s="928">
        <v>3</v>
      </c>
      <c r="C657" s="928">
        <v>5</v>
      </c>
      <c r="D657" s="928">
        <v>10</v>
      </c>
      <c r="E657" s="928">
        <v>2</v>
      </c>
      <c r="F657" s="928">
        <v>4</v>
      </c>
      <c r="G657" s="928">
        <v>7</v>
      </c>
      <c r="H657" s="928">
        <v>1</v>
      </c>
      <c r="I657" s="929" t="s">
        <v>3441</v>
      </c>
      <c r="J657" s="929" t="s">
        <v>1537</v>
      </c>
      <c r="K657" s="928" t="s">
        <v>1703</v>
      </c>
      <c r="L657" s="930" t="s">
        <v>1813</v>
      </c>
      <c r="M657" s="927" t="s">
        <v>3484</v>
      </c>
      <c r="N657" s="930" t="s">
        <v>1690</v>
      </c>
      <c r="O657" s="927" t="s">
        <v>3484</v>
      </c>
      <c r="P657" s="930" t="s">
        <v>1695</v>
      </c>
      <c r="Q657" s="927" t="s">
        <v>3575</v>
      </c>
      <c r="R657" s="930" t="s">
        <v>1704</v>
      </c>
      <c r="S657" s="927" t="s">
        <v>3575</v>
      </c>
      <c r="T657" s="931" t="s">
        <v>1938</v>
      </c>
      <c r="U657" s="931" t="s">
        <v>2034</v>
      </c>
      <c r="V657" s="873" t="s">
        <v>3361</v>
      </c>
      <c r="W657" s="928"/>
    </row>
    <row r="658" spans="1:23" x14ac:dyDescent="0.2">
      <c r="A658" s="927" t="s">
        <v>4556</v>
      </c>
      <c r="B658" s="928">
        <v>5</v>
      </c>
      <c r="C658" s="928">
        <v>8</v>
      </c>
      <c r="D658" s="928">
        <v>20</v>
      </c>
      <c r="E658" s="928">
        <v>4</v>
      </c>
      <c r="F658" s="928">
        <v>8</v>
      </c>
      <c r="G658" s="928">
        <v>14</v>
      </c>
      <c r="H658" s="928">
        <v>1</v>
      </c>
      <c r="I658" s="929" t="s">
        <v>3441</v>
      </c>
      <c r="J658" s="929" t="s">
        <v>1537</v>
      </c>
      <c r="K658" s="928" t="s">
        <v>1703</v>
      </c>
      <c r="L658" s="930" t="s">
        <v>1813</v>
      </c>
      <c r="M658" s="927" t="s">
        <v>3484</v>
      </c>
      <c r="N658" s="930" t="s">
        <v>1690</v>
      </c>
      <c r="O658" s="927" t="s">
        <v>3484</v>
      </c>
      <c r="P658" s="930" t="s">
        <v>1695</v>
      </c>
      <c r="Q658" s="927" t="s">
        <v>3575</v>
      </c>
      <c r="R658" s="930" t="s">
        <v>1704</v>
      </c>
      <c r="S658" s="927" t="s">
        <v>3575</v>
      </c>
      <c r="T658" s="931" t="s">
        <v>1938</v>
      </c>
      <c r="U658" s="931" t="s">
        <v>2034</v>
      </c>
      <c r="V658" s="873" t="s">
        <v>3361</v>
      </c>
      <c r="W658" s="928"/>
    </row>
    <row r="659" spans="1:23" x14ac:dyDescent="0.2">
      <c r="A659" s="927" t="s">
        <v>4557</v>
      </c>
      <c r="B659" s="928">
        <v>7</v>
      </c>
      <c r="C659" s="928">
        <v>9</v>
      </c>
      <c r="D659" s="928">
        <v>25</v>
      </c>
      <c r="E659" s="928">
        <v>6</v>
      </c>
      <c r="F659" s="928">
        <v>12</v>
      </c>
      <c r="G659" s="928">
        <v>21</v>
      </c>
      <c r="H659" s="928">
        <v>1</v>
      </c>
      <c r="I659" s="929" t="s">
        <v>3441</v>
      </c>
      <c r="J659" s="929" t="s">
        <v>1537</v>
      </c>
      <c r="K659" s="928" t="s">
        <v>1703</v>
      </c>
      <c r="L659" s="930" t="s">
        <v>1813</v>
      </c>
      <c r="M659" s="927" t="s">
        <v>3484</v>
      </c>
      <c r="N659" s="930" t="s">
        <v>1690</v>
      </c>
      <c r="O659" s="927" t="s">
        <v>3484</v>
      </c>
      <c r="P659" s="930" t="s">
        <v>1695</v>
      </c>
      <c r="Q659" s="927" t="s">
        <v>3575</v>
      </c>
      <c r="R659" s="930" t="s">
        <v>1704</v>
      </c>
      <c r="S659" s="927" t="s">
        <v>3575</v>
      </c>
      <c r="T659" s="931" t="s">
        <v>1938</v>
      </c>
      <c r="U659" s="931" t="s">
        <v>2034</v>
      </c>
      <c r="V659" s="873" t="s">
        <v>3361</v>
      </c>
      <c r="W659" s="928"/>
    </row>
    <row r="660" spans="1:23" x14ac:dyDescent="0.2">
      <c r="A660" s="927" t="s">
        <v>4558</v>
      </c>
      <c r="B660" s="928">
        <v>9</v>
      </c>
      <c r="C660" s="928">
        <v>12</v>
      </c>
      <c r="D660" s="928">
        <v>35</v>
      </c>
      <c r="E660" s="928">
        <v>8</v>
      </c>
      <c r="F660" s="928">
        <v>16</v>
      </c>
      <c r="G660" s="928">
        <v>28</v>
      </c>
      <c r="H660" s="928">
        <v>2</v>
      </c>
      <c r="I660" s="929" t="s">
        <v>3441</v>
      </c>
      <c r="J660" s="929" t="s">
        <v>1537</v>
      </c>
      <c r="K660" s="928" t="s">
        <v>1703</v>
      </c>
      <c r="L660" s="930" t="s">
        <v>1813</v>
      </c>
      <c r="M660" s="927" t="s">
        <v>3484</v>
      </c>
      <c r="N660" s="930" t="s">
        <v>1690</v>
      </c>
      <c r="O660" s="927" t="s">
        <v>3484</v>
      </c>
      <c r="P660" s="930" t="s">
        <v>1695</v>
      </c>
      <c r="Q660" s="927" t="s">
        <v>3575</v>
      </c>
      <c r="R660" s="930" t="s">
        <v>1704</v>
      </c>
      <c r="S660" s="927" t="s">
        <v>3575</v>
      </c>
      <c r="T660" s="931" t="s">
        <v>1938</v>
      </c>
      <c r="U660" s="931" t="s">
        <v>2034</v>
      </c>
      <c r="V660" s="873" t="s">
        <v>3361</v>
      </c>
      <c r="W660" s="928"/>
    </row>
    <row r="661" spans="1:23" x14ac:dyDescent="0.2">
      <c r="A661" s="927" t="s">
        <v>4559</v>
      </c>
      <c r="B661" s="928">
        <v>12</v>
      </c>
      <c r="C661" s="928">
        <v>15</v>
      </c>
      <c r="D661" s="928">
        <v>50</v>
      </c>
      <c r="E661" s="928">
        <v>10</v>
      </c>
      <c r="F661" s="928">
        <v>20</v>
      </c>
      <c r="G661" s="928">
        <v>35</v>
      </c>
      <c r="H661" s="928">
        <v>2</v>
      </c>
      <c r="I661" s="929" t="s">
        <v>3441</v>
      </c>
      <c r="J661" s="929" t="s">
        <v>1537</v>
      </c>
      <c r="K661" s="928" t="s">
        <v>1703</v>
      </c>
      <c r="L661" s="930" t="s">
        <v>1813</v>
      </c>
      <c r="M661" s="927" t="s">
        <v>3484</v>
      </c>
      <c r="N661" s="930" t="s">
        <v>1690</v>
      </c>
      <c r="O661" s="927" t="s">
        <v>3484</v>
      </c>
      <c r="P661" s="930" t="s">
        <v>1695</v>
      </c>
      <c r="Q661" s="927" t="s">
        <v>3575</v>
      </c>
      <c r="R661" s="930" t="s">
        <v>1704</v>
      </c>
      <c r="S661" s="927" t="s">
        <v>3575</v>
      </c>
      <c r="T661" s="931" t="s">
        <v>1938</v>
      </c>
      <c r="U661" s="931" t="s">
        <v>2034</v>
      </c>
      <c r="V661" s="873" t="s">
        <v>3361</v>
      </c>
      <c r="W661" s="928"/>
    </row>
    <row r="662" spans="1:23" x14ac:dyDescent="0.2">
      <c r="A662" s="927" t="s">
        <v>4560</v>
      </c>
      <c r="B662" s="928">
        <v>16</v>
      </c>
      <c r="C662" s="928">
        <v>20</v>
      </c>
      <c r="D662" s="928">
        <v>60</v>
      </c>
      <c r="E662" s="928">
        <v>12</v>
      </c>
      <c r="F662" s="928">
        <v>24</v>
      </c>
      <c r="G662" s="928">
        <v>42</v>
      </c>
      <c r="H662" s="928">
        <v>3</v>
      </c>
      <c r="I662" s="929" t="s">
        <v>3441</v>
      </c>
      <c r="J662" s="929" t="s">
        <v>1537</v>
      </c>
      <c r="K662" s="928" t="s">
        <v>1703</v>
      </c>
      <c r="L662" s="930" t="s">
        <v>1813</v>
      </c>
      <c r="M662" s="927" t="s">
        <v>3484</v>
      </c>
      <c r="N662" s="930" t="s">
        <v>1690</v>
      </c>
      <c r="O662" s="927" t="s">
        <v>3484</v>
      </c>
      <c r="P662" s="930" t="s">
        <v>1695</v>
      </c>
      <c r="Q662" s="927" t="s">
        <v>3575</v>
      </c>
      <c r="R662" s="930" t="s">
        <v>1704</v>
      </c>
      <c r="S662" s="927" t="s">
        <v>3575</v>
      </c>
      <c r="T662" s="931" t="s">
        <v>1938</v>
      </c>
      <c r="U662" s="931" t="s">
        <v>2034</v>
      </c>
      <c r="V662" s="873" t="s">
        <v>3361</v>
      </c>
      <c r="W662" s="928"/>
    </row>
    <row r="663" spans="1:23" x14ac:dyDescent="0.2">
      <c r="A663" s="927" t="s">
        <v>4561</v>
      </c>
      <c r="B663" s="928">
        <v>18</v>
      </c>
      <c r="C663" s="928">
        <v>22</v>
      </c>
      <c r="D663" s="928">
        <v>65</v>
      </c>
      <c r="E663" s="928">
        <v>14</v>
      </c>
      <c r="F663" s="928">
        <v>28</v>
      </c>
      <c r="G663" s="928">
        <v>49</v>
      </c>
      <c r="H663" s="928">
        <v>3</v>
      </c>
      <c r="I663" s="929" t="s">
        <v>3441</v>
      </c>
      <c r="J663" s="929" t="s">
        <v>1537</v>
      </c>
      <c r="K663" s="928" t="s">
        <v>1703</v>
      </c>
      <c r="L663" s="930" t="s">
        <v>1813</v>
      </c>
      <c r="M663" s="927" t="s">
        <v>3484</v>
      </c>
      <c r="N663" s="930" t="s">
        <v>1690</v>
      </c>
      <c r="O663" s="927" t="s">
        <v>3484</v>
      </c>
      <c r="P663" s="930" t="s">
        <v>1695</v>
      </c>
      <c r="Q663" s="927" t="s">
        <v>3575</v>
      </c>
      <c r="R663" s="930" t="s">
        <v>1704</v>
      </c>
      <c r="S663" s="927" t="s">
        <v>3575</v>
      </c>
      <c r="T663" s="931" t="s">
        <v>1938</v>
      </c>
      <c r="U663" s="931" t="s">
        <v>2034</v>
      </c>
      <c r="V663" s="873" t="s">
        <v>3361</v>
      </c>
      <c r="W663" s="928"/>
    </row>
    <row r="664" spans="1:23" x14ac:dyDescent="0.2">
      <c r="A664" s="933" t="s">
        <v>4554</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3763</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4562</v>
      </c>
      <c r="B667" s="928">
        <v>12</v>
      </c>
      <c r="C667" s="928">
        <v>15</v>
      </c>
      <c r="D667" s="928">
        <v>30</v>
      </c>
      <c r="E667" s="928">
        <v>8</v>
      </c>
      <c r="F667" s="928">
        <v>16</v>
      </c>
      <c r="G667" s="928">
        <v>28</v>
      </c>
      <c r="H667" s="928">
        <v>2</v>
      </c>
      <c r="I667" s="929" t="s">
        <v>3436</v>
      </c>
      <c r="J667" s="929" t="s">
        <v>1890</v>
      </c>
      <c r="K667" s="928" t="s">
        <v>1703</v>
      </c>
      <c r="L667" s="930" t="s">
        <v>1685</v>
      </c>
      <c r="M667" s="927" t="s">
        <v>3485</v>
      </c>
      <c r="N667" s="930" t="s">
        <v>1690</v>
      </c>
      <c r="O667" s="927" t="s">
        <v>3485</v>
      </c>
      <c r="P667" s="930" t="s">
        <v>1695</v>
      </c>
      <c r="Q667" s="927" t="s">
        <v>3485</v>
      </c>
      <c r="R667" s="930" t="s">
        <v>1704</v>
      </c>
      <c r="S667" s="927" t="s">
        <v>3575</v>
      </c>
      <c r="T667" s="931" t="s">
        <v>1934</v>
      </c>
      <c r="U667" s="931" t="s">
        <v>2029</v>
      </c>
      <c r="V667" s="931" t="s">
        <v>2030</v>
      </c>
      <c r="W667" s="928"/>
    </row>
    <row r="668" spans="1:23" x14ac:dyDescent="0.2">
      <c r="A668" s="933" t="s">
        <v>4250</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4251</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4563</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4564</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4565</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4566</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4567</v>
      </c>
      <c r="B674" s="928"/>
      <c r="C674" s="928"/>
      <c r="D674" s="928">
        <v>-5</v>
      </c>
      <c r="E674" s="928"/>
      <c r="F674" s="928"/>
      <c r="G674" s="928"/>
      <c r="H674" s="928">
        <v>1</v>
      </c>
      <c r="I674" s="928"/>
      <c r="J674" s="929" t="s">
        <v>4568</v>
      </c>
      <c r="K674" s="928"/>
      <c r="L674" s="937"/>
      <c r="M674" s="928"/>
      <c r="N674" s="928"/>
      <c r="O674" s="928"/>
      <c r="P674" s="928"/>
      <c r="Q674" s="928"/>
      <c r="R674" s="928"/>
      <c r="S674" s="928"/>
      <c r="T674" s="928"/>
      <c r="U674" s="928"/>
      <c r="V674" s="928"/>
      <c r="W674" s="928"/>
    </row>
    <row r="675" spans="1:23" x14ac:dyDescent="0.2">
      <c r="A675" s="927" t="s">
        <v>4569</v>
      </c>
      <c r="B675" s="928"/>
      <c r="C675" s="928"/>
      <c r="D675" s="928">
        <v>-10</v>
      </c>
      <c r="E675" s="928"/>
      <c r="F675" s="928"/>
      <c r="G675" s="928"/>
      <c r="H675" s="928">
        <v>1</v>
      </c>
      <c r="I675" s="928"/>
      <c r="J675" s="929" t="s">
        <v>4568</v>
      </c>
      <c r="K675" s="928"/>
      <c r="L675" s="937"/>
      <c r="M675" s="928"/>
      <c r="N675" s="928"/>
      <c r="O675" s="928"/>
      <c r="P675" s="928"/>
      <c r="Q675" s="928"/>
      <c r="R675" s="928"/>
      <c r="S675" s="928"/>
      <c r="T675" s="928"/>
      <c r="U675" s="928"/>
      <c r="V675" s="928"/>
      <c r="W675" s="928"/>
    </row>
    <row r="676" spans="1:23" x14ac:dyDescent="0.2">
      <c r="A676" s="927" t="s">
        <v>4570</v>
      </c>
      <c r="B676" s="928"/>
      <c r="C676" s="928"/>
      <c r="D676" s="928">
        <v>-15</v>
      </c>
      <c r="E676" s="928"/>
      <c r="F676" s="928"/>
      <c r="G676" s="928"/>
      <c r="H676" s="928">
        <v>2</v>
      </c>
      <c r="I676" s="928"/>
      <c r="J676" s="929" t="s">
        <v>4568</v>
      </c>
      <c r="K676" s="928"/>
      <c r="L676" s="937"/>
      <c r="M676" s="928"/>
      <c r="N676" s="928"/>
      <c r="O676" s="928"/>
      <c r="P676" s="928"/>
      <c r="Q676" s="928"/>
      <c r="R676" s="928"/>
      <c r="S676" s="928"/>
      <c r="T676" s="928"/>
      <c r="U676" s="928"/>
      <c r="V676" s="928"/>
      <c r="W676" s="928"/>
    </row>
    <row r="677" spans="1:23" x14ac:dyDescent="0.2">
      <c r="A677" s="959" t="s">
        <v>4571</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4572</v>
      </c>
      <c r="B678" s="928"/>
      <c r="C678" s="928"/>
      <c r="D678" s="928">
        <v>-15</v>
      </c>
      <c r="E678" s="928"/>
      <c r="F678" s="928"/>
      <c r="G678" s="928"/>
      <c r="H678" s="928">
        <v>1</v>
      </c>
      <c r="I678" s="928"/>
      <c r="J678" s="929" t="s">
        <v>4568</v>
      </c>
      <c r="K678" s="928"/>
      <c r="L678" s="937"/>
      <c r="M678" s="928"/>
      <c r="N678" s="928"/>
      <c r="O678" s="928"/>
      <c r="P678" s="928"/>
      <c r="Q678" s="928"/>
      <c r="R678" s="928"/>
      <c r="S678" s="928"/>
      <c r="T678" s="928"/>
      <c r="U678" s="928"/>
      <c r="V678" s="928"/>
      <c r="W678" s="928"/>
    </row>
    <row r="679" spans="1:23" x14ac:dyDescent="0.2">
      <c r="A679" s="927" t="s">
        <v>4573</v>
      </c>
      <c r="B679" s="928"/>
      <c r="C679" s="928"/>
      <c r="D679" s="928">
        <v>-10</v>
      </c>
      <c r="E679" s="928"/>
      <c r="F679" s="928"/>
      <c r="G679" s="928"/>
      <c r="H679" s="928">
        <v>1</v>
      </c>
      <c r="I679" s="928"/>
      <c r="J679" s="929" t="s">
        <v>4568</v>
      </c>
      <c r="K679" s="928"/>
      <c r="L679" s="937"/>
      <c r="M679" s="928"/>
      <c r="N679" s="928"/>
      <c r="O679" s="928"/>
      <c r="P679" s="928"/>
      <c r="Q679" s="928"/>
      <c r="R679" s="928"/>
      <c r="S679" s="928"/>
      <c r="T679" s="928"/>
      <c r="U679" s="928"/>
      <c r="V679" s="928"/>
      <c r="W679" s="928"/>
    </row>
    <row r="680" spans="1:23" x14ac:dyDescent="0.2">
      <c r="A680" s="959" t="s">
        <v>4574</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4575</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4576</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4577</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4578</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4579</v>
      </c>
      <c r="B685" s="928"/>
      <c r="C685" s="928"/>
      <c r="D685" s="928">
        <v>-5</v>
      </c>
      <c r="E685" s="928"/>
      <c r="F685" s="928"/>
      <c r="G685" s="928"/>
      <c r="H685" s="928">
        <v>1</v>
      </c>
      <c r="I685" s="928"/>
      <c r="J685" s="929" t="s">
        <v>4568</v>
      </c>
      <c r="K685" s="928"/>
      <c r="L685" s="937"/>
      <c r="M685" s="928"/>
      <c r="N685" s="928"/>
      <c r="O685" s="928"/>
      <c r="P685" s="928"/>
      <c r="Q685" s="928"/>
      <c r="R685" s="928"/>
      <c r="S685" s="928"/>
      <c r="T685" s="928"/>
      <c r="U685" s="928"/>
      <c r="V685" s="928"/>
      <c r="W685" s="928"/>
    </row>
    <row r="686" spans="1:23" x14ac:dyDescent="0.2">
      <c r="A686" s="927" t="s">
        <v>4580</v>
      </c>
      <c r="B686" s="928"/>
      <c r="C686" s="928"/>
      <c r="D686" s="928">
        <v>-10</v>
      </c>
      <c r="E686" s="928"/>
      <c r="F686" s="928"/>
      <c r="G686" s="928"/>
      <c r="H686" s="928">
        <v>1</v>
      </c>
      <c r="I686" s="928"/>
      <c r="J686" s="929" t="s">
        <v>4568</v>
      </c>
      <c r="K686" s="928"/>
      <c r="L686" s="937"/>
      <c r="M686" s="928"/>
      <c r="N686" s="928"/>
      <c r="O686" s="928"/>
      <c r="P686" s="928"/>
      <c r="Q686" s="928"/>
      <c r="R686" s="928"/>
      <c r="S686" s="928"/>
      <c r="T686" s="928"/>
      <c r="U686" s="928"/>
      <c r="V686" s="928"/>
      <c r="W686" s="928"/>
    </row>
    <row r="687" spans="1:23" x14ac:dyDescent="0.2">
      <c r="A687" s="959" t="s">
        <v>4581</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4582</v>
      </c>
      <c r="B688" s="928"/>
      <c r="C688" s="928"/>
      <c r="D688" s="928">
        <v>-10</v>
      </c>
      <c r="E688" s="928"/>
      <c r="F688" s="928"/>
      <c r="G688" s="928"/>
      <c r="H688" s="928">
        <v>1</v>
      </c>
      <c r="I688" s="928"/>
      <c r="J688" s="929" t="s">
        <v>4568</v>
      </c>
      <c r="K688" s="928"/>
      <c r="L688" s="937"/>
      <c r="M688" s="928"/>
      <c r="N688" s="928"/>
      <c r="O688" s="928"/>
      <c r="P688" s="928"/>
      <c r="Q688" s="928"/>
      <c r="R688" s="928"/>
      <c r="S688" s="928"/>
      <c r="T688" s="928"/>
      <c r="U688" s="928"/>
      <c r="V688" s="928"/>
      <c r="W688" s="928"/>
    </row>
    <row r="689" spans="1:23" x14ac:dyDescent="0.2">
      <c r="A689" s="927" t="s">
        <v>4583</v>
      </c>
      <c r="B689" s="928"/>
      <c r="C689" s="928"/>
      <c r="D689" s="928">
        <v>-15</v>
      </c>
      <c r="E689" s="928"/>
      <c r="F689" s="928"/>
      <c r="G689" s="928"/>
      <c r="H689" s="928">
        <v>1</v>
      </c>
      <c r="I689" s="928"/>
      <c r="J689" s="929" t="s">
        <v>4568</v>
      </c>
      <c r="K689" s="928"/>
      <c r="L689" s="937"/>
      <c r="M689" s="928"/>
      <c r="N689" s="928"/>
      <c r="O689" s="928"/>
      <c r="P689" s="928"/>
      <c r="Q689" s="928"/>
      <c r="R689" s="928"/>
      <c r="S689" s="928"/>
      <c r="T689" s="928"/>
      <c r="U689" s="928"/>
      <c r="V689" s="928"/>
      <c r="W689" s="928"/>
    </row>
    <row r="690" spans="1:23" x14ac:dyDescent="0.2">
      <c r="A690" s="927" t="s">
        <v>4584</v>
      </c>
      <c r="B690" s="928"/>
      <c r="C690" s="928"/>
      <c r="D690" s="928">
        <v>-25</v>
      </c>
      <c r="E690" s="928"/>
      <c r="F690" s="928"/>
      <c r="G690" s="928"/>
      <c r="H690" s="928">
        <v>2</v>
      </c>
      <c r="I690" s="928"/>
      <c r="J690" s="929" t="s">
        <v>4568</v>
      </c>
      <c r="K690" s="928"/>
      <c r="L690" s="937"/>
      <c r="M690" s="928"/>
      <c r="N690" s="928"/>
      <c r="O690" s="928"/>
      <c r="P690" s="928"/>
      <c r="Q690" s="928"/>
      <c r="R690" s="928"/>
      <c r="S690" s="928"/>
      <c r="T690" s="928"/>
      <c r="U690" s="928"/>
      <c r="V690" s="928"/>
      <c r="W690" s="928"/>
    </row>
    <row r="691" spans="1:23" x14ac:dyDescent="0.2">
      <c r="A691" s="927" t="s">
        <v>4585</v>
      </c>
      <c r="B691" s="928"/>
      <c r="C691" s="928"/>
      <c r="D691" s="928">
        <v>-10</v>
      </c>
      <c r="E691" s="928"/>
      <c r="F691" s="928"/>
      <c r="G691" s="928"/>
      <c r="H691" s="928">
        <v>1</v>
      </c>
      <c r="I691" s="928"/>
      <c r="J691" s="929" t="s">
        <v>4568</v>
      </c>
      <c r="K691" s="928"/>
      <c r="L691" s="937"/>
      <c r="M691" s="928"/>
      <c r="N691" s="928"/>
      <c r="O691" s="928"/>
      <c r="P691" s="928"/>
      <c r="Q691" s="928"/>
      <c r="R691" s="928"/>
      <c r="S691" s="928"/>
      <c r="T691" s="928"/>
      <c r="U691" s="928"/>
      <c r="V691" s="928"/>
      <c r="W691" s="928"/>
    </row>
    <row r="692" spans="1:23" x14ac:dyDescent="0.2">
      <c r="A692" s="959" t="s">
        <v>4586</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4587</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4588</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2629</v>
      </c>
      <c r="B695" s="928"/>
      <c r="C695" s="928"/>
      <c r="D695" s="928">
        <v>-5</v>
      </c>
      <c r="E695" s="928"/>
      <c r="F695" s="928"/>
      <c r="G695" s="928"/>
      <c r="H695" s="928">
        <v>2</v>
      </c>
      <c r="I695" s="928"/>
      <c r="J695" s="929" t="s">
        <v>4568</v>
      </c>
      <c r="K695" s="928"/>
      <c r="L695" s="937"/>
      <c r="M695" s="928"/>
      <c r="N695" s="928"/>
      <c r="O695" s="928"/>
      <c r="P695" s="928"/>
      <c r="Q695" s="928"/>
      <c r="R695" s="928"/>
      <c r="S695" s="928"/>
      <c r="T695" s="928"/>
      <c r="U695" s="928"/>
      <c r="V695" s="928"/>
      <c r="W695" s="928"/>
    </row>
    <row r="696" spans="1:23" x14ac:dyDescent="0.2">
      <c r="A696" s="959" t="s">
        <v>4589</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4590</v>
      </c>
      <c r="B697" s="928"/>
      <c r="C697" s="928"/>
      <c r="D697" s="928">
        <v>-5</v>
      </c>
      <c r="E697" s="928"/>
      <c r="F697" s="928"/>
      <c r="G697" s="928"/>
      <c r="H697" s="928">
        <v>1</v>
      </c>
      <c r="I697" s="928"/>
      <c r="J697" s="929" t="s">
        <v>4568</v>
      </c>
      <c r="K697" s="928"/>
      <c r="L697" s="937"/>
      <c r="M697" s="928"/>
      <c r="N697" s="928"/>
      <c r="O697" s="928"/>
      <c r="P697" s="928"/>
      <c r="Q697" s="928"/>
      <c r="R697" s="928"/>
      <c r="S697" s="928"/>
      <c r="T697" s="928"/>
      <c r="U697" s="928"/>
      <c r="V697" s="928"/>
      <c r="W697" s="928"/>
    </row>
    <row r="698" spans="1:23" x14ac:dyDescent="0.2">
      <c r="A698" s="927" t="s">
        <v>4591</v>
      </c>
      <c r="B698" s="928"/>
      <c r="C698" s="928"/>
      <c r="D698" s="928">
        <v>-5</v>
      </c>
      <c r="E698" s="928"/>
      <c r="F698" s="928"/>
      <c r="G698" s="928"/>
      <c r="H698" s="928">
        <v>1</v>
      </c>
      <c r="I698" s="928"/>
      <c r="J698" s="929" t="s">
        <v>4568</v>
      </c>
      <c r="K698" s="928"/>
      <c r="L698" s="937"/>
      <c r="M698" s="928"/>
      <c r="N698" s="928"/>
      <c r="O698" s="928"/>
      <c r="P698" s="928"/>
      <c r="Q698" s="928"/>
      <c r="R698" s="928"/>
      <c r="S698" s="928"/>
      <c r="T698" s="928"/>
      <c r="U698" s="928"/>
      <c r="V698" s="928"/>
      <c r="W698" s="928"/>
    </row>
    <row r="699" spans="1:23" x14ac:dyDescent="0.2">
      <c r="A699" s="927" t="s">
        <v>4592</v>
      </c>
      <c r="B699" s="928"/>
      <c r="C699" s="928"/>
      <c r="D699" s="928">
        <v>-5</v>
      </c>
      <c r="E699" s="928"/>
      <c r="F699" s="928"/>
      <c r="G699" s="928"/>
      <c r="H699" s="928">
        <v>1</v>
      </c>
      <c r="I699" s="928"/>
      <c r="J699" s="929" t="s">
        <v>4568</v>
      </c>
      <c r="K699" s="928"/>
      <c r="L699" s="937"/>
      <c r="M699" s="928"/>
      <c r="N699" s="928"/>
      <c r="O699" s="928"/>
      <c r="P699" s="928"/>
      <c r="Q699" s="928"/>
      <c r="R699" s="928"/>
      <c r="S699" s="928"/>
      <c r="T699" s="928"/>
      <c r="U699" s="928"/>
      <c r="V699" s="928"/>
      <c r="W699" s="928"/>
    </row>
    <row r="700" spans="1:23" x14ac:dyDescent="0.2">
      <c r="A700" s="927" t="s">
        <v>4593</v>
      </c>
      <c r="B700" s="928"/>
      <c r="C700" s="928"/>
      <c r="D700" s="928">
        <v>-5</v>
      </c>
      <c r="E700" s="928"/>
      <c r="F700" s="928"/>
      <c r="G700" s="928"/>
      <c r="H700" s="928">
        <v>1</v>
      </c>
      <c r="I700" s="928"/>
      <c r="J700" s="929" t="s">
        <v>4568</v>
      </c>
      <c r="K700" s="928"/>
      <c r="L700" s="937"/>
      <c r="M700" s="928"/>
      <c r="N700" s="928"/>
      <c r="O700" s="928"/>
      <c r="P700" s="928"/>
      <c r="Q700" s="928"/>
      <c r="R700" s="928"/>
      <c r="S700" s="928"/>
      <c r="T700" s="928"/>
      <c r="U700" s="928"/>
      <c r="V700" s="928"/>
      <c r="W700" s="928"/>
    </row>
    <row r="701" spans="1:23" x14ac:dyDescent="0.2">
      <c r="A701" s="927" t="s">
        <v>4594</v>
      </c>
      <c r="B701" s="928"/>
      <c r="C701" s="928"/>
      <c r="D701" s="928">
        <v>-10</v>
      </c>
      <c r="E701" s="928"/>
      <c r="F701" s="928"/>
      <c r="G701" s="928"/>
      <c r="H701" s="928">
        <v>1</v>
      </c>
      <c r="I701" s="928"/>
      <c r="J701" s="929" t="s">
        <v>4568</v>
      </c>
      <c r="K701" s="928"/>
      <c r="L701" s="937"/>
      <c r="M701" s="928"/>
      <c r="N701" s="928"/>
      <c r="O701" s="928"/>
      <c r="P701" s="928"/>
      <c r="Q701" s="928"/>
      <c r="R701" s="928"/>
      <c r="S701" s="928"/>
      <c r="T701" s="928"/>
      <c r="U701" s="928"/>
      <c r="V701" s="928"/>
      <c r="W701" s="928"/>
    </row>
    <row r="702" spans="1:23" x14ac:dyDescent="0.2">
      <c r="A702" s="927" t="s">
        <v>4595</v>
      </c>
      <c r="B702" s="928"/>
      <c r="C702" s="928"/>
      <c r="D702" s="928">
        <v>-10</v>
      </c>
      <c r="E702" s="928"/>
      <c r="F702" s="928"/>
      <c r="G702" s="928"/>
      <c r="H702" s="928">
        <v>1</v>
      </c>
      <c r="I702" s="928"/>
      <c r="J702" s="929" t="s">
        <v>4568</v>
      </c>
      <c r="K702" s="928"/>
      <c r="L702" s="937"/>
      <c r="M702" s="928"/>
      <c r="N702" s="928"/>
      <c r="O702" s="928"/>
      <c r="P702" s="928"/>
      <c r="Q702" s="928"/>
      <c r="R702" s="928"/>
      <c r="S702" s="928"/>
      <c r="T702" s="928"/>
      <c r="U702" s="928"/>
      <c r="V702" s="928"/>
      <c r="W702" s="928"/>
    </row>
    <row r="703" spans="1:23" x14ac:dyDescent="0.2">
      <c r="A703" s="927" t="s">
        <v>4596</v>
      </c>
      <c r="B703" s="928"/>
      <c r="C703" s="928"/>
      <c r="D703" s="928">
        <v>-10</v>
      </c>
      <c r="E703" s="928"/>
      <c r="F703" s="928"/>
      <c r="G703" s="928"/>
      <c r="H703" s="928">
        <v>1</v>
      </c>
      <c r="I703" s="928"/>
      <c r="J703" s="929" t="s">
        <v>4568</v>
      </c>
      <c r="K703" s="928"/>
      <c r="L703" s="937"/>
      <c r="M703" s="928"/>
      <c r="N703" s="928"/>
      <c r="O703" s="928"/>
      <c r="P703" s="928"/>
      <c r="Q703" s="928"/>
      <c r="R703" s="928"/>
      <c r="S703" s="928"/>
      <c r="T703" s="928"/>
      <c r="U703" s="928"/>
      <c r="V703" s="928"/>
      <c r="W703" s="928"/>
    </row>
    <row r="704" spans="1:23" x14ac:dyDescent="0.2">
      <c r="A704" s="927" t="s">
        <v>4597</v>
      </c>
      <c r="B704" s="928"/>
      <c r="C704" s="928"/>
      <c r="D704" s="928">
        <v>-20</v>
      </c>
      <c r="E704" s="928"/>
      <c r="F704" s="928"/>
      <c r="G704" s="928"/>
      <c r="H704" s="928">
        <v>2</v>
      </c>
      <c r="I704" s="928"/>
      <c r="J704" s="929" t="s">
        <v>4568</v>
      </c>
      <c r="K704" s="928"/>
      <c r="L704" s="937"/>
      <c r="M704" s="928"/>
      <c r="N704" s="928"/>
      <c r="O704" s="928"/>
      <c r="P704" s="928"/>
      <c r="Q704" s="928"/>
      <c r="R704" s="928"/>
      <c r="S704" s="928"/>
      <c r="T704" s="928"/>
      <c r="U704" s="928"/>
      <c r="V704" s="928"/>
      <c r="W704" s="928"/>
    </row>
    <row r="705" spans="1:23" x14ac:dyDescent="0.2">
      <c r="A705" s="959" t="s">
        <v>4598</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4599</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4600</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4601</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4602</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4603</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4604</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4605</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4606</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4607</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4608</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4609</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4610</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4611</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4612</v>
      </c>
      <c r="B719" s="928"/>
      <c r="C719" s="928"/>
      <c r="D719" s="928">
        <v>-15</v>
      </c>
      <c r="E719" s="928"/>
      <c r="F719" s="928"/>
      <c r="G719" s="928"/>
      <c r="H719" s="928">
        <v>1</v>
      </c>
      <c r="I719" s="928"/>
      <c r="J719" s="929" t="s">
        <v>4568</v>
      </c>
      <c r="K719" s="928"/>
      <c r="L719" s="937"/>
      <c r="M719" s="928"/>
      <c r="N719" s="928"/>
      <c r="O719" s="928"/>
      <c r="P719" s="928"/>
      <c r="Q719" s="928"/>
      <c r="R719" s="928"/>
      <c r="S719" s="928"/>
      <c r="T719" s="928"/>
      <c r="U719" s="928"/>
      <c r="V719" s="928"/>
      <c r="W719" s="928"/>
    </row>
    <row r="720" spans="1:23" x14ac:dyDescent="0.2">
      <c r="A720" s="959" t="s">
        <v>4613</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4614</v>
      </c>
      <c r="B721" s="928"/>
      <c r="C721" s="928"/>
      <c r="D721" s="928">
        <v>-10</v>
      </c>
      <c r="E721" s="928"/>
      <c r="F721" s="928"/>
      <c r="G721" s="928"/>
      <c r="H721" s="928">
        <v>1</v>
      </c>
      <c r="I721" s="928"/>
      <c r="J721" s="929" t="s">
        <v>4568</v>
      </c>
      <c r="K721" s="928"/>
      <c r="L721" s="937"/>
      <c r="M721" s="928"/>
      <c r="N721" s="928"/>
      <c r="O721" s="928"/>
      <c r="P721" s="928"/>
      <c r="Q721" s="928"/>
      <c r="R721" s="928"/>
      <c r="S721" s="928"/>
      <c r="T721" s="928"/>
      <c r="U721" s="928"/>
      <c r="V721" s="928"/>
      <c r="W721" s="928"/>
    </row>
    <row r="722" spans="1:23" x14ac:dyDescent="0.2">
      <c r="A722" s="959" t="s">
        <v>4615</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4616</v>
      </c>
      <c r="B723" s="928"/>
      <c r="C723" s="928"/>
      <c r="D723" s="928">
        <v>-10</v>
      </c>
      <c r="E723" s="928"/>
      <c r="F723" s="928"/>
      <c r="G723" s="928"/>
      <c r="H723" s="928">
        <v>1</v>
      </c>
      <c r="I723" s="928"/>
      <c r="J723" s="929" t="s">
        <v>4568</v>
      </c>
      <c r="K723" s="928"/>
      <c r="L723" s="937"/>
      <c r="M723" s="928"/>
      <c r="N723" s="928"/>
      <c r="O723" s="928"/>
      <c r="P723" s="928"/>
      <c r="Q723" s="928"/>
      <c r="R723" s="928"/>
      <c r="S723" s="928"/>
      <c r="T723" s="928"/>
      <c r="U723" s="928"/>
      <c r="V723" s="928"/>
      <c r="W723" s="928"/>
    </row>
    <row r="724" spans="1:23" x14ac:dyDescent="0.2">
      <c r="A724" s="927" t="s">
        <v>4617</v>
      </c>
      <c r="B724" s="928"/>
      <c r="C724" s="928"/>
      <c r="D724" s="928">
        <v>-15</v>
      </c>
      <c r="E724" s="928"/>
      <c r="F724" s="928"/>
      <c r="G724" s="928"/>
      <c r="H724" s="928">
        <v>1</v>
      </c>
      <c r="I724" s="928"/>
      <c r="J724" s="929" t="s">
        <v>4568</v>
      </c>
      <c r="K724" s="928"/>
      <c r="L724" s="937"/>
      <c r="M724" s="928"/>
      <c r="N724" s="928"/>
      <c r="O724" s="928"/>
      <c r="P724" s="928"/>
      <c r="Q724" s="928"/>
      <c r="R724" s="928"/>
      <c r="S724" s="928"/>
      <c r="T724" s="928"/>
      <c r="U724" s="928"/>
      <c r="V724" s="928"/>
      <c r="W724" s="928"/>
    </row>
    <row r="725" spans="1:23" x14ac:dyDescent="0.2">
      <c r="A725" s="927" t="s">
        <v>4618</v>
      </c>
      <c r="B725" s="928"/>
      <c r="C725" s="928"/>
      <c r="D725" s="928">
        <v>-20</v>
      </c>
      <c r="E725" s="928"/>
      <c r="F725" s="928"/>
      <c r="G725" s="928"/>
      <c r="H725" s="928">
        <v>2</v>
      </c>
      <c r="I725" s="928"/>
      <c r="J725" s="929" t="s">
        <v>4568</v>
      </c>
      <c r="K725" s="928"/>
      <c r="L725" s="937"/>
      <c r="M725" s="928"/>
      <c r="N725" s="928"/>
      <c r="O725" s="928"/>
      <c r="P725" s="928"/>
      <c r="Q725" s="928"/>
      <c r="R725" s="928"/>
      <c r="S725" s="928"/>
      <c r="T725" s="928"/>
      <c r="U725" s="928"/>
      <c r="V725" s="928"/>
      <c r="W725" s="928"/>
    </row>
    <row r="726" spans="1:23" x14ac:dyDescent="0.2">
      <c r="A726" s="927" t="s">
        <v>4619</v>
      </c>
      <c r="B726" s="928"/>
      <c r="C726" s="928"/>
      <c r="D726" s="928">
        <v>-25</v>
      </c>
      <c r="E726" s="928"/>
      <c r="F726" s="928"/>
      <c r="G726" s="928"/>
      <c r="H726" s="928">
        <v>2</v>
      </c>
      <c r="I726" s="928"/>
      <c r="J726" s="929" t="s">
        <v>4568</v>
      </c>
      <c r="K726" s="928"/>
      <c r="L726" s="937"/>
      <c r="M726" s="928"/>
      <c r="N726" s="928"/>
      <c r="O726" s="928"/>
      <c r="P726" s="928"/>
      <c r="Q726" s="928"/>
      <c r="R726" s="928"/>
      <c r="S726" s="928"/>
      <c r="T726" s="928"/>
      <c r="U726" s="928"/>
      <c r="V726" s="928"/>
      <c r="W726" s="928"/>
    </row>
    <row r="727" spans="1:23" x14ac:dyDescent="0.2">
      <c r="A727" s="927" t="s">
        <v>4620</v>
      </c>
      <c r="B727" s="928"/>
      <c r="C727" s="928"/>
      <c r="D727" s="928">
        <v>-30</v>
      </c>
      <c r="E727" s="928"/>
      <c r="F727" s="928"/>
      <c r="G727" s="928"/>
      <c r="H727" s="928">
        <v>3</v>
      </c>
      <c r="I727" s="928"/>
      <c r="J727" s="929" t="s">
        <v>4568</v>
      </c>
      <c r="K727" s="928"/>
      <c r="L727" s="937"/>
      <c r="M727" s="928"/>
      <c r="N727" s="928"/>
      <c r="O727" s="928"/>
      <c r="P727" s="928"/>
      <c r="Q727" s="928"/>
      <c r="R727" s="928"/>
      <c r="S727" s="928"/>
      <c r="T727" s="928"/>
      <c r="U727" s="928"/>
      <c r="V727" s="928"/>
      <c r="W727" s="928"/>
    </row>
    <row r="728" spans="1:23" x14ac:dyDescent="0.2">
      <c r="A728" s="959" t="s">
        <v>4621</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4622</v>
      </c>
      <c r="B729" s="928"/>
      <c r="C729" s="928"/>
      <c r="D729" s="928">
        <v>-20</v>
      </c>
      <c r="E729" s="928"/>
      <c r="F729" s="928"/>
      <c r="G729" s="928"/>
      <c r="H729" s="928">
        <v>2</v>
      </c>
      <c r="I729" s="928"/>
      <c r="J729" s="929" t="s">
        <v>4568</v>
      </c>
      <c r="K729" s="928"/>
      <c r="L729" s="937"/>
      <c r="M729" s="928"/>
      <c r="N729" s="928"/>
      <c r="O729" s="928"/>
      <c r="P729" s="928"/>
      <c r="Q729" s="928"/>
      <c r="R729" s="928"/>
      <c r="S729" s="928"/>
      <c r="T729" s="928"/>
      <c r="U729" s="928"/>
      <c r="V729" s="928"/>
      <c r="W729" s="928"/>
    </row>
    <row r="730" spans="1:23" x14ac:dyDescent="0.2">
      <c r="A730" s="959" t="s">
        <v>4623</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4624</v>
      </c>
      <c r="B731" s="928"/>
      <c r="C731" s="928"/>
      <c r="D731" s="928">
        <v>-10</v>
      </c>
      <c r="E731" s="928"/>
      <c r="F731" s="928"/>
      <c r="G731" s="928"/>
      <c r="H731" s="928">
        <v>1</v>
      </c>
      <c r="I731" s="928"/>
      <c r="J731" s="929" t="s">
        <v>4568</v>
      </c>
      <c r="K731" s="928"/>
      <c r="L731" s="937"/>
      <c r="M731" s="928"/>
      <c r="N731" s="928"/>
      <c r="O731" s="928"/>
      <c r="P731" s="928"/>
      <c r="Q731" s="928"/>
      <c r="R731" s="928"/>
      <c r="S731" s="928"/>
      <c r="T731" s="928"/>
      <c r="U731" s="928"/>
      <c r="V731" s="928"/>
      <c r="W731" s="928"/>
    </row>
    <row r="732" spans="1:23" x14ac:dyDescent="0.2">
      <c r="A732" s="927" t="s">
        <v>4625</v>
      </c>
      <c r="B732" s="928"/>
      <c r="C732" s="928"/>
      <c r="D732" s="928">
        <v>-15</v>
      </c>
      <c r="E732" s="928"/>
      <c r="F732" s="928"/>
      <c r="G732" s="928"/>
      <c r="H732" s="928">
        <v>1</v>
      </c>
      <c r="I732" s="928"/>
      <c r="J732" s="929" t="s">
        <v>4568</v>
      </c>
      <c r="K732" s="928"/>
      <c r="L732" s="937"/>
      <c r="M732" s="928"/>
      <c r="N732" s="928"/>
      <c r="O732" s="928"/>
      <c r="P732" s="928"/>
      <c r="Q732" s="928"/>
      <c r="R732" s="928"/>
      <c r="S732" s="928"/>
      <c r="T732" s="928"/>
      <c r="U732" s="928"/>
      <c r="V732" s="928"/>
      <c r="W732" s="928"/>
    </row>
    <row r="733" spans="1:23" x14ac:dyDescent="0.2">
      <c r="A733" s="927" t="s">
        <v>4626</v>
      </c>
      <c r="B733" s="928"/>
      <c r="C733" s="928"/>
      <c r="D733" s="928">
        <v>-25</v>
      </c>
      <c r="E733" s="928"/>
      <c r="F733" s="928"/>
      <c r="G733" s="928"/>
      <c r="H733" s="928">
        <v>2</v>
      </c>
      <c r="I733" s="928"/>
      <c r="J733" s="929" t="s">
        <v>4568</v>
      </c>
      <c r="K733" s="928"/>
      <c r="L733" s="937"/>
      <c r="M733" s="928"/>
      <c r="N733" s="928"/>
      <c r="O733" s="928"/>
      <c r="P733" s="928"/>
      <c r="Q733" s="928"/>
      <c r="R733" s="928"/>
      <c r="S733" s="928"/>
      <c r="T733" s="928"/>
      <c r="U733" s="928"/>
      <c r="V733" s="928"/>
      <c r="W733" s="928"/>
    </row>
    <row r="734" spans="1:23" x14ac:dyDescent="0.2">
      <c r="A734" s="959" t="s">
        <v>4627</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4628</v>
      </c>
      <c r="B735" s="928"/>
      <c r="C735" s="928"/>
      <c r="D735" s="928">
        <v>-10</v>
      </c>
      <c r="E735" s="928"/>
      <c r="F735" s="928"/>
      <c r="G735" s="928"/>
      <c r="H735" s="928">
        <v>1</v>
      </c>
      <c r="I735" s="928"/>
      <c r="J735" s="929" t="s">
        <v>4568</v>
      </c>
      <c r="K735" s="928"/>
      <c r="L735" s="937"/>
      <c r="M735" s="928"/>
      <c r="N735" s="928"/>
      <c r="O735" s="928"/>
      <c r="P735" s="928"/>
      <c r="Q735" s="928"/>
      <c r="R735" s="928"/>
      <c r="S735" s="928"/>
      <c r="T735" s="928"/>
      <c r="U735" s="928"/>
      <c r="V735" s="928"/>
      <c r="W735" s="928"/>
    </row>
    <row r="736" spans="1:23" x14ac:dyDescent="0.2">
      <c r="A736" s="927" t="s">
        <v>4629</v>
      </c>
      <c r="B736" s="928"/>
      <c r="C736" s="928"/>
      <c r="D736" s="928">
        <v>-5</v>
      </c>
      <c r="E736" s="928"/>
      <c r="F736" s="928"/>
      <c r="G736" s="928"/>
      <c r="H736" s="928">
        <v>1</v>
      </c>
      <c r="I736" s="928"/>
      <c r="J736" s="929" t="s">
        <v>4568</v>
      </c>
      <c r="K736" s="928"/>
      <c r="L736" s="937"/>
      <c r="M736" s="928"/>
      <c r="N736" s="928"/>
      <c r="O736" s="928"/>
      <c r="P736" s="928"/>
      <c r="Q736" s="928"/>
      <c r="R736" s="928"/>
      <c r="S736" s="928"/>
      <c r="T736" s="928"/>
      <c r="U736" s="928"/>
      <c r="V736" s="928"/>
      <c r="W736" s="928"/>
    </row>
    <row r="737" spans="1:23" x14ac:dyDescent="0.2">
      <c r="A737" s="959" t="s">
        <v>4630</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4631</v>
      </c>
      <c r="B738" s="928"/>
      <c r="C738" s="928"/>
      <c r="D738" s="928">
        <v>-5</v>
      </c>
      <c r="E738" s="928"/>
      <c r="F738" s="928"/>
      <c r="G738" s="928"/>
      <c r="H738" s="928">
        <v>1</v>
      </c>
      <c r="I738" s="928"/>
      <c r="J738" s="929" t="s">
        <v>4568</v>
      </c>
      <c r="K738" s="928"/>
      <c r="L738" s="937"/>
      <c r="M738" s="928"/>
      <c r="N738" s="928"/>
      <c r="O738" s="928"/>
      <c r="P738" s="928"/>
      <c r="Q738" s="928"/>
      <c r="R738" s="928"/>
      <c r="S738" s="928"/>
      <c r="T738" s="928"/>
      <c r="U738" s="928"/>
      <c r="V738" s="928"/>
      <c r="W738" s="928"/>
    </row>
    <row r="739" spans="1:23" x14ac:dyDescent="0.2">
      <c r="A739" s="927" t="s">
        <v>4632</v>
      </c>
      <c r="B739" s="928"/>
      <c r="C739" s="928"/>
      <c r="D739" s="928">
        <v>-10</v>
      </c>
      <c r="E739" s="928"/>
      <c r="F739" s="928"/>
      <c r="G739" s="928"/>
      <c r="H739" s="928">
        <v>1</v>
      </c>
      <c r="I739" s="928"/>
      <c r="J739" s="929" t="s">
        <v>4568</v>
      </c>
      <c r="K739" s="928"/>
      <c r="L739" s="937"/>
      <c r="M739" s="928"/>
      <c r="N739" s="928"/>
      <c r="O739" s="928"/>
      <c r="P739" s="928"/>
      <c r="Q739" s="928"/>
      <c r="R739" s="928"/>
      <c r="S739" s="928"/>
      <c r="T739" s="928"/>
      <c r="U739" s="928"/>
      <c r="V739" s="928"/>
      <c r="W739" s="928"/>
    </row>
    <row r="740" spans="1:23" x14ac:dyDescent="0.2">
      <c r="A740" s="927" t="s">
        <v>4633</v>
      </c>
      <c r="B740" s="928"/>
      <c r="C740" s="928"/>
      <c r="D740" s="928">
        <v>-15</v>
      </c>
      <c r="E740" s="928"/>
      <c r="F740" s="928"/>
      <c r="G740" s="928"/>
      <c r="H740" s="928">
        <v>2</v>
      </c>
      <c r="I740" s="928"/>
      <c r="J740" s="929" t="s">
        <v>4568</v>
      </c>
      <c r="K740" s="928"/>
      <c r="L740" s="937"/>
      <c r="M740" s="928"/>
      <c r="N740" s="928"/>
      <c r="O740" s="928"/>
      <c r="P740" s="928"/>
      <c r="Q740" s="928"/>
      <c r="R740" s="928"/>
      <c r="S740" s="928"/>
      <c r="T740" s="928"/>
      <c r="U740" s="928"/>
      <c r="V740" s="928"/>
      <c r="W740" s="928"/>
    </row>
    <row r="741" spans="1:23" x14ac:dyDescent="0.2">
      <c r="A741" s="927" t="s">
        <v>4634</v>
      </c>
      <c r="B741" s="928"/>
      <c r="C741" s="928"/>
      <c r="D741" s="928">
        <v>-20</v>
      </c>
      <c r="E741" s="928"/>
      <c r="F741" s="928"/>
      <c r="G741" s="928"/>
      <c r="H741" s="928">
        <v>2</v>
      </c>
      <c r="I741" s="928"/>
      <c r="J741" s="929" t="s">
        <v>4568</v>
      </c>
      <c r="K741" s="928"/>
      <c r="L741" s="937"/>
      <c r="M741" s="928"/>
      <c r="N741" s="928"/>
      <c r="O741" s="928"/>
      <c r="P741" s="928"/>
      <c r="Q741" s="928"/>
      <c r="R741" s="928"/>
      <c r="S741" s="928"/>
      <c r="T741" s="928"/>
      <c r="U741" s="928"/>
      <c r="V741" s="928"/>
      <c r="W741" s="928"/>
    </row>
    <row r="742" spans="1:23" x14ac:dyDescent="0.2">
      <c r="A742" s="927" t="s">
        <v>4635</v>
      </c>
      <c r="B742" s="928"/>
      <c r="C742" s="928"/>
      <c r="D742" s="928">
        <v>-25</v>
      </c>
      <c r="E742" s="928"/>
      <c r="F742" s="928"/>
      <c r="G742" s="928"/>
      <c r="H742" s="928">
        <v>3</v>
      </c>
      <c r="I742" s="928"/>
      <c r="J742" s="929" t="s">
        <v>4568</v>
      </c>
      <c r="K742" s="928"/>
      <c r="L742" s="937"/>
      <c r="M742" s="928"/>
      <c r="N742" s="928"/>
      <c r="O742" s="928"/>
      <c r="P742" s="928"/>
      <c r="Q742" s="928"/>
      <c r="R742" s="928"/>
      <c r="S742" s="928"/>
      <c r="T742" s="928"/>
      <c r="U742" s="928"/>
      <c r="V742" s="928"/>
      <c r="W742" s="928"/>
    </row>
    <row r="743" spans="1:23" x14ac:dyDescent="0.2">
      <c r="A743" s="959" t="s">
        <v>4636</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4637</v>
      </c>
      <c r="B744" s="928"/>
      <c r="C744" s="928"/>
      <c r="D744" s="928">
        <v>-30</v>
      </c>
      <c r="E744" s="928"/>
      <c r="F744" s="928"/>
      <c r="G744" s="928"/>
      <c r="H744" s="928">
        <v>1</v>
      </c>
      <c r="I744" s="928"/>
      <c r="J744" s="929" t="s">
        <v>4568</v>
      </c>
      <c r="K744" s="928"/>
      <c r="L744" s="937"/>
      <c r="M744" s="928"/>
      <c r="N744" s="928"/>
      <c r="O744" s="928"/>
      <c r="P744" s="928"/>
      <c r="Q744" s="928"/>
      <c r="R744" s="928"/>
      <c r="S744" s="928"/>
      <c r="T744" s="928"/>
      <c r="U744" s="928"/>
      <c r="V744" s="928"/>
      <c r="W744" s="928"/>
    </row>
    <row r="745" spans="1:23" x14ac:dyDescent="0.2">
      <c r="A745" s="959" t="s">
        <v>4638</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4639</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4640</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4641</v>
      </c>
      <c r="B748" s="928"/>
      <c r="C748" s="928"/>
      <c r="D748" s="928">
        <v>-5</v>
      </c>
      <c r="E748" s="928"/>
      <c r="F748" s="928"/>
      <c r="G748" s="928"/>
      <c r="H748" s="928">
        <v>1</v>
      </c>
      <c r="I748" s="928"/>
      <c r="J748" s="929" t="s">
        <v>4568</v>
      </c>
      <c r="K748" s="928"/>
      <c r="L748" s="937"/>
      <c r="M748" s="928"/>
      <c r="N748" s="928"/>
      <c r="O748" s="928"/>
      <c r="P748" s="928"/>
      <c r="Q748" s="928"/>
      <c r="R748" s="928"/>
      <c r="S748" s="928"/>
      <c r="T748" s="928"/>
      <c r="U748" s="928"/>
      <c r="V748" s="928"/>
      <c r="W748" s="928"/>
    </row>
    <row r="749" spans="1:23" x14ac:dyDescent="0.2">
      <c r="A749" s="927" t="s">
        <v>4642</v>
      </c>
      <c r="B749" s="928"/>
      <c r="C749" s="928"/>
      <c r="D749" s="928">
        <v>-10</v>
      </c>
      <c r="E749" s="928"/>
      <c r="F749" s="928"/>
      <c r="G749" s="928"/>
      <c r="H749" s="928">
        <v>1</v>
      </c>
      <c r="I749" s="928"/>
      <c r="J749" s="929" t="s">
        <v>4568</v>
      </c>
      <c r="K749" s="928"/>
      <c r="L749" s="937"/>
      <c r="M749" s="928"/>
      <c r="N749" s="928"/>
      <c r="O749" s="928"/>
      <c r="P749" s="928"/>
      <c r="Q749" s="928"/>
      <c r="R749" s="928"/>
      <c r="S749" s="928"/>
      <c r="T749" s="928"/>
      <c r="U749" s="928"/>
      <c r="V749" s="928"/>
      <c r="W749" s="928"/>
    </row>
    <row r="750" spans="1:23" x14ac:dyDescent="0.2">
      <c r="A750" s="959" t="s">
        <v>4643</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4644</v>
      </c>
      <c r="B751" s="928"/>
      <c r="C751" s="928"/>
      <c r="D751" s="928">
        <v>-5</v>
      </c>
      <c r="E751" s="928"/>
      <c r="F751" s="928"/>
      <c r="G751" s="928"/>
      <c r="H751" s="928">
        <v>1</v>
      </c>
      <c r="I751" s="928"/>
      <c r="J751" s="929" t="s">
        <v>4568</v>
      </c>
      <c r="K751" s="928"/>
      <c r="L751" s="937"/>
      <c r="M751" s="928"/>
      <c r="N751" s="928"/>
      <c r="O751" s="928"/>
      <c r="P751" s="928"/>
      <c r="Q751" s="928"/>
      <c r="R751" s="928"/>
      <c r="S751" s="928"/>
      <c r="T751" s="928"/>
      <c r="U751" s="928"/>
      <c r="V751" s="928"/>
      <c r="W751" s="928"/>
    </row>
    <row r="752" spans="1:23" x14ac:dyDescent="0.2">
      <c r="A752" s="927" t="s">
        <v>4645</v>
      </c>
      <c r="B752" s="928"/>
      <c r="C752" s="928"/>
      <c r="D752" s="928">
        <v>-10</v>
      </c>
      <c r="E752" s="928"/>
      <c r="F752" s="928"/>
      <c r="G752" s="928"/>
      <c r="H752" s="928">
        <v>2</v>
      </c>
      <c r="I752" s="928"/>
      <c r="J752" s="929" t="s">
        <v>4568</v>
      </c>
      <c r="K752" s="928"/>
      <c r="L752" s="937"/>
      <c r="M752" s="928"/>
      <c r="N752" s="928"/>
      <c r="O752" s="928"/>
      <c r="P752" s="928"/>
      <c r="Q752" s="928"/>
      <c r="R752" s="928"/>
      <c r="S752" s="928"/>
      <c r="T752" s="928"/>
      <c r="U752" s="928"/>
      <c r="V752" s="928"/>
      <c r="W752" s="928"/>
    </row>
    <row r="753" spans="1:23" x14ac:dyDescent="0.2">
      <c r="A753" s="927" t="s">
        <v>4646</v>
      </c>
      <c r="B753" s="928"/>
      <c r="C753" s="928"/>
      <c r="D753" s="928">
        <v>-15</v>
      </c>
      <c r="E753" s="928"/>
      <c r="F753" s="928"/>
      <c r="G753" s="928"/>
      <c r="H753" s="928">
        <v>3</v>
      </c>
      <c r="I753" s="928"/>
      <c r="J753" s="929" t="s">
        <v>4568</v>
      </c>
      <c r="K753" s="928"/>
      <c r="L753" s="937"/>
      <c r="M753" s="928"/>
      <c r="N753" s="928"/>
      <c r="O753" s="928"/>
      <c r="P753" s="928"/>
      <c r="Q753" s="928"/>
      <c r="R753" s="928"/>
      <c r="S753" s="928"/>
      <c r="T753" s="928"/>
      <c r="U753" s="928"/>
      <c r="V753" s="928"/>
      <c r="W753" s="928"/>
    </row>
    <row r="754" spans="1:23" x14ac:dyDescent="0.2">
      <c r="A754" s="959" t="s">
        <v>4647</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4648</v>
      </c>
      <c r="B755" s="928"/>
      <c r="C755" s="928"/>
      <c r="D755" s="928">
        <v>-10</v>
      </c>
      <c r="E755" s="928"/>
      <c r="F755" s="928"/>
      <c r="G755" s="928"/>
      <c r="H755" s="928">
        <v>1</v>
      </c>
      <c r="I755" s="928"/>
      <c r="J755" s="929" t="s">
        <v>4568</v>
      </c>
      <c r="K755" s="928"/>
      <c r="L755" s="937"/>
      <c r="M755" s="928"/>
      <c r="N755" s="928"/>
      <c r="O755" s="928"/>
      <c r="P755" s="928"/>
      <c r="Q755" s="928"/>
      <c r="R755" s="928"/>
      <c r="S755" s="928"/>
      <c r="T755" s="928"/>
      <c r="U755" s="928"/>
      <c r="V755" s="928"/>
      <c r="W755" s="928"/>
    </row>
    <row r="756" spans="1:23" x14ac:dyDescent="0.2">
      <c r="A756" s="927" t="s">
        <v>4649</v>
      </c>
      <c r="B756" s="928"/>
      <c r="C756" s="928"/>
      <c r="D756" s="928">
        <v>-20</v>
      </c>
      <c r="E756" s="928"/>
      <c r="F756" s="928"/>
      <c r="G756" s="928"/>
      <c r="H756" s="928">
        <v>1</v>
      </c>
      <c r="I756" s="928"/>
      <c r="J756" s="929" t="s">
        <v>4568</v>
      </c>
      <c r="K756" s="928"/>
      <c r="L756" s="937"/>
      <c r="M756" s="928"/>
      <c r="N756" s="928"/>
      <c r="O756" s="928"/>
      <c r="P756" s="928"/>
      <c r="Q756" s="928"/>
      <c r="R756" s="928"/>
      <c r="S756" s="928"/>
      <c r="T756" s="928"/>
      <c r="U756" s="928"/>
      <c r="V756" s="928"/>
      <c r="W756" s="928"/>
    </row>
    <row r="757" spans="1:23" x14ac:dyDescent="0.2">
      <c r="A757" s="927" t="s">
        <v>4650</v>
      </c>
      <c r="B757" s="928"/>
      <c r="C757" s="928"/>
      <c r="D757" s="928">
        <v>-25</v>
      </c>
      <c r="E757" s="928"/>
      <c r="F757" s="928"/>
      <c r="G757" s="928"/>
      <c r="H757" s="928">
        <v>2</v>
      </c>
      <c r="I757" s="928"/>
      <c r="J757" s="929" t="s">
        <v>4568</v>
      </c>
      <c r="K757" s="928"/>
      <c r="L757" s="937"/>
      <c r="M757" s="928"/>
      <c r="N757" s="928"/>
      <c r="O757" s="928"/>
      <c r="P757" s="928"/>
      <c r="Q757" s="928"/>
      <c r="R757" s="928"/>
      <c r="S757" s="928"/>
      <c r="T757" s="928"/>
      <c r="U757" s="928"/>
      <c r="V757" s="928"/>
      <c r="W757" s="928"/>
    </row>
    <row r="758" spans="1:23" x14ac:dyDescent="0.2">
      <c r="A758" s="927" t="s">
        <v>4651</v>
      </c>
      <c r="B758" s="928"/>
      <c r="C758" s="928"/>
      <c r="D758" s="928">
        <v>-30</v>
      </c>
      <c r="E758" s="928"/>
      <c r="F758" s="928"/>
      <c r="G758" s="928"/>
      <c r="H758" s="928">
        <v>2</v>
      </c>
      <c r="I758" s="928"/>
      <c r="J758" s="929" t="s">
        <v>4568</v>
      </c>
      <c r="K758" s="928"/>
      <c r="L758" s="937"/>
      <c r="M758" s="928"/>
      <c r="N758" s="928"/>
      <c r="O758" s="928"/>
      <c r="P758" s="928"/>
      <c r="Q758" s="928"/>
      <c r="R758" s="928"/>
      <c r="S758" s="928"/>
      <c r="T758" s="928"/>
      <c r="U758" s="928"/>
      <c r="V758" s="928"/>
      <c r="W758" s="928"/>
    </row>
    <row r="759" spans="1:23" x14ac:dyDescent="0.2">
      <c r="A759" s="927" t="s">
        <v>4652</v>
      </c>
      <c r="B759" s="928"/>
      <c r="C759" s="928"/>
      <c r="D759" s="928">
        <v>-40</v>
      </c>
      <c r="E759" s="928"/>
      <c r="F759" s="928"/>
      <c r="G759" s="928"/>
      <c r="H759" s="928">
        <v>3</v>
      </c>
      <c r="I759" s="928"/>
      <c r="J759" s="929" t="s">
        <v>4568</v>
      </c>
      <c r="K759" s="928"/>
      <c r="L759" s="937"/>
      <c r="M759" s="928"/>
      <c r="N759" s="928"/>
      <c r="O759" s="928"/>
      <c r="P759" s="928"/>
      <c r="Q759" s="928"/>
      <c r="R759" s="928"/>
      <c r="S759" s="928"/>
      <c r="T759" s="928"/>
      <c r="U759" s="928"/>
      <c r="V759" s="928"/>
      <c r="W759" s="928"/>
    </row>
    <row r="760" spans="1:23" x14ac:dyDescent="0.2">
      <c r="A760" s="956" t="s">
        <v>4653</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4654</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4655</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4656</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4657</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4658</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4659</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4660</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4661</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4662</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4663</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4664</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633"/>
      <c r="D3" s="4634"/>
      <c r="E3" s="4634"/>
      <c r="F3" s="4634"/>
      <c r="G3" s="4634"/>
      <c r="H3" s="4634"/>
      <c r="I3" s="1214"/>
      <c r="J3" s="1214"/>
      <c r="K3" s="1214"/>
      <c r="L3" s="1214"/>
      <c r="M3" s="1214"/>
      <c r="N3" s="1214"/>
      <c r="O3" s="1214"/>
      <c r="P3" s="1214"/>
      <c r="Q3" s="1215"/>
      <c r="R3" s="1216"/>
      <c r="S3" s="1210"/>
      <c r="T3" s="1210"/>
      <c r="U3" s="615"/>
      <c r="V3" s="4633"/>
      <c r="W3" s="4634"/>
      <c r="X3" s="4634"/>
      <c r="Y3" s="4634"/>
      <c r="Z3" s="4634"/>
      <c r="AA3" s="4634"/>
      <c r="AB3" s="2248"/>
      <c r="AC3" s="2248"/>
      <c r="AD3" s="2248"/>
      <c r="AE3" s="2248"/>
      <c r="AF3" s="2248"/>
      <c r="AG3" s="2248"/>
      <c r="AH3" s="2248"/>
      <c r="AI3" s="2248"/>
      <c r="AJ3" s="1215"/>
      <c r="AK3" s="1216"/>
      <c r="AL3" s="1210"/>
      <c r="AM3" s="1210"/>
      <c r="AN3" s="615"/>
      <c r="AO3" s="4633"/>
      <c r="AP3" s="4634"/>
      <c r="AQ3" s="4634"/>
      <c r="AR3" s="4634"/>
      <c r="AS3" s="4634"/>
      <c r="AT3" s="4634"/>
      <c r="AU3" s="1214"/>
      <c r="AV3" s="1214"/>
      <c r="AW3" s="1214"/>
      <c r="AX3" s="1214"/>
      <c r="AY3" s="1214"/>
      <c r="AZ3" s="1214"/>
      <c r="BA3" s="1214"/>
      <c r="BB3" s="1214"/>
      <c r="BC3" s="1215"/>
      <c r="BD3" s="1216"/>
      <c r="BE3" s="1210"/>
    </row>
    <row r="4" spans="1:57" ht="12" customHeight="1" x14ac:dyDescent="0.2">
      <c r="A4" s="1210"/>
      <c r="B4" s="615"/>
      <c r="C4" s="4635"/>
      <c r="D4" s="4636"/>
      <c r="E4" s="4636"/>
      <c r="F4" s="4636"/>
      <c r="G4" s="4636"/>
      <c r="H4" s="4636"/>
      <c r="I4" s="1219"/>
      <c r="J4" s="4639" t="s">
        <v>1628</v>
      </c>
      <c r="K4" s="4640"/>
      <c r="L4" s="3163" t="str">
        <f>IF(OR(General!$G$22="",General!$G$22=0),"",General!$G$22)</f>
        <v/>
      </c>
      <c r="M4" s="3163"/>
      <c r="N4" s="3163"/>
      <c r="O4" s="3163"/>
      <c r="P4" s="3163"/>
      <c r="Q4" s="813"/>
      <c r="R4" s="1216"/>
      <c r="S4" s="1210"/>
      <c r="T4" s="1210"/>
      <c r="U4" s="615"/>
      <c r="V4" s="4635"/>
      <c r="W4" s="4636"/>
      <c r="X4" s="4636"/>
      <c r="Y4" s="4636"/>
      <c r="Z4" s="4636"/>
      <c r="AA4" s="4636"/>
      <c r="AB4" s="2249"/>
      <c r="AC4" s="4631" t="s">
        <v>8160</v>
      </c>
      <c r="AD4" s="4632"/>
      <c r="AE4" s="4632"/>
      <c r="AF4" s="4632"/>
      <c r="AG4" s="4632"/>
      <c r="AH4" s="4632"/>
      <c r="AI4" s="4632"/>
      <c r="AJ4" s="813"/>
      <c r="AK4" s="1216"/>
      <c r="AL4" s="1210"/>
      <c r="AM4" s="1210"/>
      <c r="AN4" s="615"/>
      <c r="AO4" s="4635"/>
      <c r="AP4" s="4636"/>
      <c r="AQ4" s="4636"/>
      <c r="AR4" s="4636"/>
      <c r="AS4" s="4636"/>
      <c r="AT4" s="4636"/>
      <c r="AU4" s="1219"/>
      <c r="AV4" s="4631" t="s">
        <v>8160</v>
      </c>
      <c r="AW4" s="4632"/>
      <c r="AX4" s="4632"/>
      <c r="AY4" s="4632"/>
      <c r="AZ4" s="4632"/>
      <c r="BA4" s="4632"/>
      <c r="BB4" s="4632"/>
      <c r="BC4" s="813"/>
      <c r="BD4" s="1216"/>
      <c r="BE4" s="1210"/>
    </row>
    <row r="5" spans="1:57" ht="12" customHeight="1" x14ac:dyDescent="0.2">
      <c r="A5" s="1210"/>
      <c r="B5" s="615"/>
      <c r="C5" s="4635"/>
      <c r="D5" s="4636"/>
      <c r="E5" s="4636"/>
      <c r="F5" s="4636"/>
      <c r="G5" s="4636"/>
      <c r="H5" s="4636"/>
      <c r="I5" s="1219"/>
      <c r="J5" s="4627" t="s">
        <v>1629</v>
      </c>
      <c r="K5" s="4628"/>
      <c r="L5" s="4629" t="str">
        <f>Principal!$L$5</f>
        <v>Hechicero</v>
      </c>
      <c r="M5" s="4630"/>
      <c r="N5" s="4630"/>
      <c r="O5" s="1221" t="s">
        <v>1630</v>
      </c>
      <c r="P5" s="1222" t="str">
        <f>Principal!$P$5</f>
        <v>1</v>
      </c>
      <c r="Q5" s="1223"/>
      <c r="R5" s="1216"/>
      <c r="S5" s="1210"/>
      <c r="T5" s="1210"/>
      <c r="U5" s="615"/>
      <c r="V5" s="4635"/>
      <c r="W5" s="4636"/>
      <c r="X5" s="4636"/>
      <c r="Y5" s="4636"/>
      <c r="Z5" s="4636"/>
      <c r="AA5" s="4636"/>
      <c r="AB5" s="2249"/>
      <c r="AC5" s="4632"/>
      <c r="AD5" s="4632"/>
      <c r="AE5" s="4632"/>
      <c r="AF5" s="4632"/>
      <c r="AG5" s="4632"/>
      <c r="AH5" s="4632"/>
      <c r="AI5" s="4632"/>
      <c r="AJ5" s="1223"/>
      <c r="AK5" s="1216"/>
      <c r="AL5" s="1210"/>
      <c r="AM5" s="1210"/>
      <c r="AN5" s="615"/>
      <c r="AO5" s="4635"/>
      <c r="AP5" s="4636"/>
      <c r="AQ5" s="4636"/>
      <c r="AR5" s="4636"/>
      <c r="AS5" s="4636"/>
      <c r="AT5" s="4636"/>
      <c r="AU5" s="1219"/>
      <c r="AV5" s="4632"/>
      <c r="AW5" s="4632"/>
      <c r="AX5" s="4632"/>
      <c r="AY5" s="4632"/>
      <c r="AZ5" s="4632"/>
      <c r="BA5" s="4632"/>
      <c r="BB5" s="4632"/>
      <c r="BC5" s="1223"/>
      <c r="BD5" s="1216"/>
      <c r="BE5" s="1210"/>
    </row>
    <row r="6" spans="1:57" ht="12" customHeight="1" x14ac:dyDescent="0.2">
      <c r="A6" s="1210"/>
      <c r="B6" s="615"/>
      <c r="C6" s="4635"/>
      <c r="D6" s="4636"/>
      <c r="E6" s="4636"/>
      <c r="F6" s="4636"/>
      <c r="G6" s="4636"/>
      <c r="H6" s="4636"/>
      <c r="I6" s="1219"/>
      <c r="J6" s="4631" t="s">
        <v>8161</v>
      </c>
      <c r="K6" s="4632"/>
      <c r="L6" s="4632"/>
      <c r="M6" s="4632"/>
      <c r="N6" s="4632"/>
      <c r="O6" s="4632"/>
      <c r="P6" s="4632"/>
      <c r="Q6" s="1223"/>
      <c r="R6" s="1216"/>
      <c r="S6" s="1210"/>
      <c r="T6" s="1210"/>
      <c r="U6" s="615"/>
      <c r="V6" s="4635"/>
      <c r="W6" s="4636"/>
      <c r="X6" s="4636"/>
      <c r="Y6" s="4636"/>
      <c r="Z6" s="4636"/>
      <c r="AA6" s="4636"/>
      <c r="AB6" s="2249"/>
      <c r="AC6" s="5347"/>
      <c r="AD6" s="5348"/>
      <c r="AE6" s="5348"/>
      <c r="AF6" s="5348"/>
      <c r="AG6" s="5348"/>
      <c r="AH6" s="5348"/>
      <c r="AI6" s="5348"/>
      <c r="AJ6" s="1223"/>
      <c r="AK6" s="1216"/>
      <c r="AL6" s="1210"/>
      <c r="AM6" s="1210"/>
      <c r="AN6" s="615"/>
      <c r="AO6" s="4635"/>
      <c r="AP6" s="4636"/>
      <c r="AQ6" s="4636"/>
      <c r="AR6" s="4636"/>
      <c r="AS6" s="4636"/>
      <c r="AT6" s="4636"/>
      <c r="AU6" s="1219"/>
      <c r="AV6" s="5347"/>
      <c r="AW6" s="5348"/>
      <c r="AX6" s="5348"/>
      <c r="AY6" s="5348"/>
      <c r="AZ6" s="5348"/>
      <c r="BA6" s="5348"/>
      <c r="BB6" s="5348"/>
      <c r="BC6" s="1223"/>
      <c r="BD6" s="1216"/>
      <c r="BE6" s="1210"/>
    </row>
    <row r="7" spans="1:57" ht="12" customHeight="1" x14ac:dyDescent="0.2">
      <c r="A7" s="1210"/>
      <c r="B7" s="615"/>
      <c r="C7" s="4635"/>
      <c r="D7" s="4636"/>
      <c r="E7" s="4636"/>
      <c r="F7" s="4636"/>
      <c r="G7" s="4636"/>
      <c r="H7" s="4636"/>
      <c r="I7" s="1219"/>
      <c r="J7" s="4632"/>
      <c r="K7" s="4632"/>
      <c r="L7" s="4632"/>
      <c r="M7" s="4632"/>
      <c r="N7" s="4632"/>
      <c r="O7" s="4632"/>
      <c r="P7" s="4632"/>
      <c r="Q7" s="1223"/>
      <c r="R7" s="1216"/>
      <c r="S7" s="1210"/>
      <c r="T7" s="1210"/>
      <c r="U7" s="615"/>
      <c r="V7" s="4635"/>
      <c r="W7" s="4636"/>
      <c r="X7" s="4636"/>
      <c r="Y7" s="4636"/>
      <c r="Z7" s="4636"/>
      <c r="AA7" s="4636"/>
      <c r="AB7" s="2249"/>
      <c r="AC7" s="5348"/>
      <c r="AD7" s="5348"/>
      <c r="AE7" s="5348"/>
      <c r="AF7" s="5348"/>
      <c r="AG7" s="5348"/>
      <c r="AH7" s="5348"/>
      <c r="AI7" s="5348"/>
      <c r="AJ7" s="1223"/>
      <c r="AK7" s="1216"/>
      <c r="AL7" s="1210"/>
      <c r="AM7" s="1210"/>
      <c r="AN7" s="615"/>
      <c r="AO7" s="4635"/>
      <c r="AP7" s="4636"/>
      <c r="AQ7" s="4636"/>
      <c r="AR7" s="4636"/>
      <c r="AS7" s="4636"/>
      <c r="AT7" s="4636"/>
      <c r="AU7" s="1219"/>
      <c r="AV7" s="5348"/>
      <c r="AW7" s="5348"/>
      <c r="AX7" s="5348"/>
      <c r="AY7" s="5348"/>
      <c r="AZ7" s="5348"/>
      <c r="BA7" s="5348"/>
      <c r="BB7" s="5348"/>
      <c r="BC7" s="1223"/>
      <c r="BD7" s="1216"/>
      <c r="BE7" s="1210"/>
    </row>
    <row r="8" spans="1:57" ht="12" customHeight="1" thickBot="1" x14ac:dyDescent="0.25">
      <c r="A8" s="1210"/>
      <c r="B8" s="615"/>
      <c r="C8" s="4637"/>
      <c r="D8" s="4638"/>
      <c r="E8" s="4638"/>
      <c r="F8" s="4638"/>
      <c r="G8" s="4638"/>
      <c r="H8" s="4638"/>
      <c r="I8" s="1228"/>
      <c r="J8" s="1228"/>
      <c r="K8" s="1228"/>
      <c r="L8" s="1228"/>
      <c r="M8" s="1228"/>
      <c r="N8" s="1228"/>
      <c r="O8" s="1228"/>
      <c r="P8" s="1228"/>
      <c r="Q8" s="1229"/>
      <c r="R8" s="1216"/>
      <c r="S8" s="1210"/>
      <c r="T8" s="1210"/>
      <c r="U8" s="615"/>
      <c r="V8" s="4637"/>
      <c r="W8" s="4638"/>
      <c r="X8" s="4638"/>
      <c r="Y8" s="4638"/>
      <c r="Z8" s="4638"/>
      <c r="AA8" s="4638"/>
      <c r="AB8" s="2251"/>
      <c r="AC8" s="2251"/>
      <c r="AD8" s="2251"/>
      <c r="AE8" s="2251"/>
      <c r="AF8" s="2251"/>
      <c r="AG8" s="2251"/>
      <c r="AH8" s="2251"/>
      <c r="AI8" s="2251"/>
      <c r="AJ8" s="1229"/>
      <c r="AK8" s="1216"/>
      <c r="AL8" s="1210"/>
      <c r="AM8" s="1210"/>
      <c r="AN8" s="615"/>
      <c r="AO8" s="4637"/>
      <c r="AP8" s="4638"/>
      <c r="AQ8" s="4638"/>
      <c r="AR8" s="4638"/>
      <c r="AS8" s="4638"/>
      <c r="AT8" s="4638"/>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42"/>
      <c r="D10" s="5343"/>
      <c r="E10" s="5343"/>
      <c r="F10" s="5343"/>
      <c r="G10" s="5343"/>
      <c r="H10" s="1230" t="s">
        <v>1630</v>
      </c>
      <c r="I10" s="1231" t="str">
        <f>IF(C10=0,"",VLOOKUP(C10,'Tablas Magia'!$D$6:$Z$680,3,FALSE))</f>
        <v/>
      </c>
      <c r="J10" s="5344" t="s">
        <v>8162</v>
      </c>
      <c r="K10" s="5344"/>
      <c r="L10" s="5344"/>
      <c r="M10" s="5345" t="str">
        <f>IF(C10=0,"",VLOOKUP(C10,'Tablas Magia'!$D$6:$Z$680,2,FALSE))</f>
        <v/>
      </c>
      <c r="N10" s="5345"/>
      <c r="O10" s="5345"/>
      <c r="P10" s="5345"/>
      <c r="Q10" s="5346"/>
      <c r="R10" s="1216"/>
      <c r="S10" s="1210"/>
      <c r="T10" s="1210"/>
      <c r="U10" s="615"/>
      <c r="V10" s="5342"/>
      <c r="W10" s="5343"/>
      <c r="X10" s="5343"/>
      <c r="Y10" s="5343"/>
      <c r="Z10" s="5343"/>
      <c r="AA10" s="1230" t="s">
        <v>1630</v>
      </c>
      <c r="AB10" s="1231" t="str">
        <f>IF(V10=0,"",VLOOKUP(V10,'Tablas Magia'!$D$6:$Z$680,3,FALSE))</f>
        <v/>
      </c>
      <c r="AC10" s="5344" t="s">
        <v>8162</v>
      </c>
      <c r="AD10" s="5344"/>
      <c r="AE10" s="5344"/>
      <c r="AF10" s="5345" t="str">
        <f>IF(V10=0,"",VLOOKUP(V10,'Tablas Magia'!$D$6:$Z$680,2,FALSE))</f>
        <v/>
      </c>
      <c r="AG10" s="5345"/>
      <c r="AH10" s="5345"/>
      <c r="AI10" s="5345"/>
      <c r="AJ10" s="5346"/>
      <c r="AK10" s="1216"/>
      <c r="AL10" s="1210"/>
      <c r="AM10" s="1210"/>
      <c r="AN10" s="615"/>
      <c r="AO10" s="5342"/>
      <c r="AP10" s="5343"/>
      <c r="AQ10" s="5343"/>
      <c r="AR10" s="5343"/>
      <c r="AS10" s="5343"/>
      <c r="AT10" s="1230" t="s">
        <v>1630</v>
      </c>
      <c r="AU10" s="1231" t="str">
        <f>IF(AO10=0,"",VLOOKUP(AO10,'Tablas Magia'!$D$6:$Z$680,3,FALSE))</f>
        <v/>
      </c>
      <c r="AV10" s="5344" t="s">
        <v>8162</v>
      </c>
      <c r="AW10" s="5344"/>
      <c r="AX10" s="5344"/>
      <c r="AY10" s="5345" t="str">
        <f>IF(AO10=0,"",VLOOKUP(AO10,'Tablas Magia'!$D$6:$Z$680,2,FALSE))</f>
        <v/>
      </c>
      <c r="AZ10" s="5345"/>
      <c r="BA10" s="5345"/>
      <c r="BB10" s="5345"/>
      <c r="BC10" s="5346"/>
      <c r="BD10" s="1216"/>
      <c r="BE10" s="1210"/>
    </row>
    <row r="11" spans="1:57" ht="12" customHeight="1" x14ac:dyDescent="0.2">
      <c r="A11" s="1210"/>
      <c r="B11" s="615"/>
      <c r="C11" s="5340" t="s">
        <v>8163</v>
      </c>
      <c r="D11" s="5341"/>
      <c r="E11" s="1232" t="s">
        <v>8164</v>
      </c>
      <c r="F11" s="1232" t="s">
        <v>1824</v>
      </c>
      <c r="G11" s="1232" t="s">
        <v>3467</v>
      </c>
      <c r="H11" s="1233" t="s">
        <v>2175</v>
      </c>
      <c r="I11" s="5314" t="str">
        <f>IF(C10=0,"",VLOOKUP(C10,'Tablas Magia'!$D$6:$Z$680,5,FALSE))</f>
        <v/>
      </c>
      <c r="J11" s="5314"/>
      <c r="K11" s="5313" t="s">
        <v>8165</v>
      </c>
      <c r="L11" s="5313"/>
      <c r="M11" s="5314" t="str">
        <f>IF(C10=0,"",VLOOKUP(C10,'Tablas Magia'!$D$6:$Z$680,6,FALSE))</f>
        <v/>
      </c>
      <c r="N11" s="5314"/>
      <c r="O11" s="5315" t="s">
        <v>8166</v>
      </c>
      <c r="P11" s="5315"/>
      <c r="Q11" s="1234" t="str">
        <f>IF(C10=0,"",VLOOKUP(C10,'Tablas Magia'!$D$6:$Z$680,4,FALSE))</f>
        <v/>
      </c>
      <c r="R11" s="1216"/>
      <c r="S11" s="1210"/>
      <c r="T11" s="1210"/>
      <c r="U11" s="615"/>
      <c r="V11" s="5340" t="s">
        <v>8163</v>
      </c>
      <c r="W11" s="5341"/>
      <c r="X11" s="1232" t="s">
        <v>8164</v>
      </c>
      <c r="Y11" s="1232" t="s">
        <v>1824</v>
      </c>
      <c r="Z11" s="1232" t="s">
        <v>3467</v>
      </c>
      <c r="AA11" s="1233" t="s">
        <v>2175</v>
      </c>
      <c r="AB11" s="5314" t="str">
        <f>IF(V10=0,"",VLOOKUP(V10,'Tablas Magia'!$D$6:$Z$680,5,FALSE))</f>
        <v/>
      </c>
      <c r="AC11" s="5314"/>
      <c r="AD11" s="5313" t="s">
        <v>8165</v>
      </c>
      <c r="AE11" s="5313"/>
      <c r="AF11" s="5314" t="str">
        <f>IF(V10=0,"",VLOOKUP(V10,'Tablas Magia'!$D$6:$Z$680,6,FALSE))</f>
        <v/>
      </c>
      <c r="AG11" s="5314"/>
      <c r="AH11" s="5315" t="s">
        <v>8166</v>
      </c>
      <c r="AI11" s="5315"/>
      <c r="AJ11" s="1234" t="str">
        <f>IF(V10=0,"",VLOOKUP(V10,'Tablas Magia'!$D$6:$Z$680,4,FALSE))</f>
        <v/>
      </c>
      <c r="AK11" s="1216"/>
      <c r="AL11" s="1210"/>
      <c r="AM11" s="1210"/>
      <c r="AN11" s="615"/>
      <c r="AO11" s="5340" t="s">
        <v>8163</v>
      </c>
      <c r="AP11" s="5341"/>
      <c r="AQ11" s="1232" t="s">
        <v>8164</v>
      </c>
      <c r="AR11" s="1232" t="s">
        <v>1824</v>
      </c>
      <c r="AS11" s="1232" t="s">
        <v>3467</v>
      </c>
      <c r="AT11" s="1233" t="s">
        <v>2175</v>
      </c>
      <c r="AU11" s="5314" t="str">
        <f>IF(AO10=0,"",VLOOKUP(AO10,'Tablas Magia'!$D$6:$Z$680,5,FALSE))</f>
        <v/>
      </c>
      <c r="AV11" s="5314"/>
      <c r="AW11" s="5313" t="s">
        <v>8165</v>
      </c>
      <c r="AX11" s="5313"/>
      <c r="AY11" s="5314" t="str">
        <f>IF(AO10=0,"",VLOOKUP(AO10,'Tablas Magia'!$D$6:$Z$680,6,FALSE))</f>
        <v/>
      </c>
      <c r="AZ11" s="5314"/>
      <c r="BA11" s="5315" t="s">
        <v>8166</v>
      </c>
      <c r="BB11" s="5315"/>
      <c r="BC11" s="1234" t="str">
        <f>IF(AO10=0,"",VLOOKUP(AO10,'Tablas Magia'!$D$6:$Z$680,4,FALSE))</f>
        <v/>
      </c>
      <c r="BD11" s="1216"/>
      <c r="BE11" s="1210"/>
    </row>
    <row r="12" spans="1:57" ht="12" customHeight="1" x14ac:dyDescent="0.2">
      <c r="A12" s="1210"/>
      <c r="B12" s="615"/>
      <c r="C12" s="5316" t="s">
        <v>1677</v>
      </c>
      <c r="D12" s="5317"/>
      <c r="E12" s="1235" t="str">
        <f>IF(C10=0,"",VLOOKUP(C10,'Tablas Magia'!$D$6:$Z$680,7,FALSE))</f>
        <v/>
      </c>
      <c r="F12" s="1235" t="str">
        <f>IF(C10=0,"",VLOOKUP(C10,'Tablas Magia'!$D$6:$Z$680,11,FALSE))</f>
        <v/>
      </c>
      <c r="G12" s="1236" t="str">
        <f>IF(C10=0,"",VLOOKUP(C10,'Tablas Magia'!$D$6:$Z$680,15,FALSE))</f>
        <v/>
      </c>
      <c r="H12" s="5318" t="str">
        <f>IF(C10=0,"",VLOOKUP(C10,'Tablas Magia'!$D$6:$Z$680,19,FALSE))</f>
        <v/>
      </c>
      <c r="I12" s="5319"/>
      <c r="J12" s="5319"/>
      <c r="K12" s="5319"/>
      <c r="L12" s="5319"/>
      <c r="M12" s="5319"/>
      <c r="N12" s="5319"/>
      <c r="O12" s="5319"/>
      <c r="P12" s="5319"/>
      <c r="Q12" s="5320"/>
      <c r="R12" s="1216"/>
      <c r="S12" s="1210"/>
      <c r="T12" s="1210"/>
      <c r="U12" s="615"/>
      <c r="V12" s="5316" t="s">
        <v>1677</v>
      </c>
      <c r="W12" s="5317"/>
      <c r="X12" s="1235" t="str">
        <f>IF(V10=0,"",VLOOKUP(V10,'Tablas Magia'!$D$6:$Z$680,7,FALSE))</f>
        <v/>
      </c>
      <c r="Y12" s="1235" t="str">
        <f>IF(V10=0,"",VLOOKUP(V10,'Tablas Magia'!$D$6:$Z$680,11,FALSE))</f>
        <v/>
      </c>
      <c r="Z12" s="1236" t="str">
        <f>IF(V10=0,"",VLOOKUP(V10,'Tablas Magia'!$D$6:$Z$680,15,FALSE))</f>
        <v/>
      </c>
      <c r="AA12" s="5318" t="str">
        <f>IF(V10=0,"",VLOOKUP(V10,'Tablas Magia'!$D$6:$Z$680,19,FALSE))</f>
        <v/>
      </c>
      <c r="AB12" s="5319"/>
      <c r="AC12" s="5319"/>
      <c r="AD12" s="5319"/>
      <c r="AE12" s="5319"/>
      <c r="AF12" s="5319"/>
      <c r="AG12" s="5319"/>
      <c r="AH12" s="5319"/>
      <c r="AI12" s="5319"/>
      <c r="AJ12" s="5320"/>
      <c r="AK12" s="1216"/>
      <c r="AL12" s="1210"/>
      <c r="AM12" s="1210"/>
      <c r="AN12" s="615"/>
      <c r="AO12" s="5316" t="s">
        <v>1677</v>
      </c>
      <c r="AP12" s="5317"/>
      <c r="AQ12" s="1235" t="str">
        <f>IF(AO10=0,"",VLOOKUP(AO10,'Tablas Magia'!$D$6:$Z$680,7,FALSE))</f>
        <v/>
      </c>
      <c r="AR12" s="1235" t="str">
        <f>IF(AO10=0,"",VLOOKUP(AO10,'Tablas Magia'!$D$6:$Z$680,11,FALSE))</f>
        <v/>
      </c>
      <c r="AS12" s="1236" t="str">
        <f>IF(AO10=0,"",VLOOKUP(AO10,'Tablas Magia'!$D$6:$Z$680,15,FALSE))</f>
        <v/>
      </c>
      <c r="AT12" s="5318" t="str">
        <f>IF(AO10=0,"",VLOOKUP(AO10,'Tablas Magia'!$D$6:$Z$680,19,FALSE))</f>
        <v/>
      </c>
      <c r="AU12" s="5319"/>
      <c r="AV12" s="5319"/>
      <c r="AW12" s="5319"/>
      <c r="AX12" s="5319"/>
      <c r="AY12" s="5319"/>
      <c r="AZ12" s="5319"/>
      <c r="BA12" s="5319"/>
      <c r="BB12" s="5319"/>
      <c r="BC12" s="5320"/>
      <c r="BD12" s="1216"/>
      <c r="BE12" s="1210"/>
    </row>
    <row r="13" spans="1:57" ht="12" customHeight="1" x14ac:dyDescent="0.2">
      <c r="A13" s="1210"/>
      <c r="B13" s="615"/>
      <c r="C13" s="5321" t="s">
        <v>4705</v>
      </c>
      <c r="D13" s="5322"/>
      <c r="E13" s="1237" t="str">
        <f>IF(C10=0,"",VLOOKUP(C10,'Tablas Magia'!$D$6:$Z$680,8,FALSE))</f>
        <v/>
      </c>
      <c r="F13" s="1237" t="str">
        <f>IF(C10=0,"",VLOOKUP(C10,'Tablas Magia'!$D$6:$Z$680,12,FALSE))</f>
        <v/>
      </c>
      <c r="G13" s="1238" t="str">
        <f>IF(C10=0,"",VLOOKUP(C10,'Tablas Magia'!$D$6:$Z$680,16,FALSE))</f>
        <v/>
      </c>
      <c r="H13" s="5323" t="str">
        <f>IF(C10=0,"",VLOOKUP(C10,'Tablas Magia'!$D$6:$Z$680,20,FALSE))</f>
        <v/>
      </c>
      <c r="I13" s="5324"/>
      <c r="J13" s="5324"/>
      <c r="K13" s="5324"/>
      <c r="L13" s="5324"/>
      <c r="M13" s="5324"/>
      <c r="N13" s="5324"/>
      <c r="O13" s="5324"/>
      <c r="P13" s="5324"/>
      <c r="Q13" s="5325"/>
      <c r="R13" s="1216"/>
      <c r="S13" s="1210"/>
      <c r="T13" s="1210"/>
      <c r="U13" s="615"/>
      <c r="V13" s="5321" t="s">
        <v>4705</v>
      </c>
      <c r="W13" s="5322"/>
      <c r="X13" s="1237" t="str">
        <f>IF(V10=0,"",VLOOKUP(V10,'Tablas Magia'!$D$6:$Z$680,8,FALSE))</f>
        <v/>
      </c>
      <c r="Y13" s="1237" t="str">
        <f>IF(V10=0,"",VLOOKUP(V10,'Tablas Magia'!$D$6:$Z$680,12,FALSE))</f>
        <v/>
      </c>
      <c r="Z13" s="1238" t="str">
        <f>IF(V10=0,"",VLOOKUP(V10,'Tablas Magia'!$D$6:$Z$680,16,FALSE))</f>
        <v/>
      </c>
      <c r="AA13" s="5323" t="str">
        <f>IF(V10=0,"",VLOOKUP(V10,'Tablas Magia'!$D$6:$Z$680,20,FALSE))</f>
        <v/>
      </c>
      <c r="AB13" s="5324"/>
      <c r="AC13" s="5324"/>
      <c r="AD13" s="5324"/>
      <c r="AE13" s="5324"/>
      <c r="AF13" s="5324"/>
      <c r="AG13" s="5324"/>
      <c r="AH13" s="5324"/>
      <c r="AI13" s="5324"/>
      <c r="AJ13" s="5325"/>
      <c r="AK13" s="1216"/>
      <c r="AL13" s="1210"/>
      <c r="AM13" s="1210"/>
      <c r="AN13" s="615"/>
      <c r="AO13" s="5321" t="s">
        <v>4705</v>
      </c>
      <c r="AP13" s="5322"/>
      <c r="AQ13" s="1237" t="str">
        <f>IF(AO10=0,"",VLOOKUP(AO10,'Tablas Magia'!$D$6:$Z$680,8,FALSE))</f>
        <v/>
      </c>
      <c r="AR13" s="1237" t="str">
        <f>IF(AO10=0,"",VLOOKUP(AO10,'Tablas Magia'!$D$6:$Z$680,12,FALSE))</f>
        <v/>
      </c>
      <c r="AS13" s="1238" t="str">
        <f>IF(AO10=0,"",VLOOKUP(AO10,'Tablas Magia'!$D$6:$Z$680,16,FALSE))</f>
        <v/>
      </c>
      <c r="AT13" s="5323" t="str">
        <f>IF(AO10=0,"",VLOOKUP(AO10,'Tablas Magia'!$D$6:$Z$680,20,FALSE))</f>
        <v/>
      </c>
      <c r="AU13" s="5324"/>
      <c r="AV13" s="5324"/>
      <c r="AW13" s="5324"/>
      <c r="AX13" s="5324"/>
      <c r="AY13" s="5324"/>
      <c r="AZ13" s="5324"/>
      <c r="BA13" s="5324"/>
      <c r="BB13" s="5324"/>
      <c r="BC13" s="5325"/>
      <c r="BD13" s="1216"/>
      <c r="BE13" s="1210"/>
    </row>
    <row r="14" spans="1:57" ht="12" customHeight="1" x14ac:dyDescent="0.2">
      <c r="A14" s="1210"/>
      <c r="B14" s="615"/>
      <c r="C14" s="5316" t="s">
        <v>4706</v>
      </c>
      <c r="D14" s="5317"/>
      <c r="E14" s="1235" t="str">
        <f>IF(C10=0,"",VLOOKUP(C10,'Tablas Magia'!$D$6:$Z$680,9,FALSE))</f>
        <v/>
      </c>
      <c r="F14" s="1235" t="str">
        <f>IF(C10=0,"",VLOOKUP(C10,'Tablas Magia'!$D$6:$Z$680,13,FALSE))</f>
        <v/>
      </c>
      <c r="G14" s="1236" t="str">
        <f>IF(C10=0,"",VLOOKUP(C10,'Tablas Magia'!$D$6:$Z$680,17,FALSE))</f>
        <v/>
      </c>
      <c r="H14" s="5318" t="str">
        <f>IF(C10=0,"",VLOOKUP(C10,'Tablas Magia'!$D$6:$Z$680,21,FALSE))</f>
        <v/>
      </c>
      <c r="I14" s="5319"/>
      <c r="J14" s="5319"/>
      <c r="K14" s="5319"/>
      <c r="L14" s="5319"/>
      <c r="M14" s="5319"/>
      <c r="N14" s="5319"/>
      <c r="O14" s="5319"/>
      <c r="P14" s="5319"/>
      <c r="Q14" s="5320"/>
      <c r="R14" s="1216"/>
      <c r="S14" s="1210"/>
      <c r="T14" s="1210"/>
      <c r="U14" s="615"/>
      <c r="V14" s="5316" t="s">
        <v>4706</v>
      </c>
      <c r="W14" s="5317"/>
      <c r="X14" s="1235" t="str">
        <f>IF(V10=0,"",VLOOKUP(V10,'Tablas Magia'!$D$6:$Z$680,9,FALSE))</f>
        <v/>
      </c>
      <c r="Y14" s="1235" t="str">
        <f>IF(V10=0,"",VLOOKUP(V10,'Tablas Magia'!$D$6:$Z$680,13,FALSE))</f>
        <v/>
      </c>
      <c r="Z14" s="1236" t="str">
        <f>IF(V10=0,"",VLOOKUP(V10,'Tablas Magia'!$D$6:$Z$680,17,FALSE))</f>
        <v/>
      </c>
      <c r="AA14" s="5318" t="str">
        <f>IF(V10=0,"",VLOOKUP(V10,'Tablas Magia'!$D$6:$Z$680,21,FALSE))</f>
        <v/>
      </c>
      <c r="AB14" s="5319"/>
      <c r="AC14" s="5319"/>
      <c r="AD14" s="5319"/>
      <c r="AE14" s="5319"/>
      <c r="AF14" s="5319"/>
      <c r="AG14" s="5319"/>
      <c r="AH14" s="5319"/>
      <c r="AI14" s="5319"/>
      <c r="AJ14" s="5320"/>
      <c r="AK14" s="1216"/>
      <c r="AL14" s="1210"/>
      <c r="AM14" s="1210"/>
      <c r="AN14" s="615"/>
      <c r="AO14" s="5316" t="s">
        <v>4706</v>
      </c>
      <c r="AP14" s="5317"/>
      <c r="AQ14" s="1235" t="str">
        <f>IF(AO10=0,"",VLOOKUP(AO10,'Tablas Magia'!$D$6:$Z$680,9,FALSE))</f>
        <v/>
      </c>
      <c r="AR14" s="1235" t="str">
        <f>IF(AO10=0,"",VLOOKUP(AO10,'Tablas Magia'!$D$6:$Z$680,13,FALSE))</f>
        <v/>
      </c>
      <c r="AS14" s="1236" t="str">
        <f>IF(AO10=0,"",VLOOKUP(AO10,'Tablas Magia'!$D$6:$Z$680,17,FALSE))</f>
        <v/>
      </c>
      <c r="AT14" s="5318" t="str">
        <f>IF(AO10=0,"",VLOOKUP(AO10,'Tablas Magia'!$D$6:$Z$680,21,FALSE))</f>
        <v/>
      </c>
      <c r="AU14" s="5319"/>
      <c r="AV14" s="5319"/>
      <c r="AW14" s="5319"/>
      <c r="AX14" s="5319"/>
      <c r="AY14" s="5319"/>
      <c r="AZ14" s="5319"/>
      <c r="BA14" s="5319"/>
      <c r="BB14" s="5319"/>
      <c r="BC14" s="5320"/>
      <c r="BD14" s="1216"/>
      <c r="BE14" s="1210"/>
    </row>
    <row r="15" spans="1:57" ht="12" customHeight="1" thickBot="1" x14ac:dyDescent="0.25">
      <c r="A15" s="1210"/>
      <c r="B15" s="615"/>
      <c r="C15" s="5326" t="s">
        <v>4707</v>
      </c>
      <c r="D15" s="5327"/>
      <c r="E15" s="1239" t="str">
        <f>IF(C10=0,"",VLOOKUP(C10,'Tablas Magia'!$D$6:$Z$680,10,FALSE))</f>
        <v/>
      </c>
      <c r="F15" s="1239" t="str">
        <f>IF(C10=0,"",VLOOKUP(C10,'Tablas Magia'!$D$6:$Z$680,14,FALSE))</f>
        <v/>
      </c>
      <c r="G15" s="1240" t="str">
        <f>IF(C10=0,"",VLOOKUP(C10,'Tablas Magia'!$D$6:$Z$680,18,FALSE))</f>
        <v/>
      </c>
      <c r="H15" s="5328" t="str">
        <f>IF(C10=0,"",VLOOKUP(C10,'Tablas Magia'!$D$6:$Z$680,22,FALSE))</f>
        <v/>
      </c>
      <c r="I15" s="5329"/>
      <c r="J15" s="5329"/>
      <c r="K15" s="5329"/>
      <c r="L15" s="5329"/>
      <c r="M15" s="5329"/>
      <c r="N15" s="5329"/>
      <c r="O15" s="5329"/>
      <c r="P15" s="5329"/>
      <c r="Q15" s="5330"/>
      <c r="R15" s="1216"/>
      <c r="S15" s="1210"/>
      <c r="T15" s="1210"/>
      <c r="U15" s="615"/>
      <c r="V15" s="5326" t="s">
        <v>4707</v>
      </c>
      <c r="W15" s="5327"/>
      <c r="X15" s="1239" t="str">
        <f>IF(V10=0,"",VLOOKUP(V10,'Tablas Magia'!$D$6:$Z$680,10,FALSE))</f>
        <v/>
      </c>
      <c r="Y15" s="1239" t="str">
        <f>IF(V10=0,"",VLOOKUP(V10,'Tablas Magia'!$D$6:$Z$680,14,FALSE))</f>
        <v/>
      </c>
      <c r="Z15" s="1240" t="str">
        <f>IF(V10=0,"",VLOOKUP(V10,'Tablas Magia'!$D$6:$Z$680,18,FALSE))</f>
        <v/>
      </c>
      <c r="AA15" s="5328" t="str">
        <f>IF(V10=0,"",VLOOKUP(V10,'Tablas Magia'!$D$6:$Z$680,22,FALSE))</f>
        <v/>
      </c>
      <c r="AB15" s="5329"/>
      <c r="AC15" s="5329"/>
      <c r="AD15" s="5329"/>
      <c r="AE15" s="5329"/>
      <c r="AF15" s="5329"/>
      <c r="AG15" s="5329"/>
      <c r="AH15" s="5329"/>
      <c r="AI15" s="5329"/>
      <c r="AJ15" s="5330"/>
      <c r="AK15" s="1216"/>
      <c r="AL15" s="1210"/>
      <c r="AM15" s="1210"/>
      <c r="AN15" s="615"/>
      <c r="AO15" s="5326" t="s">
        <v>4707</v>
      </c>
      <c r="AP15" s="5327"/>
      <c r="AQ15" s="1239" t="str">
        <f>IF(AO10=0,"",VLOOKUP(AO10,'Tablas Magia'!$D$6:$Z$680,10,FALSE))</f>
        <v/>
      </c>
      <c r="AR15" s="1239" t="str">
        <f>IF(AO10=0,"",VLOOKUP(AO10,'Tablas Magia'!$D$6:$Z$680,14,FALSE))</f>
        <v/>
      </c>
      <c r="AS15" s="1240" t="str">
        <f>IF(AO10=0,"",VLOOKUP(AO10,'Tablas Magia'!$D$6:$Z$680,18,FALSE))</f>
        <v/>
      </c>
      <c r="AT15" s="5328" t="str">
        <f>IF(AO10=0,"",VLOOKUP(AO10,'Tablas Magia'!$D$6:$Z$680,22,FALSE))</f>
        <v/>
      </c>
      <c r="AU15" s="5329"/>
      <c r="AV15" s="5329"/>
      <c r="AW15" s="5329"/>
      <c r="AX15" s="5329"/>
      <c r="AY15" s="5329"/>
      <c r="AZ15" s="5329"/>
      <c r="BA15" s="5329"/>
      <c r="BB15" s="5329"/>
      <c r="BC15" s="5330"/>
      <c r="BD15" s="1216"/>
      <c r="BE15" s="1210"/>
    </row>
    <row r="16" spans="1:57" ht="12" customHeight="1" x14ac:dyDescent="0.2">
      <c r="A16" s="1210"/>
      <c r="B16" s="615"/>
      <c r="C16" s="5331" t="str">
        <f>IF(C10=0,"",VLOOKUP(C10,'Tablas Magia'!$D$6:$Z$680,23,FALSE))</f>
        <v/>
      </c>
      <c r="D16" s="5332"/>
      <c r="E16" s="5332"/>
      <c r="F16" s="5332"/>
      <c r="G16" s="5332"/>
      <c r="H16" s="5332"/>
      <c r="I16" s="5332"/>
      <c r="J16" s="5332"/>
      <c r="K16" s="5332"/>
      <c r="L16" s="5332"/>
      <c r="M16" s="5332"/>
      <c r="N16" s="5332"/>
      <c r="O16" s="5332"/>
      <c r="P16" s="5332"/>
      <c r="Q16" s="5333"/>
      <c r="R16" s="1216"/>
      <c r="S16" s="1210"/>
      <c r="T16" s="1210"/>
      <c r="U16" s="615"/>
      <c r="V16" s="5331" t="str">
        <f>IF(V10=0,"",VLOOKUP(V10,'Tablas Magia'!$D$6:$Z$680,23,FALSE))</f>
        <v/>
      </c>
      <c r="W16" s="5332"/>
      <c r="X16" s="5332"/>
      <c r="Y16" s="5332"/>
      <c r="Z16" s="5332"/>
      <c r="AA16" s="5332"/>
      <c r="AB16" s="5332"/>
      <c r="AC16" s="5332"/>
      <c r="AD16" s="5332"/>
      <c r="AE16" s="5332"/>
      <c r="AF16" s="5332"/>
      <c r="AG16" s="5332"/>
      <c r="AH16" s="5332"/>
      <c r="AI16" s="5332"/>
      <c r="AJ16" s="5333"/>
      <c r="AK16" s="1216"/>
      <c r="AL16" s="1210"/>
      <c r="AM16" s="1210"/>
      <c r="AN16" s="615"/>
      <c r="AO16" s="5331" t="str">
        <f>IF(AO10=0,"",VLOOKUP(AO10,'Tablas Magia'!$D$6:$Z$680,23,FALSE))</f>
        <v/>
      </c>
      <c r="AP16" s="5332"/>
      <c r="AQ16" s="5332"/>
      <c r="AR16" s="5332"/>
      <c r="AS16" s="5332"/>
      <c r="AT16" s="5332"/>
      <c r="AU16" s="5332"/>
      <c r="AV16" s="5332"/>
      <c r="AW16" s="5332"/>
      <c r="AX16" s="5332"/>
      <c r="AY16" s="5332"/>
      <c r="AZ16" s="5332"/>
      <c r="BA16" s="5332"/>
      <c r="BB16" s="5332"/>
      <c r="BC16" s="5333"/>
      <c r="BD16" s="1216"/>
      <c r="BE16" s="1210"/>
    </row>
    <row r="17" spans="1:57" ht="12" customHeight="1" x14ac:dyDescent="0.2">
      <c r="A17" s="1210"/>
      <c r="B17" s="615"/>
      <c r="C17" s="5334"/>
      <c r="D17" s="5335"/>
      <c r="E17" s="5335"/>
      <c r="F17" s="5335"/>
      <c r="G17" s="5335"/>
      <c r="H17" s="5335"/>
      <c r="I17" s="5335"/>
      <c r="J17" s="5335"/>
      <c r="K17" s="5335"/>
      <c r="L17" s="5335"/>
      <c r="M17" s="5335"/>
      <c r="N17" s="5335"/>
      <c r="O17" s="5335"/>
      <c r="P17" s="5335"/>
      <c r="Q17" s="5336"/>
      <c r="R17" s="1216"/>
      <c r="S17" s="1210"/>
      <c r="T17" s="1210"/>
      <c r="U17" s="615"/>
      <c r="V17" s="5334"/>
      <c r="W17" s="5335"/>
      <c r="X17" s="5335"/>
      <c r="Y17" s="5335"/>
      <c r="Z17" s="5335"/>
      <c r="AA17" s="5335"/>
      <c r="AB17" s="5335"/>
      <c r="AC17" s="5335"/>
      <c r="AD17" s="5335"/>
      <c r="AE17" s="5335"/>
      <c r="AF17" s="5335"/>
      <c r="AG17" s="5335"/>
      <c r="AH17" s="5335"/>
      <c r="AI17" s="5335"/>
      <c r="AJ17" s="5336"/>
      <c r="AK17" s="1216"/>
      <c r="AL17" s="1210"/>
      <c r="AM17" s="1210"/>
      <c r="AN17" s="615"/>
      <c r="AO17" s="5334"/>
      <c r="AP17" s="5335"/>
      <c r="AQ17" s="5335"/>
      <c r="AR17" s="5335"/>
      <c r="AS17" s="5335"/>
      <c r="AT17" s="5335"/>
      <c r="AU17" s="5335"/>
      <c r="AV17" s="5335"/>
      <c r="AW17" s="5335"/>
      <c r="AX17" s="5335"/>
      <c r="AY17" s="5335"/>
      <c r="AZ17" s="5335"/>
      <c r="BA17" s="5335"/>
      <c r="BB17" s="5335"/>
      <c r="BC17" s="5336"/>
      <c r="BD17" s="1216"/>
      <c r="BE17" s="1210"/>
    </row>
    <row r="18" spans="1:57" ht="12" customHeight="1" x14ac:dyDescent="0.2">
      <c r="A18" s="1210"/>
      <c r="B18" s="615"/>
      <c r="C18" s="5334"/>
      <c r="D18" s="5335"/>
      <c r="E18" s="5335"/>
      <c r="F18" s="5335"/>
      <c r="G18" s="5335"/>
      <c r="H18" s="5335"/>
      <c r="I18" s="5335"/>
      <c r="J18" s="5335"/>
      <c r="K18" s="5335"/>
      <c r="L18" s="5335"/>
      <c r="M18" s="5335"/>
      <c r="N18" s="5335"/>
      <c r="O18" s="5335"/>
      <c r="P18" s="5335"/>
      <c r="Q18" s="5336"/>
      <c r="R18" s="1216"/>
      <c r="S18" s="1210"/>
      <c r="T18" s="1210"/>
      <c r="U18" s="615"/>
      <c r="V18" s="5334"/>
      <c r="W18" s="5335"/>
      <c r="X18" s="5335"/>
      <c r="Y18" s="5335"/>
      <c r="Z18" s="5335"/>
      <c r="AA18" s="5335"/>
      <c r="AB18" s="5335"/>
      <c r="AC18" s="5335"/>
      <c r="AD18" s="5335"/>
      <c r="AE18" s="5335"/>
      <c r="AF18" s="5335"/>
      <c r="AG18" s="5335"/>
      <c r="AH18" s="5335"/>
      <c r="AI18" s="5335"/>
      <c r="AJ18" s="5336"/>
      <c r="AK18" s="1216"/>
      <c r="AL18" s="1210"/>
      <c r="AM18" s="1210"/>
      <c r="AN18" s="615"/>
      <c r="AO18" s="5334"/>
      <c r="AP18" s="5335"/>
      <c r="AQ18" s="5335"/>
      <c r="AR18" s="5335"/>
      <c r="AS18" s="5335"/>
      <c r="AT18" s="5335"/>
      <c r="AU18" s="5335"/>
      <c r="AV18" s="5335"/>
      <c r="AW18" s="5335"/>
      <c r="AX18" s="5335"/>
      <c r="AY18" s="5335"/>
      <c r="AZ18" s="5335"/>
      <c r="BA18" s="5335"/>
      <c r="BB18" s="5335"/>
      <c r="BC18" s="5336"/>
      <c r="BD18" s="1216"/>
      <c r="BE18" s="1210"/>
    </row>
    <row r="19" spans="1:57" ht="12" customHeight="1" thickBot="1" x14ac:dyDescent="0.25">
      <c r="A19" s="1210"/>
      <c r="B19" s="615"/>
      <c r="C19" s="5337"/>
      <c r="D19" s="5338"/>
      <c r="E19" s="5338"/>
      <c r="F19" s="5338"/>
      <c r="G19" s="5338"/>
      <c r="H19" s="5338"/>
      <c r="I19" s="5338"/>
      <c r="J19" s="5338"/>
      <c r="K19" s="5338"/>
      <c r="L19" s="5338"/>
      <c r="M19" s="5338"/>
      <c r="N19" s="5338"/>
      <c r="O19" s="5338"/>
      <c r="P19" s="5338"/>
      <c r="Q19" s="5339"/>
      <c r="R19" s="1216"/>
      <c r="S19" s="1210"/>
      <c r="T19" s="1210"/>
      <c r="U19" s="615"/>
      <c r="V19" s="5337"/>
      <c r="W19" s="5338"/>
      <c r="X19" s="5338"/>
      <c r="Y19" s="5338"/>
      <c r="Z19" s="5338"/>
      <c r="AA19" s="5338"/>
      <c r="AB19" s="5338"/>
      <c r="AC19" s="5338"/>
      <c r="AD19" s="5338"/>
      <c r="AE19" s="5338"/>
      <c r="AF19" s="5338"/>
      <c r="AG19" s="5338"/>
      <c r="AH19" s="5338"/>
      <c r="AI19" s="5338"/>
      <c r="AJ19" s="5339"/>
      <c r="AK19" s="1216"/>
      <c r="AL19" s="1210"/>
      <c r="AM19" s="1210"/>
      <c r="AN19" s="615"/>
      <c r="AO19" s="5337"/>
      <c r="AP19" s="5338"/>
      <c r="AQ19" s="5338"/>
      <c r="AR19" s="5338"/>
      <c r="AS19" s="5338"/>
      <c r="AT19" s="5338"/>
      <c r="AU19" s="5338"/>
      <c r="AV19" s="5338"/>
      <c r="AW19" s="5338"/>
      <c r="AX19" s="5338"/>
      <c r="AY19" s="5338"/>
      <c r="AZ19" s="5338"/>
      <c r="BA19" s="5338"/>
      <c r="BB19" s="5338"/>
      <c r="BC19" s="5339"/>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42"/>
      <c r="D21" s="5343"/>
      <c r="E21" s="5343"/>
      <c r="F21" s="5343"/>
      <c r="G21" s="5343"/>
      <c r="H21" s="1230" t="s">
        <v>1630</v>
      </c>
      <c r="I21" s="1231" t="str">
        <f>IF(C21=0,"",VLOOKUP(C21,'Tablas Magia'!$D$6:$Z$680,3,FALSE))</f>
        <v/>
      </c>
      <c r="J21" s="5344" t="s">
        <v>8162</v>
      </c>
      <c r="K21" s="5344"/>
      <c r="L21" s="5344"/>
      <c r="M21" s="5345" t="str">
        <f>IF(C21=0,"",VLOOKUP(C21,'Tablas Magia'!$D$6:$Z$680,2,FALSE))</f>
        <v/>
      </c>
      <c r="N21" s="5345"/>
      <c r="O21" s="5345"/>
      <c r="P21" s="5345"/>
      <c r="Q21" s="5346"/>
      <c r="R21" s="1216"/>
      <c r="S21" s="1210"/>
      <c r="T21" s="1210"/>
      <c r="U21" s="615"/>
      <c r="V21" s="5342"/>
      <c r="W21" s="5343"/>
      <c r="X21" s="5343"/>
      <c r="Y21" s="5343"/>
      <c r="Z21" s="5343"/>
      <c r="AA21" s="1230" t="s">
        <v>1630</v>
      </c>
      <c r="AB21" s="1231" t="str">
        <f>IF(V21=0,"",VLOOKUP(V21,'Tablas Magia'!$D$6:$Z$680,3,FALSE))</f>
        <v/>
      </c>
      <c r="AC21" s="5344" t="s">
        <v>8162</v>
      </c>
      <c r="AD21" s="5344"/>
      <c r="AE21" s="5344"/>
      <c r="AF21" s="5345" t="str">
        <f>IF(V21=0,"",VLOOKUP(V21,'Tablas Magia'!$D$6:$Z$680,2,FALSE))</f>
        <v/>
      </c>
      <c r="AG21" s="5345"/>
      <c r="AH21" s="5345"/>
      <c r="AI21" s="5345"/>
      <c r="AJ21" s="5346"/>
      <c r="AK21" s="1216"/>
      <c r="AL21" s="1210"/>
      <c r="AM21" s="1210"/>
      <c r="AN21" s="615"/>
      <c r="AO21" s="5342"/>
      <c r="AP21" s="5343"/>
      <c r="AQ21" s="5343"/>
      <c r="AR21" s="5343"/>
      <c r="AS21" s="5343"/>
      <c r="AT21" s="1230" t="s">
        <v>1630</v>
      </c>
      <c r="AU21" s="1231" t="str">
        <f>IF(AO21=0,"",VLOOKUP(AO21,'Tablas Magia'!$D$6:$Z$680,3,FALSE))</f>
        <v/>
      </c>
      <c r="AV21" s="5344" t="s">
        <v>8162</v>
      </c>
      <c r="AW21" s="5344"/>
      <c r="AX21" s="5344"/>
      <c r="AY21" s="5345" t="str">
        <f>IF(AO21=0,"",VLOOKUP(AO21,'Tablas Magia'!$D$6:$Z$680,2,FALSE))</f>
        <v/>
      </c>
      <c r="AZ21" s="5345"/>
      <c r="BA21" s="5345"/>
      <c r="BB21" s="5345"/>
      <c r="BC21" s="5346"/>
      <c r="BD21" s="1216"/>
      <c r="BE21" s="1210"/>
    </row>
    <row r="22" spans="1:57" ht="12" customHeight="1" x14ac:dyDescent="0.2">
      <c r="A22" s="1210"/>
      <c r="B22" s="615"/>
      <c r="C22" s="5340" t="s">
        <v>8163</v>
      </c>
      <c r="D22" s="5341"/>
      <c r="E22" s="1232" t="s">
        <v>8164</v>
      </c>
      <c r="F22" s="1232" t="s">
        <v>1824</v>
      </c>
      <c r="G22" s="1232" t="s">
        <v>3467</v>
      </c>
      <c r="H22" s="1233" t="s">
        <v>2175</v>
      </c>
      <c r="I22" s="5314" t="str">
        <f>IF(C21=0,"",VLOOKUP(C21,'Tablas Magia'!$D$6:$Z$680,5,FALSE))</f>
        <v/>
      </c>
      <c r="J22" s="5314"/>
      <c r="K22" s="5313" t="s">
        <v>8165</v>
      </c>
      <c r="L22" s="5313"/>
      <c r="M22" s="5314" t="str">
        <f>IF(C21=0,"",VLOOKUP(C21,'Tablas Magia'!$D$6:$Z$680,6,FALSE))</f>
        <v/>
      </c>
      <c r="N22" s="5314"/>
      <c r="O22" s="5315" t="s">
        <v>8166</v>
      </c>
      <c r="P22" s="5315"/>
      <c r="Q22" s="1234" t="str">
        <f>IF(C21=0,"",VLOOKUP(C21,'Tablas Magia'!$D$6:$Z$680,4,FALSE))</f>
        <v/>
      </c>
      <c r="R22" s="1216"/>
      <c r="S22" s="1210"/>
      <c r="T22" s="1210"/>
      <c r="U22" s="615"/>
      <c r="V22" s="5340" t="s">
        <v>8163</v>
      </c>
      <c r="W22" s="5341"/>
      <c r="X22" s="1232" t="s">
        <v>8164</v>
      </c>
      <c r="Y22" s="1232" t="s">
        <v>1824</v>
      </c>
      <c r="Z22" s="1232" t="s">
        <v>3467</v>
      </c>
      <c r="AA22" s="1233" t="s">
        <v>2175</v>
      </c>
      <c r="AB22" s="5314" t="str">
        <f>IF(V21=0,"",VLOOKUP(V21,'Tablas Magia'!$D$6:$Z$680,5,FALSE))</f>
        <v/>
      </c>
      <c r="AC22" s="5314"/>
      <c r="AD22" s="5313" t="s">
        <v>8165</v>
      </c>
      <c r="AE22" s="5313"/>
      <c r="AF22" s="5314" t="str">
        <f>IF(V21=0,"",VLOOKUP(V21,'Tablas Magia'!$D$6:$Z$680,6,FALSE))</f>
        <v/>
      </c>
      <c r="AG22" s="5314"/>
      <c r="AH22" s="5315" t="s">
        <v>8166</v>
      </c>
      <c r="AI22" s="5315"/>
      <c r="AJ22" s="1234" t="str">
        <f>IF(V21=0,"",VLOOKUP(V21,'Tablas Magia'!$D$6:$Z$680,4,FALSE))</f>
        <v/>
      </c>
      <c r="AK22" s="1216"/>
      <c r="AL22" s="1210"/>
      <c r="AM22" s="1210"/>
      <c r="AN22" s="615"/>
      <c r="AO22" s="5340" t="s">
        <v>8163</v>
      </c>
      <c r="AP22" s="5341"/>
      <c r="AQ22" s="1232" t="s">
        <v>8164</v>
      </c>
      <c r="AR22" s="1232" t="s">
        <v>1824</v>
      </c>
      <c r="AS22" s="1232" t="s">
        <v>3467</v>
      </c>
      <c r="AT22" s="1233" t="s">
        <v>2175</v>
      </c>
      <c r="AU22" s="5314" t="str">
        <f>IF(AO21=0,"",VLOOKUP(AO21,'Tablas Magia'!$D$6:$Z$680,5,FALSE))</f>
        <v/>
      </c>
      <c r="AV22" s="5314"/>
      <c r="AW22" s="5313" t="s">
        <v>8165</v>
      </c>
      <c r="AX22" s="5313"/>
      <c r="AY22" s="5314" t="str">
        <f>IF(AO21=0,"",VLOOKUP(AO21,'Tablas Magia'!$D$6:$Z$680,6,FALSE))</f>
        <v/>
      </c>
      <c r="AZ22" s="5314"/>
      <c r="BA22" s="5315" t="s">
        <v>8166</v>
      </c>
      <c r="BB22" s="5315"/>
      <c r="BC22" s="1234" t="str">
        <f>IF(AO21=0,"",VLOOKUP(AO21,'Tablas Magia'!$D$6:$Z$680,4,FALSE))</f>
        <v/>
      </c>
      <c r="BD22" s="1216"/>
      <c r="BE22" s="1210"/>
    </row>
    <row r="23" spans="1:57" ht="12" customHeight="1" x14ac:dyDescent="0.2">
      <c r="A23" s="1210"/>
      <c r="B23" s="615"/>
      <c r="C23" s="5316" t="s">
        <v>1677</v>
      </c>
      <c r="D23" s="5317"/>
      <c r="E23" s="1235" t="str">
        <f>IF(C21=0,"",VLOOKUP(C21,'Tablas Magia'!$D$6:$Z$680,7,FALSE))</f>
        <v/>
      </c>
      <c r="F23" s="1235" t="str">
        <f>IF(C21=0,"",VLOOKUP(C21,'Tablas Magia'!$D$6:$Z$680,11,FALSE))</f>
        <v/>
      </c>
      <c r="G23" s="1236" t="str">
        <f>IF(C21=0,"",VLOOKUP(C21,'Tablas Magia'!$D$6:$Z$680,15,FALSE))</f>
        <v/>
      </c>
      <c r="H23" s="5318" t="str">
        <f>IF(C21=0,"",VLOOKUP(C21,'Tablas Magia'!$D$6:$Z$680,19,FALSE))</f>
        <v/>
      </c>
      <c r="I23" s="5319"/>
      <c r="J23" s="5319"/>
      <c r="K23" s="5319"/>
      <c r="L23" s="5319"/>
      <c r="M23" s="5319"/>
      <c r="N23" s="5319"/>
      <c r="O23" s="5319"/>
      <c r="P23" s="5319"/>
      <c r="Q23" s="5320"/>
      <c r="R23" s="1216"/>
      <c r="S23" s="1210"/>
      <c r="T23" s="1210"/>
      <c r="U23" s="615"/>
      <c r="V23" s="5316" t="s">
        <v>1677</v>
      </c>
      <c r="W23" s="5317"/>
      <c r="X23" s="1235" t="str">
        <f>IF(V21=0,"",VLOOKUP(V21,'Tablas Magia'!$D$6:$Z$680,7,FALSE))</f>
        <v/>
      </c>
      <c r="Y23" s="1235" t="str">
        <f>IF(V21=0,"",VLOOKUP(V21,'Tablas Magia'!$D$6:$Z$680,11,FALSE))</f>
        <v/>
      </c>
      <c r="Z23" s="1236" t="str">
        <f>IF(V21=0,"",VLOOKUP(V21,'Tablas Magia'!$D$6:$Z$680,15,FALSE))</f>
        <v/>
      </c>
      <c r="AA23" s="5318" t="str">
        <f>IF(V21=0,"",VLOOKUP(V21,'Tablas Magia'!$D$6:$Z$680,19,FALSE))</f>
        <v/>
      </c>
      <c r="AB23" s="5319"/>
      <c r="AC23" s="5319"/>
      <c r="AD23" s="5319"/>
      <c r="AE23" s="5319"/>
      <c r="AF23" s="5319"/>
      <c r="AG23" s="5319"/>
      <c r="AH23" s="5319"/>
      <c r="AI23" s="5319"/>
      <c r="AJ23" s="5320"/>
      <c r="AK23" s="1216"/>
      <c r="AL23" s="1210"/>
      <c r="AM23" s="1210"/>
      <c r="AN23" s="615"/>
      <c r="AO23" s="5316" t="s">
        <v>1677</v>
      </c>
      <c r="AP23" s="5317"/>
      <c r="AQ23" s="1235" t="str">
        <f>IF(AO21=0,"",VLOOKUP(AO21,'Tablas Magia'!$D$6:$Z$680,7,FALSE))</f>
        <v/>
      </c>
      <c r="AR23" s="1235" t="str">
        <f>IF(AO21=0,"",VLOOKUP(AO21,'Tablas Magia'!$D$6:$Z$680,11,FALSE))</f>
        <v/>
      </c>
      <c r="AS23" s="1236" t="str">
        <f>IF(AO21=0,"",VLOOKUP(AO21,'Tablas Magia'!$D$6:$Z$680,15,FALSE))</f>
        <v/>
      </c>
      <c r="AT23" s="5318" t="str">
        <f>IF(AO21=0,"",VLOOKUP(AO21,'Tablas Magia'!$D$6:$Z$680,19,FALSE))</f>
        <v/>
      </c>
      <c r="AU23" s="5319"/>
      <c r="AV23" s="5319"/>
      <c r="AW23" s="5319"/>
      <c r="AX23" s="5319"/>
      <c r="AY23" s="5319"/>
      <c r="AZ23" s="5319"/>
      <c r="BA23" s="5319"/>
      <c r="BB23" s="5319"/>
      <c r="BC23" s="5320"/>
      <c r="BD23" s="1216"/>
      <c r="BE23" s="1210"/>
    </row>
    <row r="24" spans="1:57" ht="12" customHeight="1" x14ac:dyDescent="0.2">
      <c r="A24" s="1210"/>
      <c r="B24" s="615"/>
      <c r="C24" s="5321" t="s">
        <v>4705</v>
      </c>
      <c r="D24" s="5322"/>
      <c r="E24" s="1237" t="str">
        <f>IF(C21=0,"",VLOOKUP(C21,'Tablas Magia'!$D$6:$Z$680,8,FALSE))</f>
        <v/>
      </c>
      <c r="F24" s="1237" t="str">
        <f>IF(C21=0,"",VLOOKUP(C21,'Tablas Magia'!$D$6:$Z$680,12,FALSE))</f>
        <v/>
      </c>
      <c r="G24" s="1238" t="str">
        <f>IF(C21=0,"",VLOOKUP(C21,'Tablas Magia'!$D$6:$Z$680,16,FALSE))</f>
        <v/>
      </c>
      <c r="H24" s="5323" t="str">
        <f>IF(C21=0,"",VLOOKUP(C21,'Tablas Magia'!$D$6:$Z$680,20,FALSE))</f>
        <v/>
      </c>
      <c r="I24" s="5324"/>
      <c r="J24" s="5324"/>
      <c r="K24" s="5324"/>
      <c r="L24" s="5324"/>
      <c r="M24" s="5324"/>
      <c r="N24" s="5324"/>
      <c r="O24" s="5324"/>
      <c r="P24" s="5324"/>
      <c r="Q24" s="5325"/>
      <c r="R24" s="1216"/>
      <c r="S24" s="1210"/>
      <c r="T24" s="1210"/>
      <c r="U24" s="615"/>
      <c r="V24" s="5321" t="s">
        <v>4705</v>
      </c>
      <c r="W24" s="5322"/>
      <c r="X24" s="1237" t="str">
        <f>IF(V21=0,"",VLOOKUP(V21,'Tablas Magia'!$D$6:$Z$680,8,FALSE))</f>
        <v/>
      </c>
      <c r="Y24" s="1237" t="str">
        <f>IF(V21=0,"",VLOOKUP(V21,'Tablas Magia'!$D$6:$Z$680,12,FALSE))</f>
        <v/>
      </c>
      <c r="Z24" s="1238" t="str">
        <f>IF(V21=0,"",VLOOKUP(V21,'Tablas Magia'!$D$6:$Z$680,16,FALSE))</f>
        <v/>
      </c>
      <c r="AA24" s="5323" t="str">
        <f>IF(V21=0,"",VLOOKUP(V21,'Tablas Magia'!$D$6:$Z$680,20,FALSE))</f>
        <v/>
      </c>
      <c r="AB24" s="5324"/>
      <c r="AC24" s="5324"/>
      <c r="AD24" s="5324"/>
      <c r="AE24" s="5324"/>
      <c r="AF24" s="5324"/>
      <c r="AG24" s="5324"/>
      <c r="AH24" s="5324"/>
      <c r="AI24" s="5324"/>
      <c r="AJ24" s="5325"/>
      <c r="AK24" s="1216"/>
      <c r="AL24" s="1210"/>
      <c r="AM24" s="1210"/>
      <c r="AN24" s="615"/>
      <c r="AO24" s="5321" t="s">
        <v>4705</v>
      </c>
      <c r="AP24" s="5322"/>
      <c r="AQ24" s="1237" t="str">
        <f>IF(AO21=0,"",VLOOKUP(AO21,'Tablas Magia'!$D$6:$Z$680,8,FALSE))</f>
        <v/>
      </c>
      <c r="AR24" s="1237" t="str">
        <f>IF(AO21=0,"",VLOOKUP(AO21,'Tablas Magia'!$D$6:$Z$680,12,FALSE))</f>
        <v/>
      </c>
      <c r="AS24" s="1238" t="str">
        <f>IF(AO21=0,"",VLOOKUP(AO21,'Tablas Magia'!$D$6:$Z$680,16,FALSE))</f>
        <v/>
      </c>
      <c r="AT24" s="5323" t="str">
        <f>IF(AO21=0,"",VLOOKUP(AO21,'Tablas Magia'!$D$6:$Z$680,20,FALSE))</f>
        <v/>
      </c>
      <c r="AU24" s="5324"/>
      <c r="AV24" s="5324"/>
      <c r="AW24" s="5324"/>
      <c r="AX24" s="5324"/>
      <c r="AY24" s="5324"/>
      <c r="AZ24" s="5324"/>
      <c r="BA24" s="5324"/>
      <c r="BB24" s="5324"/>
      <c r="BC24" s="5325"/>
      <c r="BD24" s="1216"/>
      <c r="BE24" s="1210"/>
    </row>
    <row r="25" spans="1:57" ht="12" customHeight="1" x14ac:dyDescent="0.2">
      <c r="A25" s="1210"/>
      <c r="B25" s="615"/>
      <c r="C25" s="5316" t="s">
        <v>4706</v>
      </c>
      <c r="D25" s="5317"/>
      <c r="E25" s="1235" t="str">
        <f>IF(C21=0,"",VLOOKUP(C21,'Tablas Magia'!$D$6:$Z$680,9,FALSE))</f>
        <v/>
      </c>
      <c r="F25" s="1235" t="str">
        <f>IF(C21=0,"",VLOOKUP(C21,'Tablas Magia'!$D$6:$Z$680,13,FALSE))</f>
        <v/>
      </c>
      <c r="G25" s="1236" t="str">
        <f>IF(C21=0,"",VLOOKUP(C21,'Tablas Magia'!$D$6:$Z$680,17,FALSE))</f>
        <v/>
      </c>
      <c r="H25" s="5318" t="str">
        <f>IF(C21=0,"",VLOOKUP(C21,'Tablas Magia'!$D$6:$Z$680,21,FALSE))</f>
        <v/>
      </c>
      <c r="I25" s="5319"/>
      <c r="J25" s="5319"/>
      <c r="K25" s="5319"/>
      <c r="L25" s="5319"/>
      <c r="M25" s="5319"/>
      <c r="N25" s="5319"/>
      <c r="O25" s="5319"/>
      <c r="P25" s="5319"/>
      <c r="Q25" s="5320"/>
      <c r="R25" s="1216"/>
      <c r="S25" s="1210"/>
      <c r="T25" s="1210"/>
      <c r="U25" s="615"/>
      <c r="V25" s="5316" t="s">
        <v>4706</v>
      </c>
      <c r="W25" s="5317"/>
      <c r="X25" s="1235" t="str">
        <f>IF(V21=0,"",VLOOKUP(V21,'Tablas Magia'!$D$6:$Z$680,9,FALSE))</f>
        <v/>
      </c>
      <c r="Y25" s="1235" t="str">
        <f>IF(V21=0,"",VLOOKUP(V21,'Tablas Magia'!$D$6:$Z$680,13,FALSE))</f>
        <v/>
      </c>
      <c r="Z25" s="1236" t="str">
        <f>IF(V21=0,"",VLOOKUP(V21,'Tablas Magia'!$D$6:$Z$680,17,FALSE))</f>
        <v/>
      </c>
      <c r="AA25" s="5318" t="str">
        <f>IF(V21=0,"",VLOOKUP(V21,'Tablas Magia'!$D$6:$Z$680,21,FALSE))</f>
        <v/>
      </c>
      <c r="AB25" s="5319"/>
      <c r="AC25" s="5319"/>
      <c r="AD25" s="5319"/>
      <c r="AE25" s="5319"/>
      <c r="AF25" s="5319"/>
      <c r="AG25" s="5319"/>
      <c r="AH25" s="5319"/>
      <c r="AI25" s="5319"/>
      <c r="AJ25" s="5320"/>
      <c r="AK25" s="1216"/>
      <c r="AL25" s="1210"/>
      <c r="AM25" s="1210"/>
      <c r="AN25" s="615"/>
      <c r="AO25" s="5316" t="s">
        <v>4706</v>
      </c>
      <c r="AP25" s="5317"/>
      <c r="AQ25" s="1235" t="str">
        <f>IF(AO21=0,"",VLOOKUP(AO21,'Tablas Magia'!$D$6:$Z$680,9,FALSE))</f>
        <v/>
      </c>
      <c r="AR25" s="1235" t="str">
        <f>IF(AO21=0,"",VLOOKUP(AO21,'Tablas Magia'!$D$6:$Z$680,13,FALSE))</f>
        <v/>
      </c>
      <c r="AS25" s="1236" t="str">
        <f>IF(AO21=0,"",VLOOKUP(AO21,'Tablas Magia'!$D$6:$Z$680,17,FALSE))</f>
        <v/>
      </c>
      <c r="AT25" s="5318" t="str">
        <f>IF(AO21=0,"",VLOOKUP(AO21,'Tablas Magia'!$D$6:$Z$680,21,FALSE))</f>
        <v/>
      </c>
      <c r="AU25" s="5319"/>
      <c r="AV25" s="5319"/>
      <c r="AW25" s="5319"/>
      <c r="AX25" s="5319"/>
      <c r="AY25" s="5319"/>
      <c r="AZ25" s="5319"/>
      <c r="BA25" s="5319"/>
      <c r="BB25" s="5319"/>
      <c r="BC25" s="5320"/>
      <c r="BD25" s="1216"/>
      <c r="BE25" s="1210"/>
    </row>
    <row r="26" spans="1:57" ht="12" customHeight="1" thickBot="1" x14ac:dyDescent="0.25">
      <c r="A26" s="1210"/>
      <c r="B26" s="615"/>
      <c r="C26" s="5326" t="s">
        <v>4707</v>
      </c>
      <c r="D26" s="5327"/>
      <c r="E26" s="1239" t="str">
        <f>IF(C21=0,"",VLOOKUP(C21,'Tablas Magia'!$D$6:$Z$680,10,FALSE))</f>
        <v/>
      </c>
      <c r="F26" s="1239" t="str">
        <f>IF(C21=0,"",VLOOKUP(C21,'Tablas Magia'!$D$6:$Z$680,14,FALSE))</f>
        <v/>
      </c>
      <c r="G26" s="1240" t="str">
        <f>IF(C21=0,"",VLOOKUP(C21,'Tablas Magia'!$D$6:$Z$680,18,FALSE))</f>
        <v/>
      </c>
      <c r="H26" s="5328" t="str">
        <f>IF(C21=0,"",VLOOKUP(C21,'Tablas Magia'!$D$6:$Z$680,22,FALSE))</f>
        <v/>
      </c>
      <c r="I26" s="5329"/>
      <c r="J26" s="5329"/>
      <c r="K26" s="5329"/>
      <c r="L26" s="5329"/>
      <c r="M26" s="5329"/>
      <c r="N26" s="5329"/>
      <c r="O26" s="5329"/>
      <c r="P26" s="5329"/>
      <c r="Q26" s="5330"/>
      <c r="R26" s="1216"/>
      <c r="S26" s="1210"/>
      <c r="T26" s="1210"/>
      <c r="U26" s="615"/>
      <c r="V26" s="5326" t="s">
        <v>4707</v>
      </c>
      <c r="W26" s="5327"/>
      <c r="X26" s="1239" t="str">
        <f>IF(V21=0,"",VLOOKUP(V21,'Tablas Magia'!$D$6:$Z$680,10,FALSE))</f>
        <v/>
      </c>
      <c r="Y26" s="1239" t="str">
        <f>IF(V21=0,"",VLOOKUP(V21,'Tablas Magia'!$D$6:$Z$680,14,FALSE))</f>
        <v/>
      </c>
      <c r="Z26" s="1240" t="str">
        <f>IF(V21=0,"",VLOOKUP(V21,'Tablas Magia'!$D$6:$Z$680,18,FALSE))</f>
        <v/>
      </c>
      <c r="AA26" s="5328" t="str">
        <f>IF(V21=0,"",VLOOKUP(V21,'Tablas Magia'!$D$6:$Z$680,22,FALSE))</f>
        <v/>
      </c>
      <c r="AB26" s="5329"/>
      <c r="AC26" s="5329"/>
      <c r="AD26" s="5329"/>
      <c r="AE26" s="5329"/>
      <c r="AF26" s="5329"/>
      <c r="AG26" s="5329"/>
      <c r="AH26" s="5329"/>
      <c r="AI26" s="5329"/>
      <c r="AJ26" s="5330"/>
      <c r="AK26" s="1216"/>
      <c r="AL26" s="1210"/>
      <c r="AM26" s="1210"/>
      <c r="AN26" s="615"/>
      <c r="AO26" s="5326" t="s">
        <v>4707</v>
      </c>
      <c r="AP26" s="5327"/>
      <c r="AQ26" s="1239" t="str">
        <f>IF(AO21=0,"",VLOOKUP(AO21,'Tablas Magia'!$D$6:$Z$680,10,FALSE))</f>
        <v/>
      </c>
      <c r="AR26" s="1239" t="str">
        <f>IF(AO21=0,"",VLOOKUP(AO21,'Tablas Magia'!$D$6:$Z$680,14,FALSE))</f>
        <v/>
      </c>
      <c r="AS26" s="1240" t="str">
        <f>IF(AO21=0,"",VLOOKUP(AO21,'Tablas Magia'!$D$6:$Z$680,18,FALSE))</f>
        <v/>
      </c>
      <c r="AT26" s="5328" t="str">
        <f>IF(AO21=0,"",VLOOKUP(AO21,'Tablas Magia'!$D$6:$Z$680,22,FALSE))</f>
        <v/>
      </c>
      <c r="AU26" s="5329"/>
      <c r="AV26" s="5329"/>
      <c r="AW26" s="5329"/>
      <c r="AX26" s="5329"/>
      <c r="AY26" s="5329"/>
      <c r="AZ26" s="5329"/>
      <c r="BA26" s="5329"/>
      <c r="BB26" s="5329"/>
      <c r="BC26" s="5330"/>
      <c r="BD26" s="1216"/>
      <c r="BE26" s="1210"/>
    </row>
    <row r="27" spans="1:57" ht="12" customHeight="1" x14ac:dyDescent="0.2">
      <c r="A27" s="1210"/>
      <c r="B27" s="615"/>
      <c r="C27" s="5331" t="str">
        <f>IF(C21=0,"",VLOOKUP(C21,'Tablas Magia'!$D$6:$Z$680,23,FALSE))</f>
        <v/>
      </c>
      <c r="D27" s="5332"/>
      <c r="E27" s="5332"/>
      <c r="F27" s="5332"/>
      <c r="G27" s="5332"/>
      <c r="H27" s="5332"/>
      <c r="I27" s="5332"/>
      <c r="J27" s="5332"/>
      <c r="K27" s="5332"/>
      <c r="L27" s="5332"/>
      <c r="M27" s="5332"/>
      <c r="N27" s="5332"/>
      <c r="O27" s="5332"/>
      <c r="P27" s="5332"/>
      <c r="Q27" s="5333"/>
      <c r="R27" s="1216"/>
      <c r="S27" s="1210"/>
      <c r="T27" s="1210"/>
      <c r="U27" s="615"/>
      <c r="V27" s="5331" t="str">
        <f>IF(V21=0,"",VLOOKUP(V21,'Tablas Magia'!$D$6:$Z$680,23,FALSE))</f>
        <v/>
      </c>
      <c r="W27" s="5332"/>
      <c r="X27" s="5332"/>
      <c r="Y27" s="5332"/>
      <c r="Z27" s="5332"/>
      <c r="AA27" s="5332"/>
      <c r="AB27" s="5332"/>
      <c r="AC27" s="5332"/>
      <c r="AD27" s="5332"/>
      <c r="AE27" s="5332"/>
      <c r="AF27" s="5332"/>
      <c r="AG27" s="5332"/>
      <c r="AH27" s="5332"/>
      <c r="AI27" s="5332"/>
      <c r="AJ27" s="5333"/>
      <c r="AK27" s="1216"/>
      <c r="AL27" s="1210"/>
      <c r="AM27" s="1210"/>
      <c r="AN27" s="615"/>
      <c r="AO27" s="5331" t="str">
        <f>IF(AO21=0,"",VLOOKUP(AO21,'Tablas Magia'!$D$6:$Z$680,23,FALSE))</f>
        <v/>
      </c>
      <c r="AP27" s="5332"/>
      <c r="AQ27" s="5332"/>
      <c r="AR27" s="5332"/>
      <c r="AS27" s="5332"/>
      <c r="AT27" s="5332"/>
      <c r="AU27" s="5332"/>
      <c r="AV27" s="5332"/>
      <c r="AW27" s="5332"/>
      <c r="AX27" s="5332"/>
      <c r="AY27" s="5332"/>
      <c r="AZ27" s="5332"/>
      <c r="BA27" s="5332"/>
      <c r="BB27" s="5332"/>
      <c r="BC27" s="5333"/>
      <c r="BD27" s="1216"/>
      <c r="BE27" s="1210"/>
    </row>
    <row r="28" spans="1:57" ht="12" customHeight="1" x14ac:dyDescent="0.2">
      <c r="A28" s="1210"/>
      <c r="B28" s="615"/>
      <c r="C28" s="5334"/>
      <c r="D28" s="5335"/>
      <c r="E28" s="5335"/>
      <c r="F28" s="5335"/>
      <c r="G28" s="5335"/>
      <c r="H28" s="5335"/>
      <c r="I28" s="5335"/>
      <c r="J28" s="5335"/>
      <c r="K28" s="5335"/>
      <c r="L28" s="5335"/>
      <c r="M28" s="5335"/>
      <c r="N28" s="5335"/>
      <c r="O28" s="5335"/>
      <c r="P28" s="5335"/>
      <c r="Q28" s="5336"/>
      <c r="R28" s="1216"/>
      <c r="S28" s="1210"/>
      <c r="T28" s="1210"/>
      <c r="U28" s="615"/>
      <c r="V28" s="5334"/>
      <c r="W28" s="5335"/>
      <c r="X28" s="5335"/>
      <c r="Y28" s="5335"/>
      <c r="Z28" s="5335"/>
      <c r="AA28" s="5335"/>
      <c r="AB28" s="5335"/>
      <c r="AC28" s="5335"/>
      <c r="AD28" s="5335"/>
      <c r="AE28" s="5335"/>
      <c r="AF28" s="5335"/>
      <c r="AG28" s="5335"/>
      <c r="AH28" s="5335"/>
      <c r="AI28" s="5335"/>
      <c r="AJ28" s="5336"/>
      <c r="AK28" s="1216"/>
      <c r="AL28" s="1210"/>
      <c r="AM28" s="1210"/>
      <c r="AN28" s="615"/>
      <c r="AO28" s="5334"/>
      <c r="AP28" s="5335"/>
      <c r="AQ28" s="5335"/>
      <c r="AR28" s="5335"/>
      <c r="AS28" s="5335"/>
      <c r="AT28" s="5335"/>
      <c r="AU28" s="5335"/>
      <c r="AV28" s="5335"/>
      <c r="AW28" s="5335"/>
      <c r="AX28" s="5335"/>
      <c r="AY28" s="5335"/>
      <c r="AZ28" s="5335"/>
      <c r="BA28" s="5335"/>
      <c r="BB28" s="5335"/>
      <c r="BC28" s="5336"/>
      <c r="BD28" s="1216"/>
      <c r="BE28" s="1210"/>
    </row>
    <row r="29" spans="1:57" ht="12" customHeight="1" x14ac:dyDescent="0.2">
      <c r="A29" s="1210"/>
      <c r="B29" s="615"/>
      <c r="C29" s="5334"/>
      <c r="D29" s="5335"/>
      <c r="E29" s="5335"/>
      <c r="F29" s="5335"/>
      <c r="G29" s="5335"/>
      <c r="H29" s="5335"/>
      <c r="I29" s="5335"/>
      <c r="J29" s="5335"/>
      <c r="K29" s="5335"/>
      <c r="L29" s="5335"/>
      <c r="M29" s="5335"/>
      <c r="N29" s="5335"/>
      <c r="O29" s="5335"/>
      <c r="P29" s="5335"/>
      <c r="Q29" s="5336"/>
      <c r="R29" s="1216"/>
      <c r="S29" s="1210"/>
      <c r="T29" s="1210"/>
      <c r="U29" s="615"/>
      <c r="V29" s="5334"/>
      <c r="W29" s="5335"/>
      <c r="X29" s="5335"/>
      <c r="Y29" s="5335"/>
      <c r="Z29" s="5335"/>
      <c r="AA29" s="5335"/>
      <c r="AB29" s="5335"/>
      <c r="AC29" s="5335"/>
      <c r="AD29" s="5335"/>
      <c r="AE29" s="5335"/>
      <c r="AF29" s="5335"/>
      <c r="AG29" s="5335"/>
      <c r="AH29" s="5335"/>
      <c r="AI29" s="5335"/>
      <c r="AJ29" s="5336"/>
      <c r="AK29" s="1216"/>
      <c r="AL29" s="1210"/>
      <c r="AM29" s="1210"/>
      <c r="AN29" s="615"/>
      <c r="AO29" s="5334"/>
      <c r="AP29" s="5335"/>
      <c r="AQ29" s="5335"/>
      <c r="AR29" s="5335"/>
      <c r="AS29" s="5335"/>
      <c r="AT29" s="5335"/>
      <c r="AU29" s="5335"/>
      <c r="AV29" s="5335"/>
      <c r="AW29" s="5335"/>
      <c r="AX29" s="5335"/>
      <c r="AY29" s="5335"/>
      <c r="AZ29" s="5335"/>
      <c r="BA29" s="5335"/>
      <c r="BB29" s="5335"/>
      <c r="BC29" s="5336"/>
      <c r="BD29" s="1216"/>
      <c r="BE29" s="1210"/>
    </row>
    <row r="30" spans="1:57" ht="12" customHeight="1" thickBot="1" x14ac:dyDescent="0.25">
      <c r="A30" s="1210"/>
      <c r="B30" s="615"/>
      <c r="C30" s="5337"/>
      <c r="D30" s="5338"/>
      <c r="E30" s="5338"/>
      <c r="F30" s="5338"/>
      <c r="G30" s="5338"/>
      <c r="H30" s="5338"/>
      <c r="I30" s="5338"/>
      <c r="J30" s="5338"/>
      <c r="K30" s="5338"/>
      <c r="L30" s="5338"/>
      <c r="M30" s="5338"/>
      <c r="N30" s="5338"/>
      <c r="O30" s="5338"/>
      <c r="P30" s="5338"/>
      <c r="Q30" s="5339"/>
      <c r="R30" s="1216"/>
      <c r="S30" s="1210"/>
      <c r="T30" s="1210"/>
      <c r="U30" s="615"/>
      <c r="V30" s="5337"/>
      <c r="W30" s="5338"/>
      <c r="X30" s="5338"/>
      <c r="Y30" s="5338"/>
      <c r="Z30" s="5338"/>
      <c r="AA30" s="5338"/>
      <c r="AB30" s="5338"/>
      <c r="AC30" s="5338"/>
      <c r="AD30" s="5338"/>
      <c r="AE30" s="5338"/>
      <c r="AF30" s="5338"/>
      <c r="AG30" s="5338"/>
      <c r="AH30" s="5338"/>
      <c r="AI30" s="5338"/>
      <c r="AJ30" s="5339"/>
      <c r="AK30" s="1216"/>
      <c r="AL30" s="1210"/>
      <c r="AM30" s="1210"/>
      <c r="AN30" s="615"/>
      <c r="AO30" s="5337"/>
      <c r="AP30" s="5338"/>
      <c r="AQ30" s="5338"/>
      <c r="AR30" s="5338"/>
      <c r="AS30" s="5338"/>
      <c r="AT30" s="5338"/>
      <c r="AU30" s="5338"/>
      <c r="AV30" s="5338"/>
      <c r="AW30" s="5338"/>
      <c r="AX30" s="5338"/>
      <c r="AY30" s="5338"/>
      <c r="AZ30" s="5338"/>
      <c r="BA30" s="5338"/>
      <c r="BB30" s="5338"/>
      <c r="BC30" s="5339"/>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42"/>
      <c r="D32" s="5343"/>
      <c r="E32" s="5343"/>
      <c r="F32" s="5343"/>
      <c r="G32" s="5343"/>
      <c r="H32" s="1230" t="s">
        <v>1630</v>
      </c>
      <c r="I32" s="1231" t="str">
        <f>IF(C32=0,"",VLOOKUP(C32,'Tablas Magia'!$D$6:$Z$680,3,FALSE))</f>
        <v/>
      </c>
      <c r="J32" s="5344" t="s">
        <v>8162</v>
      </c>
      <c r="K32" s="5344"/>
      <c r="L32" s="5344"/>
      <c r="M32" s="5345" t="str">
        <f>IF(C32=0,"",VLOOKUP(C32,'Tablas Magia'!$D$6:$Z$680,2,FALSE))</f>
        <v/>
      </c>
      <c r="N32" s="5345"/>
      <c r="O32" s="5345"/>
      <c r="P32" s="5345"/>
      <c r="Q32" s="5346"/>
      <c r="R32" s="1216"/>
      <c r="S32" s="1210"/>
      <c r="T32" s="1210"/>
      <c r="U32" s="615"/>
      <c r="V32" s="5342"/>
      <c r="W32" s="5343"/>
      <c r="X32" s="5343"/>
      <c r="Y32" s="5343"/>
      <c r="Z32" s="5343"/>
      <c r="AA32" s="1230" t="s">
        <v>1630</v>
      </c>
      <c r="AB32" s="1231" t="str">
        <f>IF(V32=0,"",VLOOKUP(V32,'Tablas Magia'!$D$6:$Z$680,3,FALSE))</f>
        <v/>
      </c>
      <c r="AC32" s="5344" t="s">
        <v>8162</v>
      </c>
      <c r="AD32" s="5344"/>
      <c r="AE32" s="5344"/>
      <c r="AF32" s="5345" t="str">
        <f>IF(V32=0,"",VLOOKUP(V32,'Tablas Magia'!$D$6:$Z$680,2,FALSE))</f>
        <v/>
      </c>
      <c r="AG32" s="5345"/>
      <c r="AH32" s="5345"/>
      <c r="AI32" s="5345"/>
      <c r="AJ32" s="5346"/>
      <c r="AK32" s="1216"/>
      <c r="AL32" s="1210"/>
      <c r="AM32" s="1210"/>
      <c r="AN32" s="615"/>
      <c r="AO32" s="5342"/>
      <c r="AP32" s="5343"/>
      <c r="AQ32" s="5343"/>
      <c r="AR32" s="5343"/>
      <c r="AS32" s="5343"/>
      <c r="AT32" s="1230" t="s">
        <v>1630</v>
      </c>
      <c r="AU32" s="1231" t="str">
        <f>IF(AO32=0,"",VLOOKUP(AO32,'Tablas Magia'!$D$6:$Z$680,3,FALSE))</f>
        <v/>
      </c>
      <c r="AV32" s="5344" t="s">
        <v>8162</v>
      </c>
      <c r="AW32" s="5344"/>
      <c r="AX32" s="5344"/>
      <c r="AY32" s="5345" t="str">
        <f>IF(AO32=0,"",VLOOKUP(AO32,'Tablas Magia'!$D$6:$Z$680,2,FALSE))</f>
        <v/>
      </c>
      <c r="AZ32" s="5345"/>
      <c r="BA32" s="5345"/>
      <c r="BB32" s="5345"/>
      <c r="BC32" s="5346"/>
      <c r="BD32" s="1216"/>
      <c r="BE32" s="1210"/>
    </row>
    <row r="33" spans="1:57" ht="12" customHeight="1" x14ac:dyDescent="0.2">
      <c r="A33" s="1210"/>
      <c r="B33" s="615"/>
      <c r="C33" s="5340" t="s">
        <v>8163</v>
      </c>
      <c r="D33" s="5341"/>
      <c r="E33" s="1232" t="s">
        <v>8164</v>
      </c>
      <c r="F33" s="1232" t="s">
        <v>1824</v>
      </c>
      <c r="G33" s="1232" t="s">
        <v>3467</v>
      </c>
      <c r="H33" s="1233" t="s">
        <v>2175</v>
      </c>
      <c r="I33" s="5314" t="str">
        <f>IF(C32=0,"",VLOOKUP(C32,'Tablas Magia'!$D$6:$Z$680,5,FALSE))</f>
        <v/>
      </c>
      <c r="J33" s="5314"/>
      <c r="K33" s="5313" t="s">
        <v>8165</v>
      </c>
      <c r="L33" s="5313"/>
      <c r="M33" s="5314" t="str">
        <f>IF(C32=0,"",VLOOKUP(C32,'Tablas Magia'!$D$6:$Z$680,6,FALSE))</f>
        <v/>
      </c>
      <c r="N33" s="5314"/>
      <c r="O33" s="5315" t="s">
        <v>8166</v>
      </c>
      <c r="P33" s="5315"/>
      <c r="Q33" s="1234" t="str">
        <f>IF(C32=0,"",VLOOKUP(C32,'Tablas Magia'!$D$6:$Z$680,4,FALSE))</f>
        <v/>
      </c>
      <c r="R33" s="1216"/>
      <c r="S33" s="1210"/>
      <c r="T33" s="1210"/>
      <c r="U33" s="615"/>
      <c r="V33" s="5340" t="s">
        <v>8163</v>
      </c>
      <c r="W33" s="5341"/>
      <c r="X33" s="1232" t="s">
        <v>8164</v>
      </c>
      <c r="Y33" s="1232" t="s">
        <v>1824</v>
      </c>
      <c r="Z33" s="1232" t="s">
        <v>3467</v>
      </c>
      <c r="AA33" s="1233" t="s">
        <v>2175</v>
      </c>
      <c r="AB33" s="5314" t="str">
        <f>IF(V32=0,"",VLOOKUP(V32,'Tablas Magia'!$D$6:$Z$680,5,FALSE))</f>
        <v/>
      </c>
      <c r="AC33" s="5314"/>
      <c r="AD33" s="5313" t="s">
        <v>8165</v>
      </c>
      <c r="AE33" s="5313"/>
      <c r="AF33" s="5314" t="str">
        <f>IF(V32=0,"",VLOOKUP(V32,'Tablas Magia'!$D$6:$Z$680,6,FALSE))</f>
        <v/>
      </c>
      <c r="AG33" s="5314"/>
      <c r="AH33" s="5315" t="s">
        <v>8166</v>
      </c>
      <c r="AI33" s="5315"/>
      <c r="AJ33" s="1234" t="str">
        <f>IF(V32=0,"",VLOOKUP(V32,'Tablas Magia'!$D$6:$Z$680,4,FALSE))</f>
        <v/>
      </c>
      <c r="AK33" s="1216"/>
      <c r="AL33" s="1210"/>
      <c r="AM33" s="1210"/>
      <c r="AN33" s="615"/>
      <c r="AO33" s="5340" t="s">
        <v>8163</v>
      </c>
      <c r="AP33" s="5341"/>
      <c r="AQ33" s="1232" t="s">
        <v>8164</v>
      </c>
      <c r="AR33" s="1232" t="s">
        <v>1824</v>
      </c>
      <c r="AS33" s="1232" t="s">
        <v>3467</v>
      </c>
      <c r="AT33" s="1233" t="s">
        <v>2175</v>
      </c>
      <c r="AU33" s="5314" t="str">
        <f>IF(AO32=0,"",VLOOKUP(AO32,'Tablas Magia'!$D$6:$Z$680,5,FALSE))</f>
        <v/>
      </c>
      <c r="AV33" s="5314"/>
      <c r="AW33" s="5313" t="s">
        <v>8165</v>
      </c>
      <c r="AX33" s="5313"/>
      <c r="AY33" s="5314" t="str">
        <f>IF(AO32=0,"",VLOOKUP(AO32,'Tablas Magia'!$D$6:$Z$680,6,FALSE))</f>
        <v/>
      </c>
      <c r="AZ33" s="5314"/>
      <c r="BA33" s="5315" t="s">
        <v>8166</v>
      </c>
      <c r="BB33" s="5315"/>
      <c r="BC33" s="1234" t="str">
        <f>IF(AO32=0,"",VLOOKUP(AO32,'Tablas Magia'!$D$6:$Z$680,4,FALSE))</f>
        <v/>
      </c>
      <c r="BD33" s="1216"/>
      <c r="BE33" s="1210"/>
    </row>
    <row r="34" spans="1:57" ht="12" customHeight="1" x14ac:dyDescent="0.2">
      <c r="A34" s="1210"/>
      <c r="B34" s="615"/>
      <c r="C34" s="5316" t="s">
        <v>1677</v>
      </c>
      <c r="D34" s="5317"/>
      <c r="E34" s="1235" t="str">
        <f>IF(C32=0,"",VLOOKUP(C32,'Tablas Magia'!$D$6:$Z$680,7,FALSE))</f>
        <v/>
      </c>
      <c r="F34" s="1235" t="str">
        <f>IF(C32=0,"",VLOOKUP(C32,'Tablas Magia'!$D$6:$Z$680,11,FALSE))</f>
        <v/>
      </c>
      <c r="G34" s="1236" t="str">
        <f>IF(C32=0,"",VLOOKUP(C32,'Tablas Magia'!$D$6:$Z$680,15,FALSE))</f>
        <v/>
      </c>
      <c r="H34" s="5318" t="str">
        <f>IF(C32=0,"",VLOOKUP(C32,'Tablas Magia'!$D$6:$Z$680,19,FALSE))</f>
        <v/>
      </c>
      <c r="I34" s="5319"/>
      <c r="J34" s="5319"/>
      <c r="K34" s="5319"/>
      <c r="L34" s="5319"/>
      <c r="M34" s="5319"/>
      <c r="N34" s="5319"/>
      <c r="O34" s="5319"/>
      <c r="P34" s="5319"/>
      <c r="Q34" s="5320"/>
      <c r="R34" s="1216"/>
      <c r="S34" s="1210"/>
      <c r="T34" s="1210"/>
      <c r="U34" s="615"/>
      <c r="V34" s="5316" t="s">
        <v>1677</v>
      </c>
      <c r="W34" s="5317"/>
      <c r="X34" s="1235" t="str">
        <f>IF(V32=0,"",VLOOKUP(V32,'Tablas Magia'!$D$6:$Z$680,7,FALSE))</f>
        <v/>
      </c>
      <c r="Y34" s="1235" t="str">
        <f>IF(V32=0,"",VLOOKUP(V32,'Tablas Magia'!$D$6:$Z$680,11,FALSE))</f>
        <v/>
      </c>
      <c r="Z34" s="1236" t="str">
        <f>IF(V32=0,"",VLOOKUP(V32,'Tablas Magia'!$D$6:$Z$680,15,FALSE))</f>
        <v/>
      </c>
      <c r="AA34" s="5318" t="str">
        <f>IF(V32=0,"",VLOOKUP(V32,'Tablas Magia'!$D$6:$Z$680,19,FALSE))</f>
        <v/>
      </c>
      <c r="AB34" s="5319"/>
      <c r="AC34" s="5319"/>
      <c r="AD34" s="5319"/>
      <c r="AE34" s="5319"/>
      <c r="AF34" s="5319"/>
      <c r="AG34" s="5319"/>
      <c r="AH34" s="5319"/>
      <c r="AI34" s="5319"/>
      <c r="AJ34" s="5320"/>
      <c r="AK34" s="1216"/>
      <c r="AL34" s="1210"/>
      <c r="AM34" s="1210"/>
      <c r="AN34" s="615"/>
      <c r="AO34" s="5316" t="s">
        <v>1677</v>
      </c>
      <c r="AP34" s="5317"/>
      <c r="AQ34" s="1235" t="str">
        <f>IF(AO32=0,"",VLOOKUP(AO32,'Tablas Magia'!$D$6:$Z$680,7,FALSE))</f>
        <v/>
      </c>
      <c r="AR34" s="1235" t="str">
        <f>IF(AO32=0,"",VLOOKUP(AO32,'Tablas Magia'!$D$6:$Z$680,11,FALSE))</f>
        <v/>
      </c>
      <c r="AS34" s="1236" t="str">
        <f>IF(AO32=0,"",VLOOKUP(AO32,'Tablas Magia'!$D$6:$Z$680,15,FALSE))</f>
        <v/>
      </c>
      <c r="AT34" s="5318" t="str">
        <f>IF(AO32=0,"",VLOOKUP(AO32,'Tablas Magia'!$D$6:$Z$680,19,FALSE))</f>
        <v/>
      </c>
      <c r="AU34" s="5319"/>
      <c r="AV34" s="5319"/>
      <c r="AW34" s="5319"/>
      <c r="AX34" s="5319"/>
      <c r="AY34" s="5319"/>
      <c r="AZ34" s="5319"/>
      <c r="BA34" s="5319"/>
      <c r="BB34" s="5319"/>
      <c r="BC34" s="5320"/>
      <c r="BD34" s="1216"/>
      <c r="BE34" s="1210"/>
    </row>
    <row r="35" spans="1:57" ht="12" customHeight="1" x14ac:dyDescent="0.2">
      <c r="A35" s="1210"/>
      <c r="B35" s="615"/>
      <c r="C35" s="5321" t="s">
        <v>4705</v>
      </c>
      <c r="D35" s="5322"/>
      <c r="E35" s="1237" t="str">
        <f>IF(C32=0,"",VLOOKUP(C32,'Tablas Magia'!$D$6:$Z$680,8,FALSE))</f>
        <v/>
      </c>
      <c r="F35" s="1237" t="str">
        <f>IF(C32=0,"",VLOOKUP(C32,'Tablas Magia'!$D$6:$Z$680,12,FALSE))</f>
        <v/>
      </c>
      <c r="G35" s="1238" t="str">
        <f>IF(C32=0,"",VLOOKUP(C32,'Tablas Magia'!$D$6:$Z$680,16,FALSE))</f>
        <v/>
      </c>
      <c r="H35" s="5323" t="str">
        <f>IF(C32=0,"",VLOOKUP(C32,'Tablas Magia'!$D$6:$Z$680,20,FALSE))</f>
        <v/>
      </c>
      <c r="I35" s="5324"/>
      <c r="J35" s="5324"/>
      <c r="K35" s="5324"/>
      <c r="L35" s="5324"/>
      <c r="M35" s="5324"/>
      <c r="N35" s="5324"/>
      <c r="O35" s="5324"/>
      <c r="P35" s="5324"/>
      <c r="Q35" s="5325"/>
      <c r="R35" s="1216"/>
      <c r="S35" s="1210"/>
      <c r="T35" s="1210"/>
      <c r="U35" s="615"/>
      <c r="V35" s="5321" t="s">
        <v>4705</v>
      </c>
      <c r="W35" s="5322"/>
      <c r="X35" s="1237" t="str">
        <f>IF(V32=0,"",VLOOKUP(V32,'Tablas Magia'!$D$6:$Z$680,8,FALSE))</f>
        <v/>
      </c>
      <c r="Y35" s="1237" t="str">
        <f>IF(V32=0,"",VLOOKUP(V32,'Tablas Magia'!$D$6:$Z$680,12,FALSE))</f>
        <v/>
      </c>
      <c r="Z35" s="1238" t="str">
        <f>IF(V32=0,"",VLOOKUP(V32,'Tablas Magia'!$D$6:$Z$680,16,FALSE))</f>
        <v/>
      </c>
      <c r="AA35" s="5323" t="str">
        <f>IF(V32=0,"",VLOOKUP(V32,'Tablas Magia'!$D$6:$Z$680,20,FALSE))</f>
        <v/>
      </c>
      <c r="AB35" s="5324"/>
      <c r="AC35" s="5324"/>
      <c r="AD35" s="5324"/>
      <c r="AE35" s="5324"/>
      <c r="AF35" s="5324"/>
      <c r="AG35" s="5324"/>
      <c r="AH35" s="5324"/>
      <c r="AI35" s="5324"/>
      <c r="AJ35" s="5325"/>
      <c r="AK35" s="1216"/>
      <c r="AL35" s="1210"/>
      <c r="AM35" s="1210"/>
      <c r="AN35" s="615"/>
      <c r="AO35" s="5321" t="s">
        <v>4705</v>
      </c>
      <c r="AP35" s="5322"/>
      <c r="AQ35" s="1237" t="str">
        <f>IF(AO32=0,"",VLOOKUP(AO32,'Tablas Magia'!$D$6:$Z$680,8,FALSE))</f>
        <v/>
      </c>
      <c r="AR35" s="1237" t="str">
        <f>IF(AO32=0,"",VLOOKUP(AO32,'Tablas Magia'!$D$6:$Z$680,12,FALSE))</f>
        <v/>
      </c>
      <c r="AS35" s="1238" t="str">
        <f>IF(AO32=0,"",VLOOKUP(AO32,'Tablas Magia'!$D$6:$Z$680,16,FALSE))</f>
        <v/>
      </c>
      <c r="AT35" s="5323" t="str">
        <f>IF(AO32=0,"",VLOOKUP(AO32,'Tablas Magia'!$D$6:$Z$680,20,FALSE))</f>
        <v/>
      </c>
      <c r="AU35" s="5324"/>
      <c r="AV35" s="5324"/>
      <c r="AW35" s="5324"/>
      <c r="AX35" s="5324"/>
      <c r="AY35" s="5324"/>
      <c r="AZ35" s="5324"/>
      <c r="BA35" s="5324"/>
      <c r="BB35" s="5324"/>
      <c r="BC35" s="5325"/>
      <c r="BD35" s="1216"/>
      <c r="BE35" s="1210"/>
    </row>
    <row r="36" spans="1:57" ht="12" customHeight="1" x14ac:dyDescent="0.2">
      <c r="A36" s="1210"/>
      <c r="B36" s="615"/>
      <c r="C36" s="5316" t="s">
        <v>4706</v>
      </c>
      <c r="D36" s="5317"/>
      <c r="E36" s="1235" t="str">
        <f>IF(C32=0,"",VLOOKUP(C32,'Tablas Magia'!$D$6:$Z$680,9,FALSE))</f>
        <v/>
      </c>
      <c r="F36" s="1235" t="str">
        <f>IF(C32=0,"",VLOOKUP(C32,'Tablas Magia'!$D$6:$Z$680,13,FALSE))</f>
        <v/>
      </c>
      <c r="G36" s="1236" t="str">
        <f>IF(C32=0,"",VLOOKUP(C32,'Tablas Magia'!$D$6:$Z$680,17,FALSE))</f>
        <v/>
      </c>
      <c r="H36" s="5318" t="str">
        <f>IF(C32=0,"",VLOOKUP(C32,'Tablas Magia'!$D$6:$Z$680,21,FALSE))</f>
        <v/>
      </c>
      <c r="I36" s="5319"/>
      <c r="J36" s="5319"/>
      <c r="K36" s="5319"/>
      <c r="L36" s="5319"/>
      <c r="M36" s="5319"/>
      <c r="N36" s="5319"/>
      <c r="O36" s="5319"/>
      <c r="P36" s="5319"/>
      <c r="Q36" s="5320"/>
      <c r="R36" s="1216"/>
      <c r="S36" s="1210"/>
      <c r="T36" s="1210"/>
      <c r="U36" s="615"/>
      <c r="V36" s="5316" t="s">
        <v>4706</v>
      </c>
      <c r="W36" s="5317"/>
      <c r="X36" s="1235" t="str">
        <f>IF(V32=0,"",VLOOKUP(V32,'Tablas Magia'!$D$6:$Z$680,9,FALSE))</f>
        <v/>
      </c>
      <c r="Y36" s="1235" t="str">
        <f>IF(V32=0,"",VLOOKUP(V32,'Tablas Magia'!$D$6:$Z$680,13,FALSE))</f>
        <v/>
      </c>
      <c r="Z36" s="1236" t="str">
        <f>IF(V32=0,"",VLOOKUP(V32,'Tablas Magia'!$D$6:$Z$680,17,FALSE))</f>
        <v/>
      </c>
      <c r="AA36" s="5318" t="str">
        <f>IF(V32=0,"",VLOOKUP(V32,'Tablas Magia'!$D$6:$Z$680,21,FALSE))</f>
        <v/>
      </c>
      <c r="AB36" s="5319"/>
      <c r="AC36" s="5319"/>
      <c r="AD36" s="5319"/>
      <c r="AE36" s="5319"/>
      <c r="AF36" s="5319"/>
      <c r="AG36" s="5319"/>
      <c r="AH36" s="5319"/>
      <c r="AI36" s="5319"/>
      <c r="AJ36" s="5320"/>
      <c r="AK36" s="1216"/>
      <c r="AL36" s="1210"/>
      <c r="AM36" s="1210"/>
      <c r="AN36" s="615"/>
      <c r="AO36" s="5316" t="s">
        <v>4706</v>
      </c>
      <c r="AP36" s="5317"/>
      <c r="AQ36" s="1235" t="str">
        <f>IF(AO32=0,"",VLOOKUP(AO32,'Tablas Magia'!$D$6:$Z$680,9,FALSE))</f>
        <v/>
      </c>
      <c r="AR36" s="1235" t="str">
        <f>IF(AO32=0,"",VLOOKUP(AO32,'Tablas Magia'!$D$6:$Z$680,13,FALSE))</f>
        <v/>
      </c>
      <c r="AS36" s="1236" t="str">
        <f>IF(AO32=0,"",VLOOKUP(AO32,'Tablas Magia'!$D$6:$Z$680,17,FALSE))</f>
        <v/>
      </c>
      <c r="AT36" s="5318" t="str">
        <f>IF(AO32=0,"",VLOOKUP(AO32,'Tablas Magia'!$D$6:$Z$680,21,FALSE))</f>
        <v/>
      </c>
      <c r="AU36" s="5319"/>
      <c r="AV36" s="5319"/>
      <c r="AW36" s="5319"/>
      <c r="AX36" s="5319"/>
      <c r="AY36" s="5319"/>
      <c r="AZ36" s="5319"/>
      <c r="BA36" s="5319"/>
      <c r="BB36" s="5319"/>
      <c r="BC36" s="5320"/>
      <c r="BD36" s="1216"/>
      <c r="BE36" s="1210"/>
    </row>
    <row r="37" spans="1:57" ht="12" customHeight="1" thickBot="1" x14ac:dyDescent="0.25">
      <c r="A37" s="1210"/>
      <c r="B37" s="615"/>
      <c r="C37" s="5326" t="s">
        <v>4707</v>
      </c>
      <c r="D37" s="5327"/>
      <c r="E37" s="1239" t="str">
        <f>IF(C32=0,"",VLOOKUP(C32,'Tablas Magia'!$D$6:$Z$680,10,FALSE))</f>
        <v/>
      </c>
      <c r="F37" s="1239" t="str">
        <f>IF(C32=0,"",VLOOKUP(C32,'Tablas Magia'!$D$6:$Z$680,14,FALSE))</f>
        <v/>
      </c>
      <c r="G37" s="1240" t="str">
        <f>IF(C32=0,"",VLOOKUP(C32,'Tablas Magia'!$D$6:$Z$680,18,FALSE))</f>
        <v/>
      </c>
      <c r="H37" s="5328" t="str">
        <f>IF(C32=0,"",VLOOKUP(C32,'Tablas Magia'!$D$6:$Z$680,22,FALSE))</f>
        <v/>
      </c>
      <c r="I37" s="5329"/>
      <c r="J37" s="5329"/>
      <c r="K37" s="5329"/>
      <c r="L37" s="5329"/>
      <c r="M37" s="5329"/>
      <c r="N37" s="5329"/>
      <c r="O37" s="5329"/>
      <c r="P37" s="5329"/>
      <c r="Q37" s="5330"/>
      <c r="R37" s="1216"/>
      <c r="S37" s="1210"/>
      <c r="T37" s="1210"/>
      <c r="U37" s="615"/>
      <c r="V37" s="5326" t="s">
        <v>4707</v>
      </c>
      <c r="W37" s="5327"/>
      <c r="X37" s="1239" t="str">
        <f>IF(V32=0,"",VLOOKUP(V32,'Tablas Magia'!$D$6:$Z$680,10,FALSE))</f>
        <v/>
      </c>
      <c r="Y37" s="1239" t="str">
        <f>IF(V32=0,"",VLOOKUP(V32,'Tablas Magia'!$D$6:$Z$680,14,FALSE))</f>
        <v/>
      </c>
      <c r="Z37" s="1240" t="str">
        <f>IF(V32=0,"",VLOOKUP(V32,'Tablas Magia'!$D$6:$Z$680,18,FALSE))</f>
        <v/>
      </c>
      <c r="AA37" s="5328" t="str">
        <f>IF(V32=0,"",VLOOKUP(V32,'Tablas Magia'!$D$6:$Z$680,22,FALSE))</f>
        <v/>
      </c>
      <c r="AB37" s="5329"/>
      <c r="AC37" s="5329"/>
      <c r="AD37" s="5329"/>
      <c r="AE37" s="5329"/>
      <c r="AF37" s="5329"/>
      <c r="AG37" s="5329"/>
      <c r="AH37" s="5329"/>
      <c r="AI37" s="5329"/>
      <c r="AJ37" s="5330"/>
      <c r="AK37" s="1216"/>
      <c r="AL37" s="1210"/>
      <c r="AM37" s="1210"/>
      <c r="AN37" s="615"/>
      <c r="AO37" s="5326" t="s">
        <v>4707</v>
      </c>
      <c r="AP37" s="5327"/>
      <c r="AQ37" s="1239" t="str">
        <f>IF(AO32=0,"",VLOOKUP(AO32,'Tablas Magia'!$D$6:$Z$680,10,FALSE))</f>
        <v/>
      </c>
      <c r="AR37" s="1239" t="str">
        <f>IF(AO32=0,"",VLOOKUP(AO32,'Tablas Magia'!$D$6:$Z$680,14,FALSE))</f>
        <v/>
      </c>
      <c r="AS37" s="1240" t="str">
        <f>IF(AO32=0,"",VLOOKUP(AO32,'Tablas Magia'!$D$6:$Z$680,18,FALSE))</f>
        <v/>
      </c>
      <c r="AT37" s="5328" t="str">
        <f>IF(AO32=0,"",VLOOKUP(AO32,'Tablas Magia'!$D$6:$Z$680,22,FALSE))</f>
        <v/>
      </c>
      <c r="AU37" s="5329"/>
      <c r="AV37" s="5329"/>
      <c r="AW37" s="5329"/>
      <c r="AX37" s="5329"/>
      <c r="AY37" s="5329"/>
      <c r="AZ37" s="5329"/>
      <c r="BA37" s="5329"/>
      <c r="BB37" s="5329"/>
      <c r="BC37" s="5330"/>
      <c r="BD37" s="1216"/>
      <c r="BE37" s="1210"/>
    </row>
    <row r="38" spans="1:57" ht="12" customHeight="1" x14ac:dyDescent="0.2">
      <c r="A38" s="1210"/>
      <c r="B38" s="615"/>
      <c r="C38" s="5331" t="str">
        <f>IF(C32=0,"",VLOOKUP(C32,'Tablas Magia'!$D$6:$Z$680,23,FALSE))</f>
        <v/>
      </c>
      <c r="D38" s="5332"/>
      <c r="E38" s="5332"/>
      <c r="F38" s="5332"/>
      <c r="G38" s="5332"/>
      <c r="H38" s="5332"/>
      <c r="I38" s="5332"/>
      <c r="J38" s="5332"/>
      <c r="K38" s="5332"/>
      <c r="L38" s="5332"/>
      <c r="M38" s="5332"/>
      <c r="N38" s="5332"/>
      <c r="O38" s="5332"/>
      <c r="P38" s="5332"/>
      <c r="Q38" s="5333"/>
      <c r="R38" s="1216"/>
      <c r="S38" s="1210"/>
      <c r="T38" s="1210"/>
      <c r="U38" s="615"/>
      <c r="V38" s="5331" t="str">
        <f>IF(V32=0,"",VLOOKUP(V32,'Tablas Magia'!$D$6:$Z$680,23,FALSE))</f>
        <v/>
      </c>
      <c r="W38" s="5332"/>
      <c r="X38" s="5332"/>
      <c r="Y38" s="5332"/>
      <c r="Z38" s="5332"/>
      <c r="AA38" s="5332"/>
      <c r="AB38" s="5332"/>
      <c r="AC38" s="5332"/>
      <c r="AD38" s="5332"/>
      <c r="AE38" s="5332"/>
      <c r="AF38" s="5332"/>
      <c r="AG38" s="5332"/>
      <c r="AH38" s="5332"/>
      <c r="AI38" s="5332"/>
      <c r="AJ38" s="5333"/>
      <c r="AK38" s="1216"/>
      <c r="AL38" s="1210"/>
      <c r="AM38" s="1210"/>
      <c r="AN38" s="615"/>
      <c r="AO38" s="5331" t="str">
        <f>IF(AO32=0,"",VLOOKUP(AO32,'Tablas Magia'!$D$6:$Z$680,23,FALSE))</f>
        <v/>
      </c>
      <c r="AP38" s="5332"/>
      <c r="AQ38" s="5332"/>
      <c r="AR38" s="5332"/>
      <c r="AS38" s="5332"/>
      <c r="AT38" s="5332"/>
      <c r="AU38" s="5332"/>
      <c r="AV38" s="5332"/>
      <c r="AW38" s="5332"/>
      <c r="AX38" s="5332"/>
      <c r="AY38" s="5332"/>
      <c r="AZ38" s="5332"/>
      <c r="BA38" s="5332"/>
      <c r="BB38" s="5332"/>
      <c r="BC38" s="5333"/>
      <c r="BD38" s="1216"/>
      <c r="BE38" s="1210"/>
    </row>
    <row r="39" spans="1:57" ht="12" customHeight="1" x14ac:dyDescent="0.2">
      <c r="A39" s="1210"/>
      <c r="B39" s="615"/>
      <c r="C39" s="5334"/>
      <c r="D39" s="5335"/>
      <c r="E39" s="5335"/>
      <c r="F39" s="5335"/>
      <c r="G39" s="5335"/>
      <c r="H39" s="5335"/>
      <c r="I39" s="5335"/>
      <c r="J39" s="5335"/>
      <c r="K39" s="5335"/>
      <c r="L39" s="5335"/>
      <c r="M39" s="5335"/>
      <c r="N39" s="5335"/>
      <c r="O39" s="5335"/>
      <c r="P39" s="5335"/>
      <c r="Q39" s="5336"/>
      <c r="R39" s="1216"/>
      <c r="S39" s="1210"/>
      <c r="T39" s="1210"/>
      <c r="U39" s="615"/>
      <c r="V39" s="5334"/>
      <c r="W39" s="5335"/>
      <c r="X39" s="5335"/>
      <c r="Y39" s="5335"/>
      <c r="Z39" s="5335"/>
      <c r="AA39" s="5335"/>
      <c r="AB39" s="5335"/>
      <c r="AC39" s="5335"/>
      <c r="AD39" s="5335"/>
      <c r="AE39" s="5335"/>
      <c r="AF39" s="5335"/>
      <c r="AG39" s="5335"/>
      <c r="AH39" s="5335"/>
      <c r="AI39" s="5335"/>
      <c r="AJ39" s="5336"/>
      <c r="AK39" s="1216"/>
      <c r="AL39" s="1210"/>
      <c r="AM39" s="1210"/>
      <c r="AN39" s="615"/>
      <c r="AO39" s="5334"/>
      <c r="AP39" s="5335"/>
      <c r="AQ39" s="5335"/>
      <c r="AR39" s="5335"/>
      <c r="AS39" s="5335"/>
      <c r="AT39" s="5335"/>
      <c r="AU39" s="5335"/>
      <c r="AV39" s="5335"/>
      <c r="AW39" s="5335"/>
      <c r="AX39" s="5335"/>
      <c r="AY39" s="5335"/>
      <c r="AZ39" s="5335"/>
      <c r="BA39" s="5335"/>
      <c r="BB39" s="5335"/>
      <c r="BC39" s="5336"/>
      <c r="BD39" s="1216"/>
      <c r="BE39" s="1210"/>
    </row>
    <row r="40" spans="1:57" ht="12" customHeight="1" x14ac:dyDescent="0.2">
      <c r="A40" s="1210"/>
      <c r="B40" s="615"/>
      <c r="C40" s="5334"/>
      <c r="D40" s="5335"/>
      <c r="E40" s="5335"/>
      <c r="F40" s="5335"/>
      <c r="G40" s="5335"/>
      <c r="H40" s="5335"/>
      <c r="I40" s="5335"/>
      <c r="J40" s="5335"/>
      <c r="K40" s="5335"/>
      <c r="L40" s="5335"/>
      <c r="M40" s="5335"/>
      <c r="N40" s="5335"/>
      <c r="O40" s="5335"/>
      <c r="P40" s="5335"/>
      <c r="Q40" s="5336"/>
      <c r="R40" s="1216"/>
      <c r="S40" s="1210"/>
      <c r="T40" s="1210"/>
      <c r="U40" s="615"/>
      <c r="V40" s="5334"/>
      <c r="W40" s="5335"/>
      <c r="X40" s="5335"/>
      <c r="Y40" s="5335"/>
      <c r="Z40" s="5335"/>
      <c r="AA40" s="5335"/>
      <c r="AB40" s="5335"/>
      <c r="AC40" s="5335"/>
      <c r="AD40" s="5335"/>
      <c r="AE40" s="5335"/>
      <c r="AF40" s="5335"/>
      <c r="AG40" s="5335"/>
      <c r="AH40" s="5335"/>
      <c r="AI40" s="5335"/>
      <c r="AJ40" s="5336"/>
      <c r="AK40" s="1216"/>
      <c r="AL40" s="1210"/>
      <c r="AM40" s="1210"/>
      <c r="AN40" s="615"/>
      <c r="AO40" s="5334"/>
      <c r="AP40" s="5335"/>
      <c r="AQ40" s="5335"/>
      <c r="AR40" s="5335"/>
      <c r="AS40" s="5335"/>
      <c r="AT40" s="5335"/>
      <c r="AU40" s="5335"/>
      <c r="AV40" s="5335"/>
      <c r="AW40" s="5335"/>
      <c r="AX40" s="5335"/>
      <c r="AY40" s="5335"/>
      <c r="AZ40" s="5335"/>
      <c r="BA40" s="5335"/>
      <c r="BB40" s="5335"/>
      <c r="BC40" s="5336"/>
      <c r="BD40" s="1216"/>
      <c r="BE40" s="1210"/>
    </row>
    <row r="41" spans="1:57" ht="12" customHeight="1" thickBot="1" x14ac:dyDescent="0.25">
      <c r="A41" s="1210"/>
      <c r="B41" s="615"/>
      <c r="C41" s="5337"/>
      <c r="D41" s="5338"/>
      <c r="E41" s="5338"/>
      <c r="F41" s="5338"/>
      <c r="G41" s="5338"/>
      <c r="H41" s="5338"/>
      <c r="I41" s="5338"/>
      <c r="J41" s="5338"/>
      <c r="K41" s="5338"/>
      <c r="L41" s="5338"/>
      <c r="M41" s="5338"/>
      <c r="N41" s="5338"/>
      <c r="O41" s="5338"/>
      <c r="P41" s="5338"/>
      <c r="Q41" s="5339"/>
      <c r="R41" s="1216"/>
      <c r="S41" s="1210"/>
      <c r="T41" s="1210"/>
      <c r="U41" s="615"/>
      <c r="V41" s="5337"/>
      <c r="W41" s="5338"/>
      <c r="X41" s="5338"/>
      <c r="Y41" s="5338"/>
      <c r="Z41" s="5338"/>
      <c r="AA41" s="5338"/>
      <c r="AB41" s="5338"/>
      <c r="AC41" s="5338"/>
      <c r="AD41" s="5338"/>
      <c r="AE41" s="5338"/>
      <c r="AF41" s="5338"/>
      <c r="AG41" s="5338"/>
      <c r="AH41" s="5338"/>
      <c r="AI41" s="5338"/>
      <c r="AJ41" s="5339"/>
      <c r="AK41" s="1216"/>
      <c r="AL41" s="1210"/>
      <c r="AM41" s="1210"/>
      <c r="AN41" s="615"/>
      <c r="AO41" s="5337"/>
      <c r="AP41" s="5338"/>
      <c r="AQ41" s="5338"/>
      <c r="AR41" s="5338"/>
      <c r="AS41" s="5338"/>
      <c r="AT41" s="5338"/>
      <c r="AU41" s="5338"/>
      <c r="AV41" s="5338"/>
      <c r="AW41" s="5338"/>
      <c r="AX41" s="5338"/>
      <c r="AY41" s="5338"/>
      <c r="AZ41" s="5338"/>
      <c r="BA41" s="5338"/>
      <c r="BB41" s="5338"/>
      <c r="BC41" s="5339"/>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42"/>
      <c r="D43" s="5343"/>
      <c r="E43" s="5343"/>
      <c r="F43" s="5343"/>
      <c r="G43" s="5343"/>
      <c r="H43" s="1230" t="s">
        <v>1630</v>
      </c>
      <c r="I43" s="1231" t="str">
        <f>IF(C43=0,"",VLOOKUP(C43,'Tablas Magia'!$D$6:$Z$680,3,FALSE))</f>
        <v/>
      </c>
      <c r="J43" s="5344" t="s">
        <v>8162</v>
      </c>
      <c r="K43" s="5344"/>
      <c r="L43" s="5344"/>
      <c r="M43" s="5345" t="str">
        <f>IF(C43=0,"",VLOOKUP(C43,'Tablas Magia'!$D$6:$Z$680,2,FALSE))</f>
        <v/>
      </c>
      <c r="N43" s="5345"/>
      <c r="O43" s="5345"/>
      <c r="P43" s="5345"/>
      <c r="Q43" s="5346"/>
      <c r="R43" s="1216"/>
      <c r="S43" s="1210"/>
      <c r="T43" s="1210"/>
      <c r="U43" s="615"/>
      <c r="V43" s="5342"/>
      <c r="W43" s="5343"/>
      <c r="X43" s="5343"/>
      <c r="Y43" s="5343"/>
      <c r="Z43" s="5343"/>
      <c r="AA43" s="1230" t="s">
        <v>1630</v>
      </c>
      <c r="AB43" s="1231" t="str">
        <f>IF(V43=0,"",VLOOKUP(V43,'Tablas Magia'!$D$6:$Z$680,3,FALSE))</f>
        <v/>
      </c>
      <c r="AC43" s="5344" t="s">
        <v>8162</v>
      </c>
      <c r="AD43" s="5344"/>
      <c r="AE43" s="5344"/>
      <c r="AF43" s="5345" t="str">
        <f>IF(V43=0,"",VLOOKUP(V43,'Tablas Magia'!$D$6:$Z$680,2,FALSE))</f>
        <v/>
      </c>
      <c r="AG43" s="5345"/>
      <c r="AH43" s="5345"/>
      <c r="AI43" s="5345"/>
      <c r="AJ43" s="5346"/>
      <c r="AK43" s="1216"/>
      <c r="AL43" s="1210"/>
      <c r="AM43" s="1210"/>
      <c r="AN43" s="615"/>
      <c r="AO43" s="5342"/>
      <c r="AP43" s="5343"/>
      <c r="AQ43" s="5343"/>
      <c r="AR43" s="5343"/>
      <c r="AS43" s="5343"/>
      <c r="AT43" s="1230" t="s">
        <v>1630</v>
      </c>
      <c r="AU43" s="1231" t="str">
        <f>IF(AO43=0,"",VLOOKUP(AO43,'Tablas Magia'!$D$6:$Z$680,3,FALSE))</f>
        <v/>
      </c>
      <c r="AV43" s="5344" t="s">
        <v>8162</v>
      </c>
      <c r="AW43" s="5344"/>
      <c r="AX43" s="5344"/>
      <c r="AY43" s="5345" t="str">
        <f>IF(AO43=0,"",VLOOKUP(AO43,'Tablas Magia'!$D$6:$Z$680,2,FALSE))</f>
        <v/>
      </c>
      <c r="AZ43" s="5345"/>
      <c r="BA43" s="5345"/>
      <c r="BB43" s="5345"/>
      <c r="BC43" s="5346"/>
      <c r="BD43" s="1216"/>
      <c r="BE43" s="1210"/>
    </row>
    <row r="44" spans="1:57" ht="12" customHeight="1" x14ac:dyDescent="0.2">
      <c r="A44" s="1210"/>
      <c r="B44" s="615"/>
      <c r="C44" s="5340" t="s">
        <v>8163</v>
      </c>
      <c r="D44" s="5341"/>
      <c r="E44" s="1232" t="s">
        <v>8164</v>
      </c>
      <c r="F44" s="1232" t="s">
        <v>1824</v>
      </c>
      <c r="G44" s="1232" t="s">
        <v>3467</v>
      </c>
      <c r="H44" s="1233" t="s">
        <v>2175</v>
      </c>
      <c r="I44" s="5314" t="str">
        <f>IF(C43=0,"",VLOOKUP(C43,'Tablas Magia'!$D$6:$Z$680,5,FALSE))</f>
        <v/>
      </c>
      <c r="J44" s="5314"/>
      <c r="K44" s="5313" t="s">
        <v>8165</v>
      </c>
      <c r="L44" s="5313"/>
      <c r="M44" s="5314" t="str">
        <f>IF(C43=0,"",VLOOKUP(C43,'Tablas Magia'!$D$6:$Z$680,6,FALSE))</f>
        <v/>
      </c>
      <c r="N44" s="5314"/>
      <c r="O44" s="5315" t="s">
        <v>8166</v>
      </c>
      <c r="P44" s="5315"/>
      <c r="Q44" s="1234" t="str">
        <f>IF(C43=0,"",VLOOKUP(C43,'Tablas Magia'!$D$6:$Z$680,4,FALSE))</f>
        <v/>
      </c>
      <c r="R44" s="1216"/>
      <c r="S44" s="1210"/>
      <c r="T44" s="1210"/>
      <c r="U44" s="615"/>
      <c r="V44" s="5340" t="s">
        <v>8163</v>
      </c>
      <c r="W44" s="5341"/>
      <c r="X44" s="1232" t="s">
        <v>8164</v>
      </c>
      <c r="Y44" s="1232" t="s">
        <v>1824</v>
      </c>
      <c r="Z44" s="1232" t="s">
        <v>3467</v>
      </c>
      <c r="AA44" s="1233" t="s">
        <v>2175</v>
      </c>
      <c r="AB44" s="5314" t="str">
        <f>IF(V43=0,"",VLOOKUP(V43,'Tablas Magia'!$D$6:$Z$680,5,FALSE))</f>
        <v/>
      </c>
      <c r="AC44" s="5314"/>
      <c r="AD44" s="5313" t="s">
        <v>8165</v>
      </c>
      <c r="AE44" s="5313"/>
      <c r="AF44" s="5314" t="str">
        <f>IF(V43=0,"",VLOOKUP(V43,'Tablas Magia'!$D$6:$Z$680,6,FALSE))</f>
        <v/>
      </c>
      <c r="AG44" s="5314"/>
      <c r="AH44" s="5315" t="s">
        <v>8166</v>
      </c>
      <c r="AI44" s="5315"/>
      <c r="AJ44" s="1234" t="str">
        <f>IF(V43=0,"",VLOOKUP(V43,'Tablas Magia'!$D$6:$Z$680,4,FALSE))</f>
        <v/>
      </c>
      <c r="AK44" s="1216"/>
      <c r="AL44" s="1210"/>
      <c r="AM44" s="1210"/>
      <c r="AN44" s="615"/>
      <c r="AO44" s="5340" t="s">
        <v>8163</v>
      </c>
      <c r="AP44" s="5341"/>
      <c r="AQ44" s="1232" t="s">
        <v>8164</v>
      </c>
      <c r="AR44" s="1232" t="s">
        <v>1824</v>
      </c>
      <c r="AS44" s="1232" t="s">
        <v>3467</v>
      </c>
      <c r="AT44" s="1233" t="s">
        <v>2175</v>
      </c>
      <c r="AU44" s="5314" t="str">
        <f>IF(AO43=0,"",VLOOKUP(AO43,'Tablas Magia'!$D$6:$Z$680,5,FALSE))</f>
        <v/>
      </c>
      <c r="AV44" s="5314"/>
      <c r="AW44" s="5313" t="s">
        <v>8165</v>
      </c>
      <c r="AX44" s="5313"/>
      <c r="AY44" s="5314" t="str">
        <f>IF(AO43=0,"",VLOOKUP(AO43,'Tablas Magia'!$D$6:$Z$680,6,FALSE))</f>
        <v/>
      </c>
      <c r="AZ44" s="5314"/>
      <c r="BA44" s="5315" t="s">
        <v>8166</v>
      </c>
      <c r="BB44" s="5315"/>
      <c r="BC44" s="1234" t="str">
        <f>IF(AO43=0,"",VLOOKUP(AO43,'Tablas Magia'!$D$6:$Z$680,4,FALSE))</f>
        <v/>
      </c>
      <c r="BD44" s="1216"/>
      <c r="BE44" s="1210"/>
    </row>
    <row r="45" spans="1:57" ht="12" customHeight="1" x14ac:dyDescent="0.2">
      <c r="A45" s="1210"/>
      <c r="B45" s="615"/>
      <c r="C45" s="5316" t="s">
        <v>1677</v>
      </c>
      <c r="D45" s="5317"/>
      <c r="E45" s="1235" t="str">
        <f>IF(C43=0,"",VLOOKUP(C43,'Tablas Magia'!$D$6:$Z$680,7,FALSE))</f>
        <v/>
      </c>
      <c r="F45" s="1235" t="str">
        <f>IF(C43=0,"",VLOOKUP(C43,'Tablas Magia'!$D$6:$Z$680,11,FALSE))</f>
        <v/>
      </c>
      <c r="G45" s="1236" t="str">
        <f>IF(C43=0,"",VLOOKUP(C43,'Tablas Magia'!$D$6:$Z$680,15,FALSE))</f>
        <v/>
      </c>
      <c r="H45" s="5318" t="str">
        <f>IF(C43=0,"",VLOOKUP(C43,'Tablas Magia'!$D$6:$Z$680,19,FALSE))</f>
        <v/>
      </c>
      <c r="I45" s="5319"/>
      <c r="J45" s="5319"/>
      <c r="K45" s="5319"/>
      <c r="L45" s="5319"/>
      <c r="M45" s="5319"/>
      <c r="N45" s="5319"/>
      <c r="O45" s="5319"/>
      <c r="P45" s="5319"/>
      <c r="Q45" s="5320"/>
      <c r="R45" s="1216"/>
      <c r="S45" s="1210"/>
      <c r="T45" s="1210"/>
      <c r="U45" s="615"/>
      <c r="V45" s="5316" t="s">
        <v>1677</v>
      </c>
      <c r="W45" s="5317"/>
      <c r="X45" s="1235" t="str">
        <f>IF(V43=0,"",VLOOKUP(V43,'Tablas Magia'!$D$6:$Z$680,7,FALSE))</f>
        <v/>
      </c>
      <c r="Y45" s="1235" t="str">
        <f>IF(V43=0,"",VLOOKUP(V43,'Tablas Magia'!$D$6:$Z$680,11,FALSE))</f>
        <v/>
      </c>
      <c r="Z45" s="1236" t="str">
        <f>IF(V43=0,"",VLOOKUP(V43,'Tablas Magia'!$D$6:$Z$680,15,FALSE))</f>
        <v/>
      </c>
      <c r="AA45" s="5318" t="str">
        <f>IF(V43=0,"",VLOOKUP(V43,'Tablas Magia'!$D$6:$Z$680,19,FALSE))</f>
        <v/>
      </c>
      <c r="AB45" s="5319"/>
      <c r="AC45" s="5319"/>
      <c r="AD45" s="5319"/>
      <c r="AE45" s="5319"/>
      <c r="AF45" s="5319"/>
      <c r="AG45" s="5319"/>
      <c r="AH45" s="5319"/>
      <c r="AI45" s="5319"/>
      <c r="AJ45" s="5320"/>
      <c r="AK45" s="1216"/>
      <c r="AL45" s="1210"/>
      <c r="AM45" s="1210"/>
      <c r="AN45" s="615"/>
      <c r="AO45" s="5316" t="s">
        <v>1677</v>
      </c>
      <c r="AP45" s="5317"/>
      <c r="AQ45" s="1235" t="str">
        <f>IF(AO43=0,"",VLOOKUP(AO43,'Tablas Magia'!$D$6:$Z$680,7,FALSE))</f>
        <v/>
      </c>
      <c r="AR45" s="1235" t="str">
        <f>IF(AO43=0,"",VLOOKUP(AO43,'Tablas Magia'!$D$6:$Z$680,11,FALSE))</f>
        <v/>
      </c>
      <c r="AS45" s="1236" t="str">
        <f>IF(AO43=0,"",VLOOKUP(AO43,'Tablas Magia'!$D$6:$Z$680,15,FALSE))</f>
        <v/>
      </c>
      <c r="AT45" s="5318" t="str">
        <f>IF(AO43=0,"",VLOOKUP(AO43,'Tablas Magia'!$D$6:$Z$680,19,FALSE))</f>
        <v/>
      </c>
      <c r="AU45" s="5319"/>
      <c r="AV45" s="5319"/>
      <c r="AW45" s="5319"/>
      <c r="AX45" s="5319"/>
      <c r="AY45" s="5319"/>
      <c r="AZ45" s="5319"/>
      <c r="BA45" s="5319"/>
      <c r="BB45" s="5319"/>
      <c r="BC45" s="5320"/>
      <c r="BD45" s="1216"/>
      <c r="BE45" s="1210"/>
    </row>
    <row r="46" spans="1:57" ht="12" customHeight="1" x14ac:dyDescent="0.2">
      <c r="A46" s="1210"/>
      <c r="B46" s="615"/>
      <c r="C46" s="5321" t="s">
        <v>4705</v>
      </c>
      <c r="D46" s="5322"/>
      <c r="E46" s="1237" t="str">
        <f>IF(C43=0,"",VLOOKUP(C43,'Tablas Magia'!$D$6:$Z$680,8,FALSE))</f>
        <v/>
      </c>
      <c r="F46" s="1237" t="str">
        <f>IF(C43=0,"",VLOOKUP(C43,'Tablas Magia'!$D$6:$Z$680,12,FALSE))</f>
        <v/>
      </c>
      <c r="G46" s="1238" t="str">
        <f>IF(C43=0,"",VLOOKUP(C43,'Tablas Magia'!$D$6:$Z$680,16,FALSE))</f>
        <v/>
      </c>
      <c r="H46" s="5323" t="str">
        <f>IF(C43=0,"",VLOOKUP(C43,'Tablas Magia'!$D$6:$Z$680,20,FALSE))</f>
        <v/>
      </c>
      <c r="I46" s="5324"/>
      <c r="J46" s="5324"/>
      <c r="K46" s="5324"/>
      <c r="L46" s="5324"/>
      <c r="M46" s="5324"/>
      <c r="N46" s="5324"/>
      <c r="O46" s="5324"/>
      <c r="P46" s="5324"/>
      <c r="Q46" s="5325"/>
      <c r="R46" s="1216"/>
      <c r="S46" s="1210"/>
      <c r="T46" s="1210"/>
      <c r="U46" s="615"/>
      <c r="V46" s="5321" t="s">
        <v>4705</v>
      </c>
      <c r="W46" s="5322"/>
      <c r="X46" s="1237" t="str">
        <f>IF(V43=0,"",VLOOKUP(V43,'Tablas Magia'!$D$6:$Z$680,8,FALSE))</f>
        <v/>
      </c>
      <c r="Y46" s="1237" t="str">
        <f>IF(V43=0,"",VLOOKUP(V43,'Tablas Magia'!$D$6:$Z$680,12,FALSE))</f>
        <v/>
      </c>
      <c r="Z46" s="1238" t="str">
        <f>IF(V43=0,"",VLOOKUP(V43,'Tablas Magia'!$D$6:$Z$680,16,FALSE))</f>
        <v/>
      </c>
      <c r="AA46" s="5323" t="str">
        <f>IF(V43=0,"",VLOOKUP(V43,'Tablas Magia'!$D$6:$Z$680,20,FALSE))</f>
        <v/>
      </c>
      <c r="AB46" s="5324"/>
      <c r="AC46" s="5324"/>
      <c r="AD46" s="5324"/>
      <c r="AE46" s="5324"/>
      <c r="AF46" s="5324"/>
      <c r="AG46" s="5324"/>
      <c r="AH46" s="5324"/>
      <c r="AI46" s="5324"/>
      <c r="AJ46" s="5325"/>
      <c r="AK46" s="1216"/>
      <c r="AL46" s="1210"/>
      <c r="AM46" s="1210"/>
      <c r="AN46" s="615"/>
      <c r="AO46" s="5321" t="s">
        <v>4705</v>
      </c>
      <c r="AP46" s="5322"/>
      <c r="AQ46" s="1237" t="str">
        <f>IF(AO43=0,"",VLOOKUP(AO43,'Tablas Magia'!$D$6:$Z$680,8,FALSE))</f>
        <v/>
      </c>
      <c r="AR46" s="1237" t="str">
        <f>IF(AO43=0,"",VLOOKUP(AO43,'Tablas Magia'!$D$6:$Z$680,12,FALSE))</f>
        <v/>
      </c>
      <c r="AS46" s="1238" t="str">
        <f>IF(AO43=0,"",VLOOKUP(AO43,'Tablas Magia'!$D$6:$Z$680,16,FALSE))</f>
        <v/>
      </c>
      <c r="AT46" s="5323" t="str">
        <f>IF(AO43=0,"",VLOOKUP(AO43,'Tablas Magia'!$D$6:$Z$680,20,FALSE))</f>
        <v/>
      </c>
      <c r="AU46" s="5324"/>
      <c r="AV46" s="5324"/>
      <c r="AW46" s="5324"/>
      <c r="AX46" s="5324"/>
      <c r="AY46" s="5324"/>
      <c r="AZ46" s="5324"/>
      <c r="BA46" s="5324"/>
      <c r="BB46" s="5324"/>
      <c r="BC46" s="5325"/>
      <c r="BD46" s="1216"/>
      <c r="BE46" s="1210"/>
    </row>
    <row r="47" spans="1:57" ht="12" customHeight="1" x14ac:dyDescent="0.2">
      <c r="A47" s="1210"/>
      <c r="B47" s="615"/>
      <c r="C47" s="5316" t="s">
        <v>4706</v>
      </c>
      <c r="D47" s="5317"/>
      <c r="E47" s="1235" t="str">
        <f>IF(C43=0,"",VLOOKUP(C43,'Tablas Magia'!$D$6:$Z$680,9,FALSE))</f>
        <v/>
      </c>
      <c r="F47" s="1235" t="str">
        <f>IF(C43=0,"",VLOOKUP(C43,'Tablas Magia'!$D$6:$Z$680,13,FALSE))</f>
        <v/>
      </c>
      <c r="G47" s="1236" t="str">
        <f>IF(C43=0,"",VLOOKUP(C43,'Tablas Magia'!$D$6:$Z$680,17,FALSE))</f>
        <v/>
      </c>
      <c r="H47" s="5318" t="str">
        <f>IF(C43=0,"",VLOOKUP(C43,'Tablas Magia'!$D$6:$Z$680,21,FALSE))</f>
        <v/>
      </c>
      <c r="I47" s="5319"/>
      <c r="J47" s="5319"/>
      <c r="K47" s="5319"/>
      <c r="L47" s="5319"/>
      <c r="M47" s="5319"/>
      <c r="N47" s="5319"/>
      <c r="O47" s="5319"/>
      <c r="P47" s="5319"/>
      <c r="Q47" s="5320"/>
      <c r="R47" s="1216"/>
      <c r="S47" s="1210"/>
      <c r="T47" s="1210"/>
      <c r="U47" s="615"/>
      <c r="V47" s="5316" t="s">
        <v>4706</v>
      </c>
      <c r="W47" s="5317"/>
      <c r="X47" s="1235" t="str">
        <f>IF(V43=0,"",VLOOKUP(V43,'Tablas Magia'!$D$6:$Z$680,9,FALSE))</f>
        <v/>
      </c>
      <c r="Y47" s="1235" t="str">
        <f>IF(V43=0,"",VLOOKUP(V43,'Tablas Magia'!$D$6:$Z$680,13,FALSE))</f>
        <v/>
      </c>
      <c r="Z47" s="1236" t="str">
        <f>IF(V43=0,"",VLOOKUP(V43,'Tablas Magia'!$D$6:$Z$680,17,FALSE))</f>
        <v/>
      </c>
      <c r="AA47" s="5318" t="str">
        <f>IF(V43=0,"",VLOOKUP(V43,'Tablas Magia'!$D$6:$Z$680,21,FALSE))</f>
        <v/>
      </c>
      <c r="AB47" s="5319"/>
      <c r="AC47" s="5319"/>
      <c r="AD47" s="5319"/>
      <c r="AE47" s="5319"/>
      <c r="AF47" s="5319"/>
      <c r="AG47" s="5319"/>
      <c r="AH47" s="5319"/>
      <c r="AI47" s="5319"/>
      <c r="AJ47" s="5320"/>
      <c r="AK47" s="1216"/>
      <c r="AL47" s="1210"/>
      <c r="AM47" s="1210"/>
      <c r="AN47" s="615"/>
      <c r="AO47" s="5316" t="s">
        <v>4706</v>
      </c>
      <c r="AP47" s="5317"/>
      <c r="AQ47" s="1235" t="str">
        <f>IF(AO43=0,"",VLOOKUP(AO43,'Tablas Magia'!$D$6:$Z$680,9,FALSE))</f>
        <v/>
      </c>
      <c r="AR47" s="1235" t="str">
        <f>IF(AO43=0,"",VLOOKUP(AO43,'Tablas Magia'!$D$6:$Z$680,13,FALSE))</f>
        <v/>
      </c>
      <c r="AS47" s="1236" t="str">
        <f>IF(AO43=0,"",VLOOKUP(AO43,'Tablas Magia'!$D$6:$Z$680,17,FALSE))</f>
        <v/>
      </c>
      <c r="AT47" s="5318" t="str">
        <f>IF(AO43=0,"",VLOOKUP(AO43,'Tablas Magia'!$D$6:$Z$680,21,FALSE))</f>
        <v/>
      </c>
      <c r="AU47" s="5319"/>
      <c r="AV47" s="5319"/>
      <c r="AW47" s="5319"/>
      <c r="AX47" s="5319"/>
      <c r="AY47" s="5319"/>
      <c r="AZ47" s="5319"/>
      <c r="BA47" s="5319"/>
      <c r="BB47" s="5319"/>
      <c r="BC47" s="5320"/>
      <c r="BD47" s="1216"/>
      <c r="BE47" s="1210"/>
    </row>
    <row r="48" spans="1:57" ht="12" customHeight="1" thickBot="1" x14ac:dyDescent="0.25">
      <c r="A48" s="1210"/>
      <c r="B48" s="615"/>
      <c r="C48" s="5326" t="s">
        <v>4707</v>
      </c>
      <c r="D48" s="5327"/>
      <c r="E48" s="1239" t="str">
        <f>IF(C43=0,"",VLOOKUP(C43,'Tablas Magia'!$D$6:$Z$680,10,FALSE))</f>
        <v/>
      </c>
      <c r="F48" s="1239" t="str">
        <f>IF(C43=0,"",VLOOKUP(C43,'Tablas Magia'!$D$6:$Z$680,14,FALSE))</f>
        <v/>
      </c>
      <c r="G48" s="1240" t="str">
        <f>IF(C43=0,"",VLOOKUP(C43,'Tablas Magia'!$D$6:$Z$680,18,FALSE))</f>
        <v/>
      </c>
      <c r="H48" s="5328" t="str">
        <f>IF(C43=0,"",VLOOKUP(C43,'Tablas Magia'!$D$6:$Z$680,22,FALSE))</f>
        <v/>
      </c>
      <c r="I48" s="5329"/>
      <c r="J48" s="5329"/>
      <c r="K48" s="5329"/>
      <c r="L48" s="5329"/>
      <c r="M48" s="5329"/>
      <c r="N48" s="5329"/>
      <c r="O48" s="5329"/>
      <c r="P48" s="5329"/>
      <c r="Q48" s="5330"/>
      <c r="R48" s="1216"/>
      <c r="S48" s="1210"/>
      <c r="T48" s="1210"/>
      <c r="U48" s="615"/>
      <c r="V48" s="5326" t="s">
        <v>4707</v>
      </c>
      <c r="W48" s="5327"/>
      <c r="X48" s="1239" t="str">
        <f>IF(V43=0,"",VLOOKUP(V43,'Tablas Magia'!$D$6:$Z$680,10,FALSE))</f>
        <v/>
      </c>
      <c r="Y48" s="1239" t="str">
        <f>IF(V43=0,"",VLOOKUP(V43,'Tablas Magia'!$D$6:$Z$680,14,FALSE))</f>
        <v/>
      </c>
      <c r="Z48" s="1240" t="str">
        <f>IF(V43=0,"",VLOOKUP(V43,'Tablas Magia'!$D$6:$Z$680,18,FALSE))</f>
        <v/>
      </c>
      <c r="AA48" s="5328" t="str">
        <f>IF(V43=0,"",VLOOKUP(V43,'Tablas Magia'!$D$6:$Z$680,22,FALSE))</f>
        <v/>
      </c>
      <c r="AB48" s="5329"/>
      <c r="AC48" s="5329"/>
      <c r="AD48" s="5329"/>
      <c r="AE48" s="5329"/>
      <c r="AF48" s="5329"/>
      <c r="AG48" s="5329"/>
      <c r="AH48" s="5329"/>
      <c r="AI48" s="5329"/>
      <c r="AJ48" s="5330"/>
      <c r="AK48" s="1216"/>
      <c r="AL48" s="1210"/>
      <c r="AM48" s="1210"/>
      <c r="AN48" s="615"/>
      <c r="AO48" s="5326" t="s">
        <v>4707</v>
      </c>
      <c r="AP48" s="5327"/>
      <c r="AQ48" s="1239" t="str">
        <f>IF(AO43=0,"",VLOOKUP(AO43,'Tablas Magia'!$D$6:$Z$680,10,FALSE))</f>
        <v/>
      </c>
      <c r="AR48" s="1239" t="str">
        <f>IF(AO43=0,"",VLOOKUP(AO43,'Tablas Magia'!$D$6:$Z$680,14,FALSE))</f>
        <v/>
      </c>
      <c r="AS48" s="1240" t="str">
        <f>IF(AO43=0,"",VLOOKUP(AO43,'Tablas Magia'!$D$6:$Z$680,18,FALSE))</f>
        <v/>
      </c>
      <c r="AT48" s="5328" t="str">
        <f>IF(AO43=0,"",VLOOKUP(AO43,'Tablas Magia'!$D$6:$Z$680,22,FALSE))</f>
        <v/>
      </c>
      <c r="AU48" s="5329"/>
      <c r="AV48" s="5329"/>
      <c r="AW48" s="5329"/>
      <c r="AX48" s="5329"/>
      <c r="AY48" s="5329"/>
      <c r="AZ48" s="5329"/>
      <c r="BA48" s="5329"/>
      <c r="BB48" s="5329"/>
      <c r="BC48" s="5330"/>
      <c r="BD48" s="1216"/>
      <c r="BE48" s="1210"/>
    </row>
    <row r="49" spans="1:57" ht="12" customHeight="1" x14ac:dyDescent="0.2">
      <c r="A49" s="1210"/>
      <c r="B49" s="615"/>
      <c r="C49" s="5331" t="str">
        <f>IF(C43=0,"",VLOOKUP(C43,'Tablas Magia'!$D$6:$Z$680,23,FALSE))</f>
        <v/>
      </c>
      <c r="D49" s="5332"/>
      <c r="E49" s="5332"/>
      <c r="F49" s="5332"/>
      <c r="G49" s="5332"/>
      <c r="H49" s="5332"/>
      <c r="I49" s="5332"/>
      <c r="J49" s="5332"/>
      <c r="K49" s="5332"/>
      <c r="L49" s="5332"/>
      <c r="M49" s="5332"/>
      <c r="N49" s="5332"/>
      <c r="O49" s="5332"/>
      <c r="P49" s="5332"/>
      <c r="Q49" s="5333"/>
      <c r="R49" s="1216"/>
      <c r="S49" s="1210"/>
      <c r="T49" s="1210"/>
      <c r="U49" s="615"/>
      <c r="V49" s="5331" t="str">
        <f>IF(V43=0,"",VLOOKUP(V43,'Tablas Magia'!$D$6:$Z$680,23,FALSE))</f>
        <v/>
      </c>
      <c r="W49" s="5332"/>
      <c r="X49" s="5332"/>
      <c r="Y49" s="5332"/>
      <c r="Z49" s="5332"/>
      <c r="AA49" s="5332"/>
      <c r="AB49" s="5332"/>
      <c r="AC49" s="5332"/>
      <c r="AD49" s="5332"/>
      <c r="AE49" s="5332"/>
      <c r="AF49" s="5332"/>
      <c r="AG49" s="5332"/>
      <c r="AH49" s="5332"/>
      <c r="AI49" s="5332"/>
      <c r="AJ49" s="5333"/>
      <c r="AK49" s="1216"/>
      <c r="AL49" s="1210"/>
      <c r="AM49" s="1210"/>
      <c r="AN49" s="615"/>
      <c r="AO49" s="5331" t="str">
        <f>IF(AO43=0,"",VLOOKUP(AO43,'Tablas Magia'!$D$6:$Z$680,23,FALSE))</f>
        <v/>
      </c>
      <c r="AP49" s="5332"/>
      <c r="AQ49" s="5332"/>
      <c r="AR49" s="5332"/>
      <c r="AS49" s="5332"/>
      <c r="AT49" s="5332"/>
      <c r="AU49" s="5332"/>
      <c r="AV49" s="5332"/>
      <c r="AW49" s="5332"/>
      <c r="AX49" s="5332"/>
      <c r="AY49" s="5332"/>
      <c r="AZ49" s="5332"/>
      <c r="BA49" s="5332"/>
      <c r="BB49" s="5332"/>
      <c r="BC49" s="5333"/>
      <c r="BD49" s="1216"/>
      <c r="BE49" s="1210"/>
    </row>
    <row r="50" spans="1:57" ht="12" customHeight="1" x14ac:dyDescent="0.2">
      <c r="A50" s="1210"/>
      <c r="B50" s="615"/>
      <c r="C50" s="5334"/>
      <c r="D50" s="5335"/>
      <c r="E50" s="5335"/>
      <c r="F50" s="5335"/>
      <c r="G50" s="5335"/>
      <c r="H50" s="5335"/>
      <c r="I50" s="5335"/>
      <c r="J50" s="5335"/>
      <c r="K50" s="5335"/>
      <c r="L50" s="5335"/>
      <c r="M50" s="5335"/>
      <c r="N50" s="5335"/>
      <c r="O50" s="5335"/>
      <c r="P50" s="5335"/>
      <c r="Q50" s="5336"/>
      <c r="R50" s="1216"/>
      <c r="S50" s="1210"/>
      <c r="T50" s="1210"/>
      <c r="U50" s="615"/>
      <c r="V50" s="5334"/>
      <c r="W50" s="5335"/>
      <c r="X50" s="5335"/>
      <c r="Y50" s="5335"/>
      <c r="Z50" s="5335"/>
      <c r="AA50" s="5335"/>
      <c r="AB50" s="5335"/>
      <c r="AC50" s="5335"/>
      <c r="AD50" s="5335"/>
      <c r="AE50" s="5335"/>
      <c r="AF50" s="5335"/>
      <c r="AG50" s="5335"/>
      <c r="AH50" s="5335"/>
      <c r="AI50" s="5335"/>
      <c r="AJ50" s="5336"/>
      <c r="AK50" s="1216"/>
      <c r="AL50" s="1210"/>
      <c r="AM50" s="1210"/>
      <c r="AN50" s="615"/>
      <c r="AO50" s="5334"/>
      <c r="AP50" s="5335"/>
      <c r="AQ50" s="5335"/>
      <c r="AR50" s="5335"/>
      <c r="AS50" s="5335"/>
      <c r="AT50" s="5335"/>
      <c r="AU50" s="5335"/>
      <c r="AV50" s="5335"/>
      <c r="AW50" s="5335"/>
      <c r="AX50" s="5335"/>
      <c r="AY50" s="5335"/>
      <c r="AZ50" s="5335"/>
      <c r="BA50" s="5335"/>
      <c r="BB50" s="5335"/>
      <c r="BC50" s="5336"/>
      <c r="BD50" s="1216"/>
      <c r="BE50" s="1210"/>
    </row>
    <row r="51" spans="1:57" ht="12" customHeight="1" x14ac:dyDescent="0.2">
      <c r="A51" s="1210"/>
      <c r="B51" s="615"/>
      <c r="C51" s="5334"/>
      <c r="D51" s="5335"/>
      <c r="E51" s="5335"/>
      <c r="F51" s="5335"/>
      <c r="G51" s="5335"/>
      <c r="H51" s="5335"/>
      <c r="I51" s="5335"/>
      <c r="J51" s="5335"/>
      <c r="K51" s="5335"/>
      <c r="L51" s="5335"/>
      <c r="M51" s="5335"/>
      <c r="N51" s="5335"/>
      <c r="O51" s="5335"/>
      <c r="P51" s="5335"/>
      <c r="Q51" s="5336"/>
      <c r="R51" s="1216"/>
      <c r="S51" s="1210"/>
      <c r="T51" s="1210"/>
      <c r="U51" s="615"/>
      <c r="V51" s="5334"/>
      <c r="W51" s="5335"/>
      <c r="X51" s="5335"/>
      <c r="Y51" s="5335"/>
      <c r="Z51" s="5335"/>
      <c r="AA51" s="5335"/>
      <c r="AB51" s="5335"/>
      <c r="AC51" s="5335"/>
      <c r="AD51" s="5335"/>
      <c r="AE51" s="5335"/>
      <c r="AF51" s="5335"/>
      <c r="AG51" s="5335"/>
      <c r="AH51" s="5335"/>
      <c r="AI51" s="5335"/>
      <c r="AJ51" s="5336"/>
      <c r="AK51" s="1216"/>
      <c r="AL51" s="1210"/>
      <c r="AM51" s="1210"/>
      <c r="AN51" s="615"/>
      <c r="AO51" s="5334"/>
      <c r="AP51" s="5335"/>
      <c r="AQ51" s="5335"/>
      <c r="AR51" s="5335"/>
      <c r="AS51" s="5335"/>
      <c r="AT51" s="5335"/>
      <c r="AU51" s="5335"/>
      <c r="AV51" s="5335"/>
      <c r="AW51" s="5335"/>
      <c r="AX51" s="5335"/>
      <c r="AY51" s="5335"/>
      <c r="AZ51" s="5335"/>
      <c r="BA51" s="5335"/>
      <c r="BB51" s="5335"/>
      <c r="BC51" s="5336"/>
      <c r="BD51" s="1216"/>
      <c r="BE51" s="1210"/>
    </row>
    <row r="52" spans="1:57" ht="12" customHeight="1" thickBot="1" x14ac:dyDescent="0.25">
      <c r="A52" s="1210"/>
      <c r="B52" s="615"/>
      <c r="C52" s="5337"/>
      <c r="D52" s="5338"/>
      <c r="E52" s="5338"/>
      <c r="F52" s="5338"/>
      <c r="G52" s="5338"/>
      <c r="H52" s="5338"/>
      <c r="I52" s="5338"/>
      <c r="J52" s="5338"/>
      <c r="K52" s="5338"/>
      <c r="L52" s="5338"/>
      <c r="M52" s="5338"/>
      <c r="N52" s="5338"/>
      <c r="O52" s="5338"/>
      <c r="P52" s="5338"/>
      <c r="Q52" s="5339"/>
      <c r="R52" s="1216"/>
      <c r="S52" s="1210"/>
      <c r="T52" s="1210"/>
      <c r="U52" s="615"/>
      <c r="V52" s="5337"/>
      <c r="W52" s="5338"/>
      <c r="X52" s="5338"/>
      <c r="Y52" s="5338"/>
      <c r="Z52" s="5338"/>
      <c r="AA52" s="5338"/>
      <c r="AB52" s="5338"/>
      <c r="AC52" s="5338"/>
      <c r="AD52" s="5338"/>
      <c r="AE52" s="5338"/>
      <c r="AF52" s="5338"/>
      <c r="AG52" s="5338"/>
      <c r="AH52" s="5338"/>
      <c r="AI52" s="5338"/>
      <c r="AJ52" s="5339"/>
      <c r="AK52" s="1216"/>
      <c r="AL52" s="1210"/>
      <c r="AM52" s="1210"/>
      <c r="AN52" s="615"/>
      <c r="AO52" s="5337"/>
      <c r="AP52" s="5338"/>
      <c r="AQ52" s="5338"/>
      <c r="AR52" s="5338"/>
      <c r="AS52" s="5338"/>
      <c r="AT52" s="5338"/>
      <c r="AU52" s="5338"/>
      <c r="AV52" s="5338"/>
      <c r="AW52" s="5338"/>
      <c r="AX52" s="5338"/>
      <c r="AY52" s="5338"/>
      <c r="AZ52" s="5338"/>
      <c r="BA52" s="5338"/>
      <c r="BB52" s="5338"/>
      <c r="BC52" s="5339"/>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42"/>
      <c r="D54" s="5343"/>
      <c r="E54" s="5343"/>
      <c r="F54" s="5343"/>
      <c r="G54" s="5343"/>
      <c r="H54" s="1230" t="s">
        <v>1630</v>
      </c>
      <c r="I54" s="1231" t="str">
        <f>IF(C54=0,"",VLOOKUP(C54,'Tablas Magia'!$D$6:$Z$680,3,FALSE))</f>
        <v/>
      </c>
      <c r="J54" s="5344" t="s">
        <v>8162</v>
      </c>
      <c r="K54" s="5344"/>
      <c r="L54" s="5344"/>
      <c r="M54" s="5345" t="str">
        <f>IF(C54=0,"",VLOOKUP(C54,'Tablas Magia'!$D$6:$Z$680,2,FALSE))</f>
        <v/>
      </c>
      <c r="N54" s="5345"/>
      <c r="O54" s="5345"/>
      <c r="P54" s="5345"/>
      <c r="Q54" s="5346"/>
      <c r="R54" s="1216"/>
      <c r="S54" s="1210"/>
      <c r="T54" s="1210"/>
      <c r="U54" s="615"/>
      <c r="V54" s="5342"/>
      <c r="W54" s="5343"/>
      <c r="X54" s="5343"/>
      <c r="Y54" s="5343"/>
      <c r="Z54" s="5343"/>
      <c r="AA54" s="1230" t="s">
        <v>1630</v>
      </c>
      <c r="AB54" s="1231" t="str">
        <f>IF(V54=0,"",VLOOKUP(V54,'Tablas Magia'!$D$6:$Z$680,3,FALSE))</f>
        <v/>
      </c>
      <c r="AC54" s="5344" t="s">
        <v>8162</v>
      </c>
      <c r="AD54" s="5344"/>
      <c r="AE54" s="5344"/>
      <c r="AF54" s="5345" t="str">
        <f>IF(V54=0,"",VLOOKUP(V54,'Tablas Magia'!$D$6:$Z$680,2,FALSE))</f>
        <v/>
      </c>
      <c r="AG54" s="5345"/>
      <c r="AH54" s="5345"/>
      <c r="AI54" s="5345"/>
      <c r="AJ54" s="5346"/>
      <c r="AK54" s="1216"/>
      <c r="AL54" s="1210"/>
      <c r="AM54" s="1210"/>
      <c r="AN54" s="615"/>
      <c r="AO54" s="5342"/>
      <c r="AP54" s="5343"/>
      <c r="AQ54" s="5343"/>
      <c r="AR54" s="5343"/>
      <c r="AS54" s="5343"/>
      <c r="AT54" s="1230" t="s">
        <v>1630</v>
      </c>
      <c r="AU54" s="1231" t="str">
        <f>IF(AO54=0,"",VLOOKUP(AO54,'Tablas Magia'!$D$6:$Z$680,3,FALSE))</f>
        <v/>
      </c>
      <c r="AV54" s="5344" t="s">
        <v>8162</v>
      </c>
      <c r="AW54" s="5344"/>
      <c r="AX54" s="5344"/>
      <c r="AY54" s="5345" t="str">
        <f>IF(AO54=0,"",VLOOKUP(AO54,'Tablas Magia'!$D$6:$Z$680,2,FALSE))</f>
        <v/>
      </c>
      <c r="AZ54" s="5345"/>
      <c r="BA54" s="5345"/>
      <c r="BB54" s="5345"/>
      <c r="BC54" s="5346"/>
      <c r="BD54" s="1216"/>
      <c r="BE54" s="1210"/>
    </row>
    <row r="55" spans="1:57" ht="12" customHeight="1" x14ac:dyDescent="0.2">
      <c r="A55" s="1210"/>
      <c r="B55" s="615"/>
      <c r="C55" s="5340" t="s">
        <v>8163</v>
      </c>
      <c r="D55" s="5341"/>
      <c r="E55" s="1232" t="s">
        <v>8164</v>
      </c>
      <c r="F55" s="1232" t="s">
        <v>1824</v>
      </c>
      <c r="G55" s="1232" t="s">
        <v>3467</v>
      </c>
      <c r="H55" s="1233" t="s">
        <v>2175</v>
      </c>
      <c r="I55" s="5314" t="str">
        <f>IF(C54=0,"",VLOOKUP(C54,'Tablas Magia'!$D$6:$Z$680,5,FALSE))</f>
        <v/>
      </c>
      <c r="J55" s="5314"/>
      <c r="K55" s="5313" t="s">
        <v>8165</v>
      </c>
      <c r="L55" s="5313"/>
      <c r="M55" s="5314" t="str">
        <f>IF(C54=0,"",VLOOKUP(C54,'Tablas Magia'!$D$6:$Z$680,6,FALSE))</f>
        <v/>
      </c>
      <c r="N55" s="5314"/>
      <c r="O55" s="5315" t="s">
        <v>8166</v>
      </c>
      <c r="P55" s="5315"/>
      <c r="Q55" s="1234" t="str">
        <f>IF(C54=0,"",VLOOKUP(C54,'Tablas Magia'!$D$6:$Z$680,4,FALSE))</f>
        <v/>
      </c>
      <c r="R55" s="1216"/>
      <c r="S55" s="1210"/>
      <c r="T55" s="1210"/>
      <c r="U55" s="615"/>
      <c r="V55" s="5340" t="s">
        <v>8163</v>
      </c>
      <c r="W55" s="5341"/>
      <c r="X55" s="1232" t="s">
        <v>8164</v>
      </c>
      <c r="Y55" s="1232" t="s">
        <v>1824</v>
      </c>
      <c r="Z55" s="1232" t="s">
        <v>3467</v>
      </c>
      <c r="AA55" s="1233" t="s">
        <v>2175</v>
      </c>
      <c r="AB55" s="5314" t="str">
        <f>IF(V54=0,"",VLOOKUP(V54,'Tablas Magia'!$D$6:$Z$680,5,FALSE))</f>
        <v/>
      </c>
      <c r="AC55" s="5314"/>
      <c r="AD55" s="5313" t="s">
        <v>8165</v>
      </c>
      <c r="AE55" s="5313"/>
      <c r="AF55" s="5314" t="str">
        <f>IF(V54=0,"",VLOOKUP(V54,'Tablas Magia'!$D$6:$Z$680,6,FALSE))</f>
        <v/>
      </c>
      <c r="AG55" s="5314"/>
      <c r="AH55" s="5315" t="s">
        <v>8166</v>
      </c>
      <c r="AI55" s="5315"/>
      <c r="AJ55" s="1234" t="str">
        <f>IF(V54=0,"",VLOOKUP(V54,'Tablas Magia'!$D$6:$Z$680,4,FALSE))</f>
        <v/>
      </c>
      <c r="AK55" s="1216"/>
      <c r="AL55" s="1210"/>
      <c r="AM55" s="1210"/>
      <c r="AN55" s="615"/>
      <c r="AO55" s="5340" t="s">
        <v>8163</v>
      </c>
      <c r="AP55" s="5341"/>
      <c r="AQ55" s="1232" t="s">
        <v>8164</v>
      </c>
      <c r="AR55" s="1232" t="s">
        <v>1824</v>
      </c>
      <c r="AS55" s="1232" t="s">
        <v>3467</v>
      </c>
      <c r="AT55" s="1233" t="s">
        <v>2175</v>
      </c>
      <c r="AU55" s="5314" t="str">
        <f>IF(AO54=0,"",VLOOKUP(AO54,'Tablas Magia'!$D$6:$Z$680,5,FALSE))</f>
        <v/>
      </c>
      <c r="AV55" s="5314"/>
      <c r="AW55" s="5313" t="s">
        <v>8165</v>
      </c>
      <c r="AX55" s="5313"/>
      <c r="AY55" s="5314" t="str">
        <f>IF(AO54=0,"",VLOOKUP(AO54,'Tablas Magia'!$D$6:$Z$680,6,FALSE))</f>
        <v/>
      </c>
      <c r="AZ55" s="5314"/>
      <c r="BA55" s="5315" t="s">
        <v>8166</v>
      </c>
      <c r="BB55" s="5315"/>
      <c r="BC55" s="1234" t="str">
        <f>IF(AO54=0,"",VLOOKUP(AO54,'Tablas Magia'!$D$6:$Z$680,4,FALSE))</f>
        <v/>
      </c>
      <c r="BD55" s="1216"/>
      <c r="BE55" s="1210"/>
    </row>
    <row r="56" spans="1:57" ht="12" customHeight="1" x14ac:dyDescent="0.2">
      <c r="A56" s="1210"/>
      <c r="B56" s="615"/>
      <c r="C56" s="5316" t="s">
        <v>1677</v>
      </c>
      <c r="D56" s="5317"/>
      <c r="E56" s="1235" t="str">
        <f>IF(C54=0,"",VLOOKUP(C54,'Tablas Magia'!$D$6:$Z$680,7,FALSE))</f>
        <v/>
      </c>
      <c r="F56" s="1235" t="str">
        <f>IF(C54=0,"",VLOOKUP(C54,'Tablas Magia'!$D$6:$Z$680,11,FALSE))</f>
        <v/>
      </c>
      <c r="G56" s="1236" t="str">
        <f>IF(C54=0,"",VLOOKUP(C54,'Tablas Magia'!$D$6:$Z$680,15,FALSE))</f>
        <v/>
      </c>
      <c r="H56" s="5318" t="str">
        <f>IF(C54=0,"",VLOOKUP(C54,'Tablas Magia'!$D$6:$Z$680,19,FALSE))</f>
        <v/>
      </c>
      <c r="I56" s="5319"/>
      <c r="J56" s="5319"/>
      <c r="K56" s="5319"/>
      <c r="L56" s="5319"/>
      <c r="M56" s="5319"/>
      <c r="N56" s="5319"/>
      <c r="O56" s="5319"/>
      <c r="P56" s="5319"/>
      <c r="Q56" s="5320"/>
      <c r="R56" s="1216"/>
      <c r="S56" s="1210"/>
      <c r="T56" s="1210"/>
      <c r="U56" s="615"/>
      <c r="V56" s="5316" t="s">
        <v>1677</v>
      </c>
      <c r="W56" s="5317"/>
      <c r="X56" s="1235" t="str">
        <f>IF(V54=0,"",VLOOKUP(V54,'Tablas Magia'!$D$6:$Z$680,7,FALSE))</f>
        <v/>
      </c>
      <c r="Y56" s="1235" t="str">
        <f>IF(V54=0,"",VLOOKUP(V54,'Tablas Magia'!$D$6:$Z$680,11,FALSE))</f>
        <v/>
      </c>
      <c r="Z56" s="1236" t="str">
        <f>IF(V54=0,"",VLOOKUP(V54,'Tablas Magia'!$D$6:$Z$680,15,FALSE))</f>
        <v/>
      </c>
      <c r="AA56" s="5318" t="str">
        <f>IF(V54=0,"",VLOOKUP(V54,'Tablas Magia'!$D$6:$Z$680,19,FALSE))</f>
        <v/>
      </c>
      <c r="AB56" s="5319"/>
      <c r="AC56" s="5319"/>
      <c r="AD56" s="5319"/>
      <c r="AE56" s="5319"/>
      <c r="AF56" s="5319"/>
      <c r="AG56" s="5319"/>
      <c r="AH56" s="5319"/>
      <c r="AI56" s="5319"/>
      <c r="AJ56" s="5320"/>
      <c r="AK56" s="1216"/>
      <c r="AL56" s="1210"/>
      <c r="AM56" s="1210"/>
      <c r="AN56" s="615"/>
      <c r="AO56" s="5316" t="s">
        <v>1677</v>
      </c>
      <c r="AP56" s="5317"/>
      <c r="AQ56" s="1235" t="str">
        <f>IF(AO54=0,"",VLOOKUP(AO54,'Tablas Magia'!$D$6:$Z$680,7,FALSE))</f>
        <v/>
      </c>
      <c r="AR56" s="1235" t="str">
        <f>IF(AO54=0,"",VLOOKUP(AO54,'Tablas Magia'!$D$6:$Z$680,11,FALSE))</f>
        <v/>
      </c>
      <c r="AS56" s="1236" t="str">
        <f>IF(AO54=0,"",VLOOKUP(AO54,'Tablas Magia'!$D$6:$Z$680,15,FALSE))</f>
        <v/>
      </c>
      <c r="AT56" s="5318" t="str">
        <f>IF(AO54=0,"",VLOOKUP(AO54,'Tablas Magia'!$D$6:$Z$680,19,FALSE))</f>
        <v/>
      </c>
      <c r="AU56" s="5319"/>
      <c r="AV56" s="5319"/>
      <c r="AW56" s="5319"/>
      <c r="AX56" s="5319"/>
      <c r="AY56" s="5319"/>
      <c r="AZ56" s="5319"/>
      <c r="BA56" s="5319"/>
      <c r="BB56" s="5319"/>
      <c r="BC56" s="5320"/>
      <c r="BD56" s="1216"/>
      <c r="BE56" s="1210"/>
    </row>
    <row r="57" spans="1:57" ht="12" customHeight="1" x14ac:dyDescent="0.2">
      <c r="A57" s="1210"/>
      <c r="B57" s="615"/>
      <c r="C57" s="5321" t="s">
        <v>4705</v>
      </c>
      <c r="D57" s="5322"/>
      <c r="E57" s="1237" t="str">
        <f>IF(C54=0,"",VLOOKUP(C54,'Tablas Magia'!$D$6:$Z$680,8,FALSE))</f>
        <v/>
      </c>
      <c r="F57" s="1237" t="str">
        <f>IF(C54=0,"",VLOOKUP(C54,'Tablas Magia'!$D$6:$Z$680,12,FALSE))</f>
        <v/>
      </c>
      <c r="G57" s="1238" t="str">
        <f>IF(C54=0,"",VLOOKUP(C54,'Tablas Magia'!$D$6:$Z$680,16,FALSE))</f>
        <v/>
      </c>
      <c r="H57" s="5323" t="str">
        <f>IF(C54=0,"",VLOOKUP(C54,'Tablas Magia'!$D$6:$Z$680,20,FALSE))</f>
        <v/>
      </c>
      <c r="I57" s="5324"/>
      <c r="J57" s="5324"/>
      <c r="K57" s="5324"/>
      <c r="L57" s="5324"/>
      <c r="M57" s="5324"/>
      <c r="N57" s="5324"/>
      <c r="O57" s="5324"/>
      <c r="P57" s="5324"/>
      <c r="Q57" s="5325"/>
      <c r="R57" s="1216"/>
      <c r="S57" s="1210"/>
      <c r="T57" s="1210"/>
      <c r="U57" s="615"/>
      <c r="V57" s="5321" t="s">
        <v>4705</v>
      </c>
      <c r="W57" s="5322"/>
      <c r="X57" s="1237" t="str">
        <f>IF(V54=0,"",VLOOKUP(V54,'Tablas Magia'!$D$6:$Z$680,8,FALSE))</f>
        <v/>
      </c>
      <c r="Y57" s="1237" t="str">
        <f>IF(V54=0,"",VLOOKUP(V54,'Tablas Magia'!$D$6:$Z$680,12,FALSE))</f>
        <v/>
      </c>
      <c r="Z57" s="1238" t="str">
        <f>IF(V54=0,"",VLOOKUP(V54,'Tablas Magia'!$D$6:$Z$680,16,FALSE))</f>
        <v/>
      </c>
      <c r="AA57" s="5323" t="str">
        <f>IF(V54=0,"",VLOOKUP(V54,'Tablas Magia'!$D$6:$Z$680,20,FALSE))</f>
        <v/>
      </c>
      <c r="AB57" s="5324"/>
      <c r="AC57" s="5324"/>
      <c r="AD57" s="5324"/>
      <c r="AE57" s="5324"/>
      <c r="AF57" s="5324"/>
      <c r="AG57" s="5324"/>
      <c r="AH57" s="5324"/>
      <c r="AI57" s="5324"/>
      <c r="AJ57" s="5325"/>
      <c r="AK57" s="1216"/>
      <c r="AL57" s="1210"/>
      <c r="AM57" s="1210"/>
      <c r="AN57" s="615"/>
      <c r="AO57" s="5321" t="s">
        <v>4705</v>
      </c>
      <c r="AP57" s="5322"/>
      <c r="AQ57" s="1237" t="str">
        <f>IF(AO54=0,"",VLOOKUP(AO54,'Tablas Magia'!$D$6:$Z$680,8,FALSE))</f>
        <v/>
      </c>
      <c r="AR57" s="1237" t="str">
        <f>IF(AO54=0,"",VLOOKUP(AO54,'Tablas Magia'!$D$6:$Z$680,12,FALSE))</f>
        <v/>
      </c>
      <c r="AS57" s="1238" t="str">
        <f>IF(AO54=0,"",VLOOKUP(AO54,'Tablas Magia'!$D$6:$Z$680,16,FALSE))</f>
        <v/>
      </c>
      <c r="AT57" s="5323" t="str">
        <f>IF(AO54=0,"",VLOOKUP(AO54,'Tablas Magia'!$D$6:$Z$680,20,FALSE))</f>
        <v/>
      </c>
      <c r="AU57" s="5324"/>
      <c r="AV57" s="5324"/>
      <c r="AW57" s="5324"/>
      <c r="AX57" s="5324"/>
      <c r="AY57" s="5324"/>
      <c r="AZ57" s="5324"/>
      <c r="BA57" s="5324"/>
      <c r="BB57" s="5324"/>
      <c r="BC57" s="5325"/>
      <c r="BD57" s="1216"/>
      <c r="BE57" s="1210"/>
    </row>
    <row r="58" spans="1:57" ht="12" customHeight="1" x14ac:dyDescent="0.2">
      <c r="A58" s="1210"/>
      <c r="B58" s="615"/>
      <c r="C58" s="5316" t="s">
        <v>4706</v>
      </c>
      <c r="D58" s="5317"/>
      <c r="E58" s="1235" t="str">
        <f>IF(C54=0,"",VLOOKUP(C54,'Tablas Magia'!$D$6:$Z$680,9,FALSE))</f>
        <v/>
      </c>
      <c r="F58" s="1235" t="str">
        <f>IF(C54=0,"",VLOOKUP(C54,'Tablas Magia'!$D$6:$Z$680,13,FALSE))</f>
        <v/>
      </c>
      <c r="G58" s="1236" t="str">
        <f>IF(C54=0,"",VLOOKUP(C54,'Tablas Magia'!$D$6:$Z$680,17,FALSE))</f>
        <v/>
      </c>
      <c r="H58" s="5318" t="str">
        <f>IF(C54=0,"",VLOOKUP(C54,'Tablas Magia'!$D$6:$Z$680,21,FALSE))</f>
        <v/>
      </c>
      <c r="I58" s="5319"/>
      <c r="J58" s="5319"/>
      <c r="K58" s="5319"/>
      <c r="L58" s="5319"/>
      <c r="M58" s="5319"/>
      <c r="N58" s="5319"/>
      <c r="O58" s="5319"/>
      <c r="P58" s="5319"/>
      <c r="Q58" s="5320"/>
      <c r="R58" s="1216"/>
      <c r="S58" s="1210"/>
      <c r="T58" s="1210"/>
      <c r="U58" s="615"/>
      <c r="V58" s="5316" t="s">
        <v>4706</v>
      </c>
      <c r="W58" s="5317"/>
      <c r="X58" s="1235" t="str">
        <f>IF(V54=0,"",VLOOKUP(V54,'Tablas Magia'!$D$6:$Z$680,9,FALSE))</f>
        <v/>
      </c>
      <c r="Y58" s="1235" t="str">
        <f>IF(V54=0,"",VLOOKUP(V54,'Tablas Magia'!$D$6:$Z$680,13,FALSE))</f>
        <v/>
      </c>
      <c r="Z58" s="1236" t="str">
        <f>IF(V54=0,"",VLOOKUP(V54,'Tablas Magia'!$D$6:$Z$680,17,FALSE))</f>
        <v/>
      </c>
      <c r="AA58" s="5318" t="str">
        <f>IF(V54=0,"",VLOOKUP(V54,'Tablas Magia'!$D$6:$Z$680,21,FALSE))</f>
        <v/>
      </c>
      <c r="AB58" s="5319"/>
      <c r="AC58" s="5319"/>
      <c r="AD58" s="5319"/>
      <c r="AE58" s="5319"/>
      <c r="AF58" s="5319"/>
      <c r="AG58" s="5319"/>
      <c r="AH58" s="5319"/>
      <c r="AI58" s="5319"/>
      <c r="AJ58" s="5320"/>
      <c r="AK58" s="1216"/>
      <c r="AL58" s="1210"/>
      <c r="AM58" s="1210"/>
      <c r="AN58" s="615"/>
      <c r="AO58" s="5316" t="s">
        <v>4706</v>
      </c>
      <c r="AP58" s="5317"/>
      <c r="AQ58" s="1235" t="str">
        <f>IF(AO54=0,"",VLOOKUP(AO54,'Tablas Magia'!$D$6:$Z$680,9,FALSE))</f>
        <v/>
      </c>
      <c r="AR58" s="1235" t="str">
        <f>IF(AO54=0,"",VLOOKUP(AO54,'Tablas Magia'!$D$6:$Z$680,13,FALSE))</f>
        <v/>
      </c>
      <c r="AS58" s="1236" t="str">
        <f>IF(AO54=0,"",VLOOKUP(AO54,'Tablas Magia'!$D$6:$Z$680,17,FALSE))</f>
        <v/>
      </c>
      <c r="AT58" s="5318" t="str">
        <f>IF(AO54=0,"",VLOOKUP(AO54,'Tablas Magia'!$D$6:$Z$680,21,FALSE))</f>
        <v/>
      </c>
      <c r="AU58" s="5319"/>
      <c r="AV58" s="5319"/>
      <c r="AW58" s="5319"/>
      <c r="AX58" s="5319"/>
      <c r="AY58" s="5319"/>
      <c r="AZ58" s="5319"/>
      <c r="BA58" s="5319"/>
      <c r="BB58" s="5319"/>
      <c r="BC58" s="5320"/>
      <c r="BD58" s="1216"/>
      <c r="BE58" s="1210"/>
    </row>
    <row r="59" spans="1:57" ht="12" customHeight="1" thickBot="1" x14ac:dyDescent="0.25">
      <c r="A59" s="1210"/>
      <c r="B59" s="615"/>
      <c r="C59" s="5326" t="s">
        <v>4707</v>
      </c>
      <c r="D59" s="5327"/>
      <c r="E59" s="1239" t="str">
        <f>IF(C54=0,"",VLOOKUP(C54,'Tablas Magia'!$D$6:$Z$680,10,FALSE))</f>
        <v/>
      </c>
      <c r="F59" s="1239" t="str">
        <f>IF(C54=0,"",VLOOKUP(C54,'Tablas Magia'!$D$6:$Z$680,14,FALSE))</f>
        <v/>
      </c>
      <c r="G59" s="1240" t="str">
        <f>IF(C54=0,"",VLOOKUP(C54,'Tablas Magia'!$D$6:$Z$680,18,FALSE))</f>
        <v/>
      </c>
      <c r="H59" s="5328" t="str">
        <f>IF(C54=0,"",VLOOKUP(C54,'Tablas Magia'!$D$6:$Z$680,22,FALSE))</f>
        <v/>
      </c>
      <c r="I59" s="5329"/>
      <c r="J59" s="5329"/>
      <c r="K59" s="5329"/>
      <c r="L59" s="5329"/>
      <c r="M59" s="5329"/>
      <c r="N59" s="5329"/>
      <c r="O59" s="5329"/>
      <c r="P59" s="5329"/>
      <c r="Q59" s="5330"/>
      <c r="R59" s="1216"/>
      <c r="S59" s="1210"/>
      <c r="T59" s="1210"/>
      <c r="U59" s="615"/>
      <c r="V59" s="5326" t="s">
        <v>4707</v>
      </c>
      <c r="W59" s="5327"/>
      <c r="X59" s="1239" t="str">
        <f>IF(V54=0,"",VLOOKUP(V54,'Tablas Magia'!$D$6:$Z$680,10,FALSE))</f>
        <v/>
      </c>
      <c r="Y59" s="1239" t="str">
        <f>IF(V54=0,"",VLOOKUP(V54,'Tablas Magia'!$D$6:$Z$680,14,FALSE))</f>
        <v/>
      </c>
      <c r="Z59" s="1240" t="str">
        <f>IF(V54=0,"",VLOOKUP(V54,'Tablas Magia'!$D$6:$Z$680,18,FALSE))</f>
        <v/>
      </c>
      <c r="AA59" s="5328" t="str">
        <f>IF(V54=0,"",VLOOKUP(V54,'Tablas Magia'!$D$6:$Z$680,22,FALSE))</f>
        <v/>
      </c>
      <c r="AB59" s="5329"/>
      <c r="AC59" s="5329"/>
      <c r="AD59" s="5329"/>
      <c r="AE59" s="5329"/>
      <c r="AF59" s="5329"/>
      <c r="AG59" s="5329"/>
      <c r="AH59" s="5329"/>
      <c r="AI59" s="5329"/>
      <c r="AJ59" s="5330"/>
      <c r="AK59" s="1216"/>
      <c r="AL59" s="1210"/>
      <c r="AM59" s="1210"/>
      <c r="AN59" s="615"/>
      <c r="AO59" s="5326" t="s">
        <v>4707</v>
      </c>
      <c r="AP59" s="5327"/>
      <c r="AQ59" s="1239" t="str">
        <f>IF(AO54=0,"",VLOOKUP(AO54,'Tablas Magia'!$D$6:$Z$680,10,FALSE))</f>
        <v/>
      </c>
      <c r="AR59" s="1239" t="str">
        <f>IF(AO54=0,"",VLOOKUP(AO54,'Tablas Magia'!$D$6:$Z$680,14,FALSE))</f>
        <v/>
      </c>
      <c r="AS59" s="1240" t="str">
        <f>IF(AO54=0,"",VLOOKUP(AO54,'Tablas Magia'!$D$6:$Z$680,18,FALSE))</f>
        <v/>
      </c>
      <c r="AT59" s="5328" t="str">
        <f>IF(AO54=0,"",VLOOKUP(AO54,'Tablas Magia'!$D$6:$Z$680,22,FALSE))</f>
        <v/>
      </c>
      <c r="AU59" s="5329"/>
      <c r="AV59" s="5329"/>
      <c r="AW59" s="5329"/>
      <c r="AX59" s="5329"/>
      <c r="AY59" s="5329"/>
      <c r="AZ59" s="5329"/>
      <c r="BA59" s="5329"/>
      <c r="BB59" s="5329"/>
      <c r="BC59" s="5330"/>
      <c r="BD59" s="1216"/>
      <c r="BE59" s="1210"/>
    </row>
    <row r="60" spans="1:57" ht="12" customHeight="1" x14ac:dyDescent="0.2">
      <c r="A60" s="1210"/>
      <c r="B60" s="615"/>
      <c r="C60" s="5331" t="str">
        <f>IF(C54=0,"",VLOOKUP(C54,'Tablas Magia'!$D$6:$Z$680,23,FALSE))</f>
        <v/>
      </c>
      <c r="D60" s="5332"/>
      <c r="E60" s="5332"/>
      <c r="F60" s="5332"/>
      <c r="G60" s="5332"/>
      <c r="H60" s="5332"/>
      <c r="I60" s="5332"/>
      <c r="J60" s="5332"/>
      <c r="K60" s="5332"/>
      <c r="L60" s="5332"/>
      <c r="M60" s="5332"/>
      <c r="N60" s="5332"/>
      <c r="O60" s="5332"/>
      <c r="P60" s="5332"/>
      <c r="Q60" s="5333"/>
      <c r="R60" s="1216"/>
      <c r="S60" s="1210"/>
      <c r="T60" s="1210"/>
      <c r="U60" s="615"/>
      <c r="V60" s="5331" t="str">
        <f>IF(V54=0,"",VLOOKUP(V54,'Tablas Magia'!$D$6:$Z$680,23,FALSE))</f>
        <v/>
      </c>
      <c r="W60" s="5332"/>
      <c r="X60" s="5332"/>
      <c r="Y60" s="5332"/>
      <c r="Z60" s="5332"/>
      <c r="AA60" s="5332"/>
      <c r="AB60" s="5332"/>
      <c r="AC60" s="5332"/>
      <c r="AD60" s="5332"/>
      <c r="AE60" s="5332"/>
      <c r="AF60" s="5332"/>
      <c r="AG60" s="5332"/>
      <c r="AH60" s="5332"/>
      <c r="AI60" s="5332"/>
      <c r="AJ60" s="5333"/>
      <c r="AK60" s="1216"/>
      <c r="AL60" s="1210"/>
      <c r="AM60" s="1210"/>
      <c r="AN60" s="615"/>
      <c r="AO60" s="5331" t="str">
        <f>IF(AO54=0,"",VLOOKUP(AO54,'Tablas Magia'!$D$6:$Z$680,23,FALSE))</f>
        <v/>
      </c>
      <c r="AP60" s="5332"/>
      <c r="AQ60" s="5332"/>
      <c r="AR60" s="5332"/>
      <c r="AS60" s="5332"/>
      <c r="AT60" s="5332"/>
      <c r="AU60" s="5332"/>
      <c r="AV60" s="5332"/>
      <c r="AW60" s="5332"/>
      <c r="AX60" s="5332"/>
      <c r="AY60" s="5332"/>
      <c r="AZ60" s="5332"/>
      <c r="BA60" s="5332"/>
      <c r="BB60" s="5332"/>
      <c r="BC60" s="5333"/>
      <c r="BD60" s="1216"/>
      <c r="BE60" s="1210"/>
    </row>
    <row r="61" spans="1:57" ht="12" customHeight="1" x14ac:dyDescent="0.2">
      <c r="A61" s="1210"/>
      <c r="B61" s="615"/>
      <c r="C61" s="5334"/>
      <c r="D61" s="5335"/>
      <c r="E61" s="5335"/>
      <c r="F61" s="5335"/>
      <c r="G61" s="5335"/>
      <c r="H61" s="5335"/>
      <c r="I61" s="5335"/>
      <c r="J61" s="5335"/>
      <c r="K61" s="5335"/>
      <c r="L61" s="5335"/>
      <c r="M61" s="5335"/>
      <c r="N61" s="5335"/>
      <c r="O61" s="5335"/>
      <c r="P61" s="5335"/>
      <c r="Q61" s="5336"/>
      <c r="R61" s="1216"/>
      <c r="S61" s="1210"/>
      <c r="T61" s="1210"/>
      <c r="U61" s="615"/>
      <c r="V61" s="5334"/>
      <c r="W61" s="5335"/>
      <c r="X61" s="5335"/>
      <c r="Y61" s="5335"/>
      <c r="Z61" s="5335"/>
      <c r="AA61" s="5335"/>
      <c r="AB61" s="5335"/>
      <c r="AC61" s="5335"/>
      <c r="AD61" s="5335"/>
      <c r="AE61" s="5335"/>
      <c r="AF61" s="5335"/>
      <c r="AG61" s="5335"/>
      <c r="AH61" s="5335"/>
      <c r="AI61" s="5335"/>
      <c r="AJ61" s="5336"/>
      <c r="AK61" s="1216"/>
      <c r="AL61" s="1210"/>
      <c r="AM61" s="1210"/>
      <c r="AN61" s="615"/>
      <c r="AO61" s="5334"/>
      <c r="AP61" s="5335"/>
      <c r="AQ61" s="5335"/>
      <c r="AR61" s="5335"/>
      <c r="AS61" s="5335"/>
      <c r="AT61" s="5335"/>
      <c r="AU61" s="5335"/>
      <c r="AV61" s="5335"/>
      <c r="AW61" s="5335"/>
      <c r="AX61" s="5335"/>
      <c r="AY61" s="5335"/>
      <c r="AZ61" s="5335"/>
      <c r="BA61" s="5335"/>
      <c r="BB61" s="5335"/>
      <c r="BC61" s="5336"/>
      <c r="BD61" s="1216"/>
      <c r="BE61" s="1210"/>
    </row>
    <row r="62" spans="1:57" ht="12" customHeight="1" x14ac:dyDescent="0.2">
      <c r="A62" s="1210"/>
      <c r="B62" s="615"/>
      <c r="C62" s="5334"/>
      <c r="D62" s="5335"/>
      <c r="E62" s="5335"/>
      <c r="F62" s="5335"/>
      <c r="G62" s="5335"/>
      <c r="H62" s="5335"/>
      <c r="I62" s="5335"/>
      <c r="J62" s="5335"/>
      <c r="K62" s="5335"/>
      <c r="L62" s="5335"/>
      <c r="M62" s="5335"/>
      <c r="N62" s="5335"/>
      <c r="O62" s="5335"/>
      <c r="P62" s="5335"/>
      <c r="Q62" s="5336"/>
      <c r="R62" s="1216"/>
      <c r="S62" s="1210"/>
      <c r="T62" s="1210"/>
      <c r="U62" s="615"/>
      <c r="V62" s="5334"/>
      <c r="W62" s="5335"/>
      <c r="X62" s="5335"/>
      <c r="Y62" s="5335"/>
      <c r="Z62" s="5335"/>
      <c r="AA62" s="5335"/>
      <c r="AB62" s="5335"/>
      <c r="AC62" s="5335"/>
      <c r="AD62" s="5335"/>
      <c r="AE62" s="5335"/>
      <c r="AF62" s="5335"/>
      <c r="AG62" s="5335"/>
      <c r="AH62" s="5335"/>
      <c r="AI62" s="5335"/>
      <c r="AJ62" s="5336"/>
      <c r="AK62" s="1216"/>
      <c r="AL62" s="1210"/>
      <c r="AM62" s="1210"/>
      <c r="AN62" s="615"/>
      <c r="AO62" s="5334"/>
      <c r="AP62" s="5335"/>
      <c r="AQ62" s="5335"/>
      <c r="AR62" s="5335"/>
      <c r="AS62" s="5335"/>
      <c r="AT62" s="5335"/>
      <c r="AU62" s="5335"/>
      <c r="AV62" s="5335"/>
      <c r="AW62" s="5335"/>
      <c r="AX62" s="5335"/>
      <c r="AY62" s="5335"/>
      <c r="AZ62" s="5335"/>
      <c r="BA62" s="5335"/>
      <c r="BB62" s="5335"/>
      <c r="BC62" s="5336"/>
      <c r="BD62" s="1216"/>
      <c r="BE62" s="1210"/>
    </row>
    <row r="63" spans="1:57" ht="12" customHeight="1" thickBot="1" x14ac:dyDescent="0.25">
      <c r="A63" s="1210"/>
      <c r="B63" s="615"/>
      <c r="C63" s="5337"/>
      <c r="D63" s="5338"/>
      <c r="E63" s="5338"/>
      <c r="F63" s="5338"/>
      <c r="G63" s="5338"/>
      <c r="H63" s="5338"/>
      <c r="I63" s="5338"/>
      <c r="J63" s="5338"/>
      <c r="K63" s="5338"/>
      <c r="L63" s="5338"/>
      <c r="M63" s="5338"/>
      <c r="N63" s="5338"/>
      <c r="O63" s="5338"/>
      <c r="P63" s="5338"/>
      <c r="Q63" s="5339"/>
      <c r="R63" s="1216"/>
      <c r="S63" s="1210"/>
      <c r="T63" s="1210"/>
      <c r="U63" s="615"/>
      <c r="V63" s="5337"/>
      <c r="W63" s="5338"/>
      <c r="X63" s="5338"/>
      <c r="Y63" s="5338"/>
      <c r="Z63" s="5338"/>
      <c r="AA63" s="5338"/>
      <c r="AB63" s="5338"/>
      <c r="AC63" s="5338"/>
      <c r="AD63" s="5338"/>
      <c r="AE63" s="5338"/>
      <c r="AF63" s="5338"/>
      <c r="AG63" s="5338"/>
      <c r="AH63" s="5338"/>
      <c r="AI63" s="5338"/>
      <c r="AJ63" s="5339"/>
      <c r="AK63" s="1216"/>
      <c r="AL63" s="1210"/>
      <c r="AM63" s="1210"/>
      <c r="AN63" s="615"/>
      <c r="AO63" s="5337"/>
      <c r="AP63" s="5338"/>
      <c r="AQ63" s="5338"/>
      <c r="AR63" s="5338"/>
      <c r="AS63" s="5338"/>
      <c r="AT63" s="5338"/>
      <c r="AU63" s="5338"/>
      <c r="AV63" s="5338"/>
      <c r="AW63" s="5338"/>
      <c r="AX63" s="5338"/>
      <c r="AY63" s="5338"/>
      <c r="AZ63" s="5338"/>
      <c r="BA63" s="5338"/>
      <c r="BB63" s="5338"/>
      <c r="BC63" s="5339"/>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R1" zoomScaleNormal="100" workbookViewId="0">
      <selection activeCell="AD29" sqref="AD29"/>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9105</v>
      </c>
      <c r="E4" s="5358" t="s">
        <v>1938</v>
      </c>
      <c r="F4" s="5358"/>
      <c r="G4" s="5358"/>
      <c r="H4" s="5354" t="s">
        <v>9106</v>
      </c>
      <c r="I4" s="5355"/>
      <c r="J4" s="5358"/>
      <c r="K4" s="5358"/>
      <c r="L4" s="5359"/>
      <c r="M4" s="2263"/>
      <c r="N4" s="2263"/>
      <c r="O4" s="2276" t="s">
        <v>9104</v>
      </c>
      <c r="P4" s="2277" t="str">
        <f>B8&amp;"-"&amp;B108</f>
        <v>2-20</v>
      </c>
      <c r="Q4" s="2264"/>
      <c r="R4" s="2265"/>
      <c r="S4" s="2261"/>
      <c r="T4" s="2261"/>
      <c r="U4" s="2266"/>
      <c r="V4" s="2262"/>
      <c r="W4" s="2280" t="s">
        <v>9105</v>
      </c>
      <c r="X4" s="5349" t="str">
        <f>IF($E$4="","",$E$4)</f>
        <v>Fuego</v>
      </c>
      <c r="Y4" s="5349"/>
      <c r="Z4" s="5349"/>
      <c r="AA4" s="5350" t="s">
        <v>9106</v>
      </c>
      <c r="AB4" s="5351"/>
      <c r="AC4" s="5349" t="str">
        <f>IF($J$4="","",$J$4)</f>
        <v/>
      </c>
      <c r="AD4" s="5349"/>
      <c r="AE4" s="5352"/>
      <c r="AF4" s="2263"/>
      <c r="AG4" s="2263"/>
      <c r="AH4" s="2276" t="s">
        <v>9104</v>
      </c>
      <c r="AI4" s="2277" t="str">
        <f>U8&amp;"-"&amp;U108</f>
        <v>22-40</v>
      </c>
      <c r="AJ4" s="2264"/>
      <c r="AK4" s="2265"/>
      <c r="AL4" s="2261"/>
      <c r="AM4" s="2261"/>
      <c r="AN4" s="2266"/>
      <c r="AO4" s="2262"/>
      <c r="AP4" s="2280" t="s">
        <v>9105</v>
      </c>
      <c r="AQ4" s="5349" t="str">
        <f>IF($E$4="","",$E$4)</f>
        <v>Fuego</v>
      </c>
      <c r="AR4" s="5349"/>
      <c r="AS4" s="5349"/>
      <c r="AT4" s="5350" t="s">
        <v>9106</v>
      </c>
      <c r="AU4" s="5351"/>
      <c r="AV4" s="5349" t="str">
        <f>IF($J$4="","",$J$4)</f>
        <v/>
      </c>
      <c r="AW4" s="5349"/>
      <c r="AX4" s="5352"/>
      <c r="AY4" s="2263"/>
      <c r="AZ4" s="2263"/>
      <c r="BA4" s="2276" t="s">
        <v>9104</v>
      </c>
      <c r="BB4" s="2277" t="str">
        <f>AN8&amp;"-"&amp;AN108</f>
        <v>42-60</v>
      </c>
      <c r="BC4" s="2264"/>
      <c r="BD4" s="2265"/>
      <c r="BE4" s="2261"/>
      <c r="BF4" s="2261"/>
      <c r="BG4" s="2266"/>
      <c r="BH4" s="2262"/>
      <c r="BI4" s="2280" t="s">
        <v>9105</v>
      </c>
      <c r="BJ4" s="5349" t="str">
        <f>IF($E$4="","",$E$4)</f>
        <v>Fuego</v>
      </c>
      <c r="BK4" s="5349"/>
      <c r="BL4" s="5349"/>
      <c r="BM4" s="5350" t="s">
        <v>9106</v>
      </c>
      <c r="BN4" s="5351"/>
      <c r="BO4" s="5349" t="str">
        <f>IF($J$4="","",$J$4)</f>
        <v/>
      </c>
      <c r="BP4" s="5349"/>
      <c r="BQ4" s="5352"/>
      <c r="BR4" s="2263"/>
      <c r="BS4" s="2263"/>
      <c r="BT4" s="2276" t="s">
        <v>9104</v>
      </c>
      <c r="BU4" s="2277" t="str">
        <f>BG8&amp;"-"&amp;BG108</f>
        <v>62-80</v>
      </c>
      <c r="BV4" s="2264"/>
      <c r="BW4" s="2265"/>
      <c r="BX4" s="2261"/>
      <c r="BY4" s="2261"/>
      <c r="BZ4" s="2266"/>
      <c r="CA4" s="2262"/>
      <c r="CB4" s="2280" t="s">
        <v>9105</v>
      </c>
      <c r="CC4" s="5349" t="str">
        <f>IF($E$4="","",$E$4)</f>
        <v>Fuego</v>
      </c>
      <c r="CD4" s="5349"/>
      <c r="CE4" s="5349"/>
      <c r="CF4" s="5350" t="s">
        <v>9106</v>
      </c>
      <c r="CG4" s="5351"/>
      <c r="CH4" s="5349" t="str">
        <f>IF($J$4="","",$J$4)</f>
        <v/>
      </c>
      <c r="CI4" s="5349"/>
      <c r="CJ4" s="5352"/>
      <c r="CK4" s="2263"/>
      <c r="CL4" s="2263"/>
      <c r="CM4" s="2276" t="s">
        <v>9104</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3" t="str">
        <f>B8&amp;"-"&amp;B52</f>
        <v>2-10</v>
      </c>
      <c r="D7" s="5353"/>
      <c r="E7" s="5353"/>
      <c r="F7" s="5353"/>
      <c r="G7" s="5353"/>
      <c r="H7" s="5353"/>
      <c r="I7" s="5353"/>
      <c r="J7" s="5353"/>
      <c r="K7" s="5353"/>
      <c r="L7" s="5353"/>
      <c r="M7" s="5353"/>
      <c r="N7" s="5353"/>
      <c r="O7" s="5353"/>
      <c r="P7" s="5353"/>
      <c r="Q7" s="5353"/>
      <c r="R7" s="2270"/>
      <c r="S7" s="1210"/>
      <c r="T7" s="1210"/>
      <c r="U7" s="2275"/>
      <c r="V7" s="5353" t="str">
        <f>U8&amp;"-"&amp;U52</f>
        <v>22-30</v>
      </c>
      <c r="W7" s="5353"/>
      <c r="X7" s="5353"/>
      <c r="Y7" s="5353"/>
      <c r="Z7" s="5353"/>
      <c r="AA7" s="5353"/>
      <c r="AB7" s="5353"/>
      <c r="AC7" s="5353"/>
      <c r="AD7" s="5353"/>
      <c r="AE7" s="5353"/>
      <c r="AF7" s="5353"/>
      <c r="AG7" s="5353"/>
      <c r="AH7" s="5353"/>
      <c r="AI7" s="5353"/>
      <c r="AJ7" s="5353"/>
      <c r="AK7" s="2270"/>
      <c r="AL7" s="1210"/>
      <c r="AM7" s="2273"/>
      <c r="AN7" s="2269"/>
      <c r="AO7" s="5353" t="str">
        <f>AN8&amp;"-"&amp;AN52</f>
        <v>42-50</v>
      </c>
      <c r="AP7" s="5353"/>
      <c r="AQ7" s="5353"/>
      <c r="AR7" s="5353"/>
      <c r="AS7" s="5353"/>
      <c r="AT7" s="5353"/>
      <c r="AU7" s="5353"/>
      <c r="AV7" s="5353"/>
      <c r="AW7" s="5353"/>
      <c r="AX7" s="5353"/>
      <c r="AY7" s="5353"/>
      <c r="AZ7" s="5353"/>
      <c r="BA7" s="5353"/>
      <c r="BB7" s="5353"/>
      <c r="BC7" s="5353"/>
      <c r="BD7" s="2270"/>
      <c r="BE7" s="1210"/>
      <c r="BF7" s="1210"/>
      <c r="BG7" s="2269"/>
      <c r="BH7" s="5353" t="str">
        <f>BG8&amp;"-"&amp;BG52</f>
        <v>62-70</v>
      </c>
      <c r="BI7" s="5353"/>
      <c r="BJ7" s="5353"/>
      <c r="BK7" s="5353"/>
      <c r="BL7" s="5353"/>
      <c r="BM7" s="5353"/>
      <c r="BN7" s="5353"/>
      <c r="BO7" s="5353"/>
      <c r="BP7" s="5353"/>
      <c r="BQ7" s="5353"/>
      <c r="BR7" s="5353"/>
      <c r="BS7" s="5353"/>
      <c r="BT7" s="5353"/>
      <c r="BU7" s="5353"/>
      <c r="BV7" s="5353"/>
      <c r="BW7" s="2270"/>
      <c r="BX7" s="1210"/>
      <c r="BY7" s="1210"/>
      <c r="BZ7" s="2269"/>
      <c r="CA7" s="5353" t="str">
        <f>BZ8&amp;"-"&amp;BZ52</f>
        <v>82-90</v>
      </c>
      <c r="CB7" s="5353"/>
      <c r="CC7" s="5353"/>
      <c r="CD7" s="5353"/>
      <c r="CE7" s="5353"/>
      <c r="CF7" s="5353"/>
      <c r="CG7" s="5353"/>
      <c r="CH7" s="5353"/>
      <c r="CI7" s="5353"/>
      <c r="CJ7" s="5353"/>
      <c r="CK7" s="5353"/>
      <c r="CL7" s="5353"/>
      <c r="CM7" s="5353"/>
      <c r="CN7" s="5353"/>
      <c r="CO7" s="5353"/>
      <c r="CP7" s="2270"/>
      <c r="CQ7" s="1210"/>
    </row>
    <row r="8" spans="1:95" ht="12" customHeight="1" x14ac:dyDescent="0.2">
      <c r="A8" s="1210"/>
      <c r="B8" s="2258">
        <v>2</v>
      </c>
      <c r="C8" s="5356"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57"/>
      <c r="E8" s="5357"/>
      <c r="F8" s="5357"/>
      <c r="G8" s="5357"/>
      <c r="H8" s="1230" t="s">
        <v>1630</v>
      </c>
      <c r="I8" s="1231">
        <f>IF(C8=0,"",VLOOKUP(C8,'Tablas Magia'!$D$6:$Z$680,3,FALSE))</f>
        <v>2</v>
      </c>
      <c r="J8" s="5344" t="s">
        <v>8162</v>
      </c>
      <c r="K8" s="5344"/>
      <c r="L8" s="5344"/>
      <c r="M8" s="5345" t="str">
        <f>IF(C8=0,"",VLOOKUP(C8,'Tablas Magia'!$D$6:$Z$680,2,FALSE))</f>
        <v>Fuego</v>
      </c>
      <c r="N8" s="5345"/>
      <c r="O8" s="5345"/>
      <c r="P8" s="5345"/>
      <c r="Q8" s="5346"/>
      <c r="R8" s="1216"/>
      <c r="S8" s="1210"/>
      <c r="T8" s="1210"/>
      <c r="U8" s="2258">
        <f>B8+20</f>
        <v>22</v>
      </c>
      <c r="V8" s="5356"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57"/>
      <c r="X8" s="5357"/>
      <c r="Y8" s="5357"/>
      <c r="Z8" s="5357"/>
      <c r="AA8" s="1230" t="s">
        <v>1630</v>
      </c>
      <c r="AB8" s="1231">
        <f>IF(V8=0,"",VLOOKUP(V8,'Tablas Magia'!$D$6:$Z$680,3,FALSE))</f>
        <v>22</v>
      </c>
      <c r="AC8" s="5344" t="s">
        <v>8162</v>
      </c>
      <c r="AD8" s="5344"/>
      <c r="AE8" s="5344"/>
      <c r="AF8" s="5345" t="str">
        <f>IF(V8=0,"",VLOOKUP(V8,'Tablas Magia'!$D$6:$Z$680,2,FALSE))</f>
        <v>Fuego</v>
      </c>
      <c r="AG8" s="5345"/>
      <c r="AH8" s="5345"/>
      <c r="AI8" s="5345"/>
      <c r="AJ8" s="5346"/>
      <c r="AK8" s="1216"/>
      <c r="AL8" s="1210"/>
      <c r="AM8" s="1210"/>
      <c r="AN8" s="2272">
        <f>U8+20</f>
        <v>42</v>
      </c>
      <c r="AO8" s="5356"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57"/>
      <c r="AQ8" s="5357"/>
      <c r="AR8" s="5357"/>
      <c r="AS8" s="5357"/>
      <c r="AT8" s="1230" t="s">
        <v>1630</v>
      </c>
      <c r="AU8" s="1231">
        <f>IF(AO8=0,"",VLOOKUP(AO8,'Tablas Magia'!$D$6:$Z$680,3,FALSE))</f>
        <v>42</v>
      </c>
      <c r="AV8" s="5344" t="s">
        <v>8162</v>
      </c>
      <c r="AW8" s="5344"/>
      <c r="AX8" s="5344"/>
      <c r="AY8" s="5345" t="str">
        <f>IF(AO8=0,"",VLOOKUP(AO8,'Tablas Magia'!$D$6:$Z$680,2,FALSE))</f>
        <v>Fuego</v>
      </c>
      <c r="AZ8" s="5345"/>
      <c r="BA8" s="5345"/>
      <c r="BB8" s="5345"/>
      <c r="BC8" s="5346"/>
      <c r="BD8" s="1216"/>
      <c r="BE8" s="1210"/>
      <c r="BF8" s="1210"/>
      <c r="BG8" s="2272">
        <f>AN8+20</f>
        <v>62</v>
      </c>
      <c r="BH8" s="5356"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57"/>
      <c r="BJ8" s="5357"/>
      <c r="BK8" s="5357"/>
      <c r="BL8" s="5357"/>
      <c r="BM8" s="1230" t="s">
        <v>1630</v>
      </c>
      <c r="BN8" s="1231">
        <f>IF(BH8=0,"",VLOOKUP(BH8,'Tablas Magia'!$D$6:$Z$680,3,FALSE))</f>
        <v>62</v>
      </c>
      <c r="BO8" s="5344" t="s">
        <v>8162</v>
      </c>
      <c r="BP8" s="5344"/>
      <c r="BQ8" s="5344"/>
      <c r="BR8" s="5345" t="str">
        <f>IF(BH8=0,"",VLOOKUP(BH8,'Tablas Magia'!$D$6:$Z$680,2,FALSE))</f>
        <v>Fuego</v>
      </c>
      <c r="BS8" s="5345"/>
      <c r="BT8" s="5345"/>
      <c r="BU8" s="5345"/>
      <c r="BV8" s="5346"/>
      <c r="BW8" s="1216"/>
      <c r="BX8" s="1210"/>
      <c r="BY8" s="1210"/>
      <c r="BZ8" s="2272">
        <f>BG8+20</f>
        <v>82</v>
      </c>
      <c r="CA8" s="5356"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57"/>
      <c r="CC8" s="5357"/>
      <c r="CD8" s="5357"/>
      <c r="CE8" s="5357"/>
      <c r="CF8" s="1230" t="s">
        <v>1630</v>
      </c>
      <c r="CG8" s="1231">
        <f>IF(CA8=0,"",VLOOKUP(CA8,'Tablas Magia'!$D$6:$Z$680,3,FALSE))</f>
        <v>82</v>
      </c>
      <c r="CH8" s="5344" t="s">
        <v>8162</v>
      </c>
      <c r="CI8" s="5344"/>
      <c r="CJ8" s="5344"/>
      <c r="CK8" s="5345" t="str">
        <f>IF(CA8=0,"",VLOOKUP(CA8,'Tablas Magia'!$D$6:$Z$680,2,FALSE))</f>
        <v>Fuego</v>
      </c>
      <c r="CL8" s="5345"/>
      <c r="CM8" s="5345"/>
      <c r="CN8" s="5345"/>
      <c r="CO8" s="5346"/>
      <c r="CP8" s="1216"/>
      <c r="CQ8" s="1210"/>
    </row>
    <row r="9" spans="1:95" ht="12" customHeight="1" x14ac:dyDescent="0.2">
      <c r="A9" s="1210"/>
      <c r="B9" s="2258"/>
      <c r="C9" s="5340" t="s">
        <v>8163</v>
      </c>
      <c r="D9" s="5341"/>
      <c r="E9" s="1232" t="s">
        <v>8164</v>
      </c>
      <c r="F9" s="1232" t="s">
        <v>1824</v>
      </c>
      <c r="G9" s="1232" t="s">
        <v>3467</v>
      </c>
      <c r="H9" s="1233" t="s">
        <v>2175</v>
      </c>
      <c r="I9" s="5314" t="str">
        <f>IF(C8=0,"",VLOOKUP(C8,'Tablas Magia'!$D$6:$Z$680,5,FALSE))</f>
        <v>Efecto</v>
      </c>
      <c r="J9" s="5314"/>
      <c r="K9" s="5313" t="s">
        <v>8165</v>
      </c>
      <c r="L9" s="5313"/>
      <c r="M9" s="5314" t="str">
        <f>IF(C8=0,"",VLOOKUP(C8,'Tablas Magia'!$D$6:$Z$680,6,FALSE))</f>
        <v>Activa</v>
      </c>
      <c r="N9" s="5314"/>
      <c r="O9" s="5315" t="s">
        <v>8166</v>
      </c>
      <c r="P9" s="5315"/>
      <c r="Q9" s="1234" t="str">
        <f>IF(C8=0,"",VLOOKUP(C8,'Tablas Magia'!$D$6:$Z$680,4,FALSE))</f>
        <v>Si</v>
      </c>
      <c r="R9" s="1216"/>
      <c r="S9" s="1210"/>
      <c r="T9" s="1210"/>
      <c r="U9" s="2258"/>
      <c r="V9" s="5340" t="s">
        <v>8163</v>
      </c>
      <c r="W9" s="5341"/>
      <c r="X9" s="1232" t="s">
        <v>8164</v>
      </c>
      <c r="Y9" s="1232" t="s">
        <v>1824</v>
      </c>
      <c r="Z9" s="1232" t="s">
        <v>3467</v>
      </c>
      <c r="AA9" s="1233" t="s">
        <v>2175</v>
      </c>
      <c r="AB9" s="5314" t="str">
        <f>IF(V8=0,"",VLOOKUP(V8,'Tablas Magia'!$D$6:$Z$680,5,FALSE))</f>
        <v>Defensa</v>
      </c>
      <c r="AC9" s="5314"/>
      <c r="AD9" s="5313" t="s">
        <v>8165</v>
      </c>
      <c r="AE9" s="5313"/>
      <c r="AF9" s="5314" t="str">
        <f>IF(V8=0,"",VLOOKUP(V8,'Tablas Magia'!$D$6:$Z$680,6,FALSE))</f>
        <v>Activa</v>
      </c>
      <c r="AG9" s="5314"/>
      <c r="AH9" s="5315" t="s">
        <v>8166</v>
      </c>
      <c r="AI9" s="5315"/>
      <c r="AJ9" s="1234" t="str">
        <f>IF(V8=0,"",VLOOKUP(V8,'Tablas Magia'!$D$6:$Z$680,4,FALSE))</f>
        <v>No</v>
      </c>
      <c r="AK9" s="1216"/>
      <c r="AL9" s="1210"/>
      <c r="AM9" s="1210"/>
      <c r="AN9" s="2272"/>
      <c r="AO9" s="5340" t="s">
        <v>8163</v>
      </c>
      <c r="AP9" s="5341"/>
      <c r="AQ9" s="1232" t="s">
        <v>8164</v>
      </c>
      <c r="AR9" s="1232" t="s">
        <v>1824</v>
      </c>
      <c r="AS9" s="1232" t="s">
        <v>3467</v>
      </c>
      <c r="AT9" s="1233" t="s">
        <v>2175</v>
      </c>
      <c r="AU9" s="5314" t="str">
        <f>IF(AO8=0,"",VLOOKUP(AO8,'Tablas Magia'!$D$6:$Z$680,5,FALSE))</f>
        <v>Efecto</v>
      </c>
      <c r="AV9" s="5314"/>
      <c r="AW9" s="5313" t="s">
        <v>8165</v>
      </c>
      <c r="AX9" s="5313"/>
      <c r="AY9" s="5314" t="str">
        <f>IF(AO8=0,"",VLOOKUP(AO8,'Tablas Magia'!$D$6:$Z$680,6,FALSE))</f>
        <v>Pasiva</v>
      </c>
      <c r="AZ9" s="5314"/>
      <c r="BA9" s="5315" t="s">
        <v>8166</v>
      </c>
      <c r="BB9" s="5315"/>
      <c r="BC9" s="1234" t="str">
        <f>IF(AO8=0,"",VLOOKUP(AO8,'Tablas Magia'!$D$6:$Z$680,4,FALSE))</f>
        <v>No</v>
      </c>
      <c r="BD9" s="1216"/>
      <c r="BE9" s="1210"/>
      <c r="BF9" s="1210"/>
      <c r="BG9" s="2272"/>
      <c r="BH9" s="5340" t="s">
        <v>8163</v>
      </c>
      <c r="BI9" s="5341"/>
      <c r="BJ9" s="1232" t="s">
        <v>8164</v>
      </c>
      <c r="BK9" s="1232" t="s">
        <v>1824</v>
      </c>
      <c r="BL9" s="1232" t="s">
        <v>3467</v>
      </c>
      <c r="BM9" s="1233" t="s">
        <v>2175</v>
      </c>
      <c r="BN9" s="5314" t="str">
        <f>IF(BH8=0,"",VLOOKUP(BH8,'Tablas Magia'!$D$6:$Z$680,5,FALSE))</f>
        <v>Anímico</v>
      </c>
      <c r="BO9" s="5314"/>
      <c r="BP9" s="5313" t="s">
        <v>8165</v>
      </c>
      <c r="BQ9" s="5313"/>
      <c r="BR9" s="5314" t="str">
        <f>IF(BH8=0,"",VLOOKUP(BH8,'Tablas Magia'!$D$6:$Z$680,6,FALSE))</f>
        <v>Activa</v>
      </c>
      <c r="BS9" s="5314"/>
      <c r="BT9" s="5315" t="s">
        <v>8166</v>
      </c>
      <c r="BU9" s="5315"/>
      <c r="BV9" s="1234" t="str">
        <f>IF(BH8=0,"",VLOOKUP(BH8,'Tablas Magia'!$D$6:$Z$680,4,FALSE))</f>
        <v>No</v>
      </c>
      <c r="BW9" s="1216"/>
      <c r="BX9" s="1210"/>
      <c r="BY9" s="1210"/>
      <c r="BZ9" s="2272"/>
      <c r="CA9" s="5340" t="s">
        <v>8163</v>
      </c>
      <c r="CB9" s="5341"/>
      <c r="CC9" s="1232" t="s">
        <v>8164</v>
      </c>
      <c r="CD9" s="1232" t="s">
        <v>1824</v>
      </c>
      <c r="CE9" s="1232" t="s">
        <v>3467</v>
      </c>
      <c r="CF9" s="1233" t="s">
        <v>2175</v>
      </c>
      <c r="CG9" s="5314" t="str">
        <f>IF(CA8=0,"",VLOOKUP(CA8,'Tablas Magia'!$D$6:$Z$680,5,FALSE))</f>
        <v>Efecto</v>
      </c>
      <c r="CH9" s="5314"/>
      <c r="CI9" s="5313" t="s">
        <v>8165</v>
      </c>
      <c r="CJ9" s="5313"/>
      <c r="CK9" s="5314" t="str">
        <f>IF(CA8=0,"",VLOOKUP(CA8,'Tablas Magia'!$D$6:$Z$680,6,FALSE))</f>
        <v>Activa</v>
      </c>
      <c r="CL9" s="5314"/>
      <c r="CM9" s="5315" t="s">
        <v>8166</v>
      </c>
      <c r="CN9" s="5315"/>
      <c r="CO9" s="1234" t="str">
        <f>IF(CA8=0,"",VLOOKUP(CA8,'Tablas Magia'!$D$6:$Z$680,4,FALSE))</f>
        <v>Si</v>
      </c>
      <c r="CP9" s="1216"/>
      <c r="CQ9" s="1210"/>
    </row>
    <row r="10" spans="1:95" ht="12" customHeight="1" x14ac:dyDescent="0.2">
      <c r="A10" s="1210"/>
      <c r="B10" s="2258"/>
      <c r="C10" s="5316" t="s">
        <v>1677</v>
      </c>
      <c r="D10" s="5317"/>
      <c r="E10" s="1235">
        <f>IF(C8=0,"",VLOOKUP(C8,'Tablas Magia'!$D$6:$Z$680,7,FALSE))</f>
        <v>5</v>
      </c>
      <c r="F10" s="1235">
        <f>IF(C8=0,"",VLOOKUP(C8,'Tablas Magia'!$D$6:$Z$680,11,FALSE))</f>
        <v>30</v>
      </c>
      <c r="G10" s="1236">
        <f>IF(C8=0,"",VLOOKUP(C8,'Tablas Magia'!$D$6:$Z$680,15,FALSE))</f>
        <v>5</v>
      </c>
      <c r="H10" s="5318" t="str">
        <f>IF(C8=0,"",VLOOKUP(C8,'Tablas Magia'!$D$6:$Z$680,19,FALSE))</f>
        <v>1 Intensidad de fuego</v>
      </c>
      <c r="I10" s="5319"/>
      <c r="J10" s="5319"/>
      <c r="K10" s="5319"/>
      <c r="L10" s="5319"/>
      <c r="M10" s="5319"/>
      <c r="N10" s="5319"/>
      <c r="O10" s="5319"/>
      <c r="P10" s="5319"/>
      <c r="Q10" s="5320"/>
      <c r="R10" s="1216"/>
      <c r="S10" s="1210"/>
      <c r="T10" s="1210"/>
      <c r="U10" s="2258"/>
      <c r="V10" s="5316" t="s">
        <v>1677</v>
      </c>
      <c r="W10" s="5317"/>
      <c r="X10" s="1235">
        <f>IF(V8=0,"",VLOOKUP(V8,'Tablas Magia'!$D$6:$Z$680,7,FALSE))</f>
        <v>6</v>
      </c>
      <c r="Y10" s="1235">
        <f>IF(V8=0,"",VLOOKUP(V8,'Tablas Magia'!$D$6:$Z$680,11,FALSE))</f>
        <v>50</v>
      </c>
      <c r="Z10" s="1236">
        <f>IF(V8=0,"",VLOOKUP(V8,'Tablas Magia'!$D$6:$Z$680,15,FALSE))</f>
        <v>5</v>
      </c>
      <c r="AA10" s="5318" t="str">
        <f>IF(V8=0,"",VLOOKUP(V8,'Tablas Magia'!$D$6:$Z$680,19,FALSE))</f>
        <v>Daño 80 / 2 metros de extensión / 300 puntos de Resistencia</v>
      </c>
      <c r="AB10" s="5319"/>
      <c r="AC10" s="5319"/>
      <c r="AD10" s="5319"/>
      <c r="AE10" s="5319"/>
      <c r="AF10" s="5319"/>
      <c r="AG10" s="5319"/>
      <c r="AH10" s="5319"/>
      <c r="AI10" s="5319"/>
      <c r="AJ10" s="5320"/>
      <c r="AK10" s="1216"/>
      <c r="AL10" s="1210"/>
      <c r="AM10" s="1210"/>
      <c r="AN10" s="2272"/>
      <c r="AO10" s="5316" t="s">
        <v>1677</v>
      </c>
      <c r="AP10" s="5317"/>
      <c r="AQ10" s="1235">
        <f>IF(AO8=0,"",VLOOKUP(AO8,'Tablas Magia'!$D$6:$Z$680,7,FALSE))</f>
        <v>6</v>
      </c>
      <c r="AR10" s="1235">
        <f>IF(AO8=0,"",VLOOKUP(AO8,'Tablas Magia'!$D$6:$Z$680,11,FALSE))</f>
        <v>60</v>
      </c>
      <c r="AS10" s="1236" t="str">
        <f>IF(AO8=0,"",VLOOKUP(AO8,'Tablas Magia'!$D$6:$Z$680,15,FALSE))</f>
        <v>No</v>
      </c>
      <c r="AT10" s="5318" t="str">
        <f>IF(AO8=0,"",VLOOKUP(AO8,'Tablas Magia'!$D$6:$Z$680,19,FALSE))</f>
        <v>+20 al nivel de Crítico</v>
      </c>
      <c r="AU10" s="5319"/>
      <c r="AV10" s="5319"/>
      <c r="AW10" s="5319"/>
      <c r="AX10" s="5319"/>
      <c r="AY10" s="5319"/>
      <c r="AZ10" s="5319"/>
      <c r="BA10" s="5319"/>
      <c r="BB10" s="5319"/>
      <c r="BC10" s="5320"/>
      <c r="BD10" s="1216"/>
      <c r="BE10" s="1210"/>
      <c r="BF10" s="1210"/>
      <c r="BG10" s="2272"/>
      <c r="BH10" s="5316" t="s">
        <v>1677</v>
      </c>
      <c r="BI10" s="5317"/>
      <c r="BJ10" s="1235">
        <f>IF(BH8=0,"",VLOOKUP(BH8,'Tablas Magia'!$D$6:$Z$680,7,FALSE))</f>
        <v>6</v>
      </c>
      <c r="BK10" s="1235">
        <f>IF(BH8=0,"",VLOOKUP(BH8,'Tablas Magia'!$D$6:$Z$680,11,FALSE))</f>
        <v>120</v>
      </c>
      <c r="BL10" s="1236" t="str">
        <f>IF(BH8=0,"",VLOOKUP(BH8,'Tablas Magia'!$D$6:$Z$680,15,FALSE))</f>
        <v>No</v>
      </c>
      <c r="BM10" s="5318" t="str">
        <f>IF(BH8=0,"",VLOOKUP(BH8,'Tablas Magia'!$D$6:$Z$680,19,FALSE))</f>
        <v>10 metros de radio/ RM 120</v>
      </c>
      <c r="BN10" s="5319"/>
      <c r="BO10" s="5319"/>
      <c r="BP10" s="5319"/>
      <c r="BQ10" s="5319"/>
      <c r="BR10" s="5319"/>
      <c r="BS10" s="5319"/>
      <c r="BT10" s="5319"/>
      <c r="BU10" s="5319"/>
      <c r="BV10" s="5320"/>
      <c r="BW10" s="1216"/>
      <c r="BX10" s="1210"/>
      <c r="BY10" s="1210"/>
      <c r="BZ10" s="2272"/>
      <c r="CA10" s="5316" t="s">
        <v>1677</v>
      </c>
      <c r="CB10" s="5317"/>
      <c r="CC10" s="1235">
        <f>IF(CA8=0,"",VLOOKUP(CA8,'Tablas Magia'!$D$6:$Z$680,7,FALSE))</f>
        <v>10</v>
      </c>
      <c r="CD10" s="1235">
        <f>IF(CA8=0,"",VLOOKUP(CA8,'Tablas Magia'!$D$6:$Z$680,11,FALSE))</f>
        <v>250</v>
      </c>
      <c r="CE10" s="1236">
        <f>IF(CA8=0,"",VLOOKUP(CA8,'Tablas Magia'!$D$6:$Z$680,15,FALSE))</f>
        <v>50</v>
      </c>
      <c r="CF10" s="5318" t="str">
        <f>IF(CA8=0,"",VLOOKUP(CA8,'Tablas Magia'!$D$6:$Z$680,19,FALSE))</f>
        <v>Nivel 1.</v>
      </c>
      <c r="CG10" s="5319"/>
      <c r="CH10" s="5319"/>
      <c r="CI10" s="5319"/>
      <c r="CJ10" s="5319"/>
      <c r="CK10" s="5319"/>
      <c r="CL10" s="5319"/>
      <c r="CM10" s="5319"/>
      <c r="CN10" s="5319"/>
      <c r="CO10" s="5320"/>
      <c r="CP10" s="1216"/>
      <c r="CQ10" s="1210"/>
    </row>
    <row r="11" spans="1:95" ht="12" customHeight="1" x14ac:dyDescent="0.2">
      <c r="A11" s="1210"/>
      <c r="B11" s="2258"/>
      <c r="C11" s="5321" t="s">
        <v>4705</v>
      </c>
      <c r="D11" s="5322"/>
      <c r="E11" s="1237">
        <f>IF(C8=0,"",VLOOKUP(C8,'Tablas Magia'!$D$6:$Z$680,8,FALSE))</f>
        <v>8</v>
      </c>
      <c r="F11" s="1237">
        <f>IF(C8=0,"",VLOOKUP(C8,'Tablas Magia'!$D$6:$Z$680,12,FALSE))</f>
        <v>80</v>
      </c>
      <c r="G11" s="1238">
        <f>IF(C8=0,"",VLOOKUP(C8,'Tablas Magia'!$D$6:$Z$680,16,FALSE))</f>
        <v>10</v>
      </c>
      <c r="H11" s="5323" t="str">
        <f>IF(C8=0,"",VLOOKUP(C8,'Tablas Magia'!$D$6:$Z$680,20,FALSE))</f>
        <v>6 intensidades de fuego</v>
      </c>
      <c r="I11" s="5324"/>
      <c r="J11" s="5324"/>
      <c r="K11" s="5324"/>
      <c r="L11" s="5324"/>
      <c r="M11" s="5324"/>
      <c r="N11" s="5324"/>
      <c r="O11" s="5324"/>
      <c r="P11" s="5324"/>
      <c r="Q11" s="5325"/>
      <c r="R11" s="1216"/>
      <c r="S11" s="1210"/>
      <c r="T11" s="1210"/>
      <c r="U11" s="2258"/>
      <c r="V11" s="5321" t="s">
        <v>4705</v>
      </c>
      <c r="W11" s="5322"/>
      <c r="X11" s="1237">
        <f>IF(V8=0,"",VLOOKUP(V8,'Tablas Magia'!$D$6:$Z$680,8,FALSE))</f>
        <v>9</v>
      </c>
      <c r="Y11" s="1237">
        <f>IF(V8=0,"",VLOOKUP(V8,'Tablas Magia'!$D$6:$Z$680,12,FALSE))</f>
        <v>90</v>
      </c>
      <c r="Z11" s="1238">
        <f>IF(V8=0,"",VLOOKUP(V8,'Tablas Magia'!$D$6:$Z$680,16,FALSE))</f>
        <v>10</v>
      </c>
      <c r="AA11" s="5323" t="str">
        <f>IF(V8=0,"",VLOOKUP(V8,'Tablas Magia'!$D$6:$Z$680,20,FALSE))</f>
        <v>Daño 90 / 5 metros de extensión / 500 puntos de Resistencia</v>
      </c>
      <c r="AB11" s="5324"/>
      <c r="AC11" s="5324"/>
      <c r="AD11" s="5324"/>
      <c r="AE11" s="5324"/>
      <c r="AF11" s="5324"/>
      <c r="AG11" s="5324"/>
      <c r="AH11" s="5324"/>
      <c r="AI11" s="5324"/>
      <c r="AJ11" s="5325"/>
      <c r="AK11" s="1216"/>
      <c r="AL11" s="1210"/>
      <c r="AM11" s="1210"/>
      <c r="AN11" s="2272"/>
      <c r="AO11" s="5321" t="s">
        <v>4705</v>
      </c>
      <c r="AP11" s="5322"/>
      <c r="AQ11" s="1237">
        <f>IF(AO8=0,"",VLOOKUP(AO8,'Tablas Magia'!$D$6:$Z$680,8,FALSE))</f>
        <v>9</v>
      </c>
      <c r="AR11" s="1237">
        <f>IF(AO8=0,"",VLOOKUP(AO8,'Tablas Magia'!$D$6:$Z$680,12,FALSE))</f>
        <v>90</v>
      </c>
      <c r="AS11" s="1238" t="str">
        <f>IF(AO8=0,"",VLOOKUP(AO8,'Tablas Magia'!$D$6:$Z$680,16,FALSE))</f>
        <v>No</v>
      </c>
      <c r="AT11" s="5323" t="str">
        <f>IF(AO8=0,"",VLOOKUP(AO8,'Tablas Magia'!$D$6:$Z$680,20,FALSE))</f>
        <v>+40 al nivel de Crítico</v>
      </c>
      <c r="AU11" s="5324"/>
      <c r="AV11" s="5324"/>
      <c r="AW11" s="5324"/>
      <c r="AX11" s="5324"/>
      <c r="AY11" s="5324"/>
      <c r="AZ11" s="5324"/>
      <c r="BA11" s="5324"/>
      <c r="BB11" s="5324"/>
      <c r="BC11" s="5325"/>
      <c r="BD11" s="1216"/>
      <c r="BE11" s="1210"/>
      <c r="BF11" s="1210"/>
      <c r="BG11" s="2272"/>
      <c r="BH11" s="5321" t="s">
        <v>4705</v>
      </c>
      <c r="BI11" s="5322"/>
      <c r="BJ11" s="1237">
        <f>IF(BH8=0,"",VLOOKUP(BH8,'Tablas Magia'!$D$6:$Z$680,8,FALSE))</f>
        <v>9</v>
      </c>
      <c r="BK11" s="1237">
        <f>IF(BH8=0,"",VLOOKUP(BH8,'Tablas Magia'!$D$6:$Z$680,12,FALSE))</f>
        <v>180</v>
      </c>
      <c r="BL11" s="1238" t="str">
        <f>IF(BH8=0,"",VLOOKUP(BH8,'Tablas Magia'!$D$6:$Z$680,16,FALSE))</f>
        <v>No</v>
      </c>
      <c r="BM11" s="5323" t="str">
        <f>IF(BH8=0,"",VLOOKUP(BH8,'Tablas Magia'!$D$6:$Z$680,20,FALSE))</f>
        <v>25 metros de radio/ RM 160</v>
      </c>
      <c r="BN11" s="5324"/>
      <c r="BO11" s="5324"/>
      <c r="BP11" s="5324"/>
      <c r="BQ11" s="5324"/>
      <c r="BR11" s="5324"/>
      <c r="BS11" s="5324"/>
      <c r="BT11" s="5324"/>
      <c r="BU11" s="5324"/>
      <c r="BV11" s="5325"/>
      <c r="BW11" s="1216"/>
      <c r="BX11" s="1210"/>
      <c r="BY11" s="1210"/>
      <c r="BZ11" s="2272"/>
      <c r="CA11" s="5321" t="s">
        <v>4705</v>
      </c>
      <c r="CB11" s="5322"/>
      <c r="CC11" s="1237">
        <f>IF(CA8=0,"",VLOOKUP(CA8,'Tablas Magia'!$D$6:$Z$680,8,FALSE))</f>
        <v>12</v>
      </c>
      <c r="CD11" s="1237">
        <f>IF(CA8=0,"",VLOOKUP(CA8,'Tablas Magia'!$D$6:$Z$680,12,FALSE))</f>
        <v>350</v>
      </c>
      <c r="CE11" s="1238">
        <f>IF(CA8=0,"",VLOOKUP(CA8,'Tablas Magia'!$D$6:$Z$680,16,FALSE))</f>
        <v>70</v>
      </c>
      <c r="CF11" s="5323" t="str">
        <f>IF(CA8=0,"",VLOOKUP(CA8,'Tablas Magia'!$D$6:$Z$680,20,FALSE))</f>
        <v>Nivel 3</v>
      </c>
      <c r="CG11" s="5324"/>
      <c r="CH11" s="5324"/>
      <c r="CI11" s="5324"/>
      <c r="CJ11" s="5324"/>
      <c r="CK11" s="5324"/>
      <c r="CL11" s="5324"/>
      <c r="CM11" s="5324"/>
      <c r="CN11" s="5324"/>
      <c r="CO11" s="5325"/>
      <c r="CP11" s="1216"/>
      <c r="CQ11" s="1210"/>
    </row>
    <row r="12" spans="1:95" ht="12" customHeight="1" x14ac:dyDescent="0.2">
      <c r="A12" s="1210"/>
      <c r="B12" s="2258"/>
      <c r="C12" s="5316" t="s">
        <v>4706</v>
      </c>
      <c r="D12" s="5317"/>
      <c r="E12" s="1235">
        <f>IF(C8=0,"",VLOOKUP(C8,'Tablas Magia'!$D$6:$Z$680,9,FALSE))</f>
        <v>10</v>
      </c>
      <c r="F12" s="1235">
        <f>IF(C8=0,"",VLOOKUP(C8,'Tablas Magia'!$D$6:$Z$680,13,FALSE))</f>
        <v>100</v>
      </c>
      <c r="G12" s="1236">
        <f>IF(C8=0,"",VLOOKUP(C8,'Tablas Magia'!$D$6:$Z$680,17,FALSE))</f>
        <v>10</v>
      </c>
      <c r="H12" s="5318" t="str">
        <f>IF(C8=0,"",VLOOKUP(C8,'Tablas Magia'!$D$6:$Z$680,21,FALSE))</f>
        <v>8 Intensidades de fuego</v>
      </c>
      <c r="I12" s="5319"/>
      <c r="J12" s="5319"/>
      <c r="K12" s="5319"/>
      <c r="L12" s="5319"/>
      <c r="M12" s="5319"/>
      <c r="N12" s="5319"/>
      <c r="O12" s="5319"/>
      <c r="P12" s="5319"/>
      <c r="Q12" s="5320"/>
      <c r="R12" s="1216"/>
      <c r="S12" s="1210"/>
      <c r="T12" s="1210"/>
      <c r="U12" s="2258"/>
      <c r="V12" s="5316" t="s">
        <v>4706</v>
      </c>
      <c r="W12" s="5317"/>
      <c r="X12" s="1235">
        <f>IF(V8=0,"",VLOOKUP(V8,'Tablas Magia'!$D$6:$Z$680,9,FALSE))</f>
        <v>12</v>
      </c>
      <c r="Y12" s="1235">
        <f>IF(V8=0,"",VLOOKUP(V8,'Tablas Magia'!$D$6:$Z$680,13,FALSE))</f>
        <v>120</v>
      </c>
      <c r="Z12" s="1236">
        <f>IF(V8=0,"",VLOOKUP(V8,'Tablas Magia'!$D$6:$Z$680,17,FALSE))</f>
        <v>10</v>
      </c>
      <c r="AA12" s="5318" t="str">
        <f>IF(V8=0,"",VLOOKUP(V8,'Tablas Magia'!$D$6:$Z$680,21,FALSE))</f>
        <v>Daño 100 / 10 metros / 800 puntos / Puede detener ataques basados en energía</v>
      </c>
      <c r="AB12" s="5319"/>
      <c r="AC12" s="5319"/>
      <c r="AD12" s="5319"/>
      <c r="AE12" s="5319"/>
      <c r="AF12" s="5319"/>
      <c r="AG12" s="5319"/>
      <c r="AH12" s="5319"/>
      <c r="AI12" s="5319"/>
      <c r="AJ12" s="5320"/>
      <c r="AK12" s="1216"/>
      <c r="AL12" s="1210"/>
      <c r="AM12" s="1210"/>
      <c r="AN12" s="2272"/>
      <c r="AO12" s="5316" t="s">
        <v>4706</v>
      </c>
      <c r="AP12" s="5317"/>
      <c r="AQ12" s="1235">
        <f>IF(AO8=0,"",VLOOKUP(AO8,'Tablas Magia'!$D$6:$Z$680,9,FALSE))</f>
        <v>12</v>
      </c>
      <c r="AR12" s="1235">
        <f>IF(AO8=0,"",VLOOKUP(AO8,'Tablas Magia'!$D$6:$Z$680,13,FALSE))</f>
        <v>120</v>
      </c>
      <c r="AS12" s="1236" t="str">
        <f>IF(AO8=0,"",VLOOKUP(AO8,'Tablas Magia'!$D$6:$Z$680,17,FALSE))</f>
        <v>No</v>
      </c>
      <c r="AT12" s="5318" t="str">
        <f>IF(AO8=0,"",VLOOKUP(AO8,'Tablas Magia'!$D$6:$Z$680,21,FALSE))</f>
        <v>+60 al nivel de Crítico</v>
      </c>
      <c r="AU12" s="5319"/>
      <c r="AV12" s="5319"/>
      <c r="AW12" s="5319"/>
      <c r="AX12" s="5319"/>
      <c r="AY12" s="5319"/>
      <c r="AZ12" s="5319"/>
      <c r="BA12" s="5319"/>
      <c r="BB12" s="5319"/>
      <c r="BC12" s="5320"/>
      <c r="BD12" s="1216"/>
      <c r="BE12" s="1210"/>
      <c r="BF12" s="1210"/>
      <c r="BG12" s="2272"/>
      <c r="BH12" s="5316" t="s">
        <v>4706</v>
      </c>
      <c r="BI12" s="5317"/>
      <c r="BJ12" s="1235">
        <f>IF(BH8=0,"",VLOOKUP(BH8,'Tablas Magia'!$D$6:$Z$680,9,FALSE))</f>
        <v>14</v>
      </c>
      <c r="BK12" s="1235">
        <f>IF(BH8=0,"",VLOOKUP(BH8,'Tablas Magia'!$D$6:$Z$680,13,FALSE))</f>
        <v>240</v>
      </c>
      <c r="BL12" s="1236" t="str">
        <f>IF(BH8=0,"",VLOOKUP(BH8,'Tablas Magia'!$D$6:$Z$680,17,FALSE))</f>
        <v>No</v>
      </c>
      <c r="BM12" s="5318" t="str">
        <f>IF(BH8=0,"",VLOOKUP(BH8,'Tablas Magia'!$D$6:$Z$680,21,FALSE))</f>
        <v>50 metros de radio/ RM 200</v>
      </c>
      <c r="BN12" s="5319"/>
      <c r="BO12" s="5319"/>
      <c r="BP12" s="5319"/>
      <c r="BQ12" s="5319"/>
      <c r="BR12" s="5319"/>
      <c r="BS12" s="5319"/>
      <c r="BT12" s="5319"/>
      <c r="BU12" s="5319"/>
      <c r="BV12" s="5320"/>
      <c r="BW12" s="1216"/>
      <c r="BX12" s="1210"/>
      <c r="BY12" s="1210"/>
      <c r="BZ12" s="2272"/>
      <c r="CA12" s="5316" t="s">
        <v>4706</v>
      </c>
      <c r="CB12" s="5317"/>
      <c r="CC12" s="1235">
        <f>IF(CA8=0,"",VLOOKUP(CA8,'Tablas Magia'!$D$6:$Z$680,9,FALSE))</f>
        <v>14</v>
      </c>
      <c r="CD12" s="1235">
        <f>IF(CA8=0,"",VLOOKUP(CA8,'Tablas Magia'!$D$6:$Z$680,13,FALSE))</f>
        <v>500</v>
      </c>
      <c r="CE12" s="1236">
        <f>IF(CA8=0,"",VLOOKUP(CA8,'Tablas Magia'!$D$6:$Z$680,17,FALSE))</f>
        <v>100</v>
      </c>
      <c r="CF12" s="5318" t="str">
        <f>IF(CA8=0,"",VLOOKUP(CA8,'Tablas Magia'!$D$6:$Z$680,21,FALSE))</f>
        <v>Nivel 6.</v>
      </c>
      <c r="CG12" s="5319"/>
      <c r="CH12" s="5319"/>
      <c r="CI12" s="5319"/>
      <c r="CJ12" s="5319"/>
      <c r="CK12" s="5319"/>
      <c r="CL12" s="5319"/>
      <c r="CM12" s="5319"/>
      <c r="CN12" s="5319"/>
      <c r="CO12" s="5320"/>
      <c r="CP12" s="1216"/>
      <c r="CQ12" s="1210"/>
    </row>
    <row r="13" spans="1:95" ht="12" customHeight="1" thickBot="1" x14ac:dyDescent="0.25">
      <c r="A13" s="1210"/>
      <c r="B13" s="2258"/>
      <c r="C13" s="5326" t="s">
        <v>4707</v>
      </c>
      <c r="D13" s="5327"/>
      <c r="E13" s="1239">
        <f>IF(C8=0,"",VLOOKUP(C8,'Tablas Magia'!$D$6:$Z$680,10,FALSE))</f>
        <v>12</v>
      </c>
      <c r="F13" s="1239">
        <f>IF(C8=0,"",VLOOKUP(C8,'Tablas Magia'!$D$6:$Z$680,14,FALSE))</f>
        <v>120</v>
      </c>
      <c r="G13" s="1240">
        <f>IF(C8=0,"",VLOOKUP(C8,'Tablas Magia'!$D$6:$Z$680,18,FALSE))</f>
        <v>15</v>
      </c>
      <c r="H13" s="5328" t="str">
        <f>IF(C8=0,"",VLOOKUP(C8,'Tablas Magia'!$D$6:$Z$680,22,FALSE))</f>
        <v>10 intensidades de fuego</v>
      </c>
      <c r="I13" s="5329"/>
      <c r="J13" s="5329"/>
      <c r="K13" s="5329"/>
      <c r="L13" s="5329"/>
      <c r="M13" s="5329"/>
      <c r="N13" s="5329"/>
      <c r="O13" s="5329"/>
      <c r="P13" s="5329"/>
      <c r="Q13" s="5330"/>
      <c r="R13" s="1216"/>
      <c r="S13" s="1210"/>
      <c r="T13" s="1210"/>
      <c r="U13" s="2258"/>
      <c r="V13" s="5326" t="s">
        <v>4707</v>
      </c>
      <c r="W13" s="5327"/>
      <c r="X13" s="1239">
        <f>IF(V8=0,"",VLOOKUP(V8,'Tablas Magia'!$D$6:$Z$680,10,FALSE))</f>
        <v>15</v>
      </c>
      <c r="Y13" s="1239">
        <f>IF(V8=0,"",VLOOKUP(V8,'Tablas Magia'!$D$6:$Z$680,14,FALSE))</f>
        <v>150</v>
      </c>
      <c r="Z13" s="1240">
        <f>IF(V8=0,"",VLOOKUP(V8,'Tablas Magia'!$D$6:$Z$680,18,FALSE))</f>
        <v>15</v>
      </c>
      <c r="AA13" s="5328" t="str">
        <f>IF(V8=0,"",VLOOKUP(V8,'Tablas Magia'!$D$6:$Z$680,22,FALSE))</f>
        <v>Daño 100 /15 metros/1000 puntos/Ataque a IMP/ Puede con toda clase ataque</v>
      </c>
      <c r="AB13" s="5329"/>
      <c r="AC13" s="5329"/>
      <c r="AD13" s="5329"/>
      <c r="AE13" s="5329"/>
      <c r="AF13" s="5329"/>
      <c r="AG13" s="5329"/>
      <c r="AH13" s="5329"/>
      <c r="AI13" s="5329"/>
      <c r="AJ13" s="5330"/>
      <c r="AK13" s="1216"/>
      <c r="AL13" s="1210"/>
      <c r="AM13" s="1210"/>
      <c r="AN13" s="2272"/>
      <c r="AO13" s="5326" t="s">
        <v>4707</v>
      </c>
      <c r="AP13" s="5327"/>
      <c r="AQ13" s="1239">
        <f>IF(AO8=0,"",VLOOKUP(AO8,'Tablas Magia'!$D$6:$Z$680,10,FALSE))</f>
        <v>15</v>
      </c>
      <c r="AR13" s="1239">
        <f>IF(AO8=0,"",VLOOKUP(AO8,'Tablas Magia'!$D$6:$Z$680,14,FALSE))</f>
        <v>150</v>
      </c>
      <c r="AS13" s="1240" t="str">
        <f>IF(AO8=0,"",VLOOKUP(AO8,'Tablas Magia'!$D$6:$Z$680,18,FALSE))</f>
        <v>No</v>
      </c>
      <c r="AT13" s="5328" t="str">
        <f>IF(AO8=0,"",VLOOKUP(AO8,'Tablas Magia'!$D$6:$Z$680,22,FALSE))</f>
        <v>+80 al nivel de Crítico</v>
      </c>
      <c r="AU13" s="5329"/>
      <c r="AV13" s="5329"/>
      <c r="AW13" s="5329"/>
      <c r="AX13" s="5329"/>
      <c r="AY13" s="5329"/>
      <c r="AZ13" s="5329"/>
      <c r="BA13" s="5329"/>
      <c r="BB13" s="5329"/>
      <c r="BC13" s="5330"/>
      <c r="BD13" s="1216"/>
      <c r="BE13" s="1210"/>
      <c r="BF13" s="1210"/>
      <c r="BG13" s="2272"/>
      <c r="BH13" s="5326" t="s">
        <v>4707</v>
      </c>
      <c r="BI13" s="5327"/>
      <c r="BJ13" s="1239">
        <f>IF(BH8=0,"",VLOOKUP(BH8,'Tablas Magia'!$D$6:$Z$680,10,FALSE))</f>
        <v>15</v>
      </c>
      <c r="BK13" s="1239">
        <f>IF(BH8=0,"",VLOOKUP(BH8,'Tablas Magia'!$D$6:$Z$680,14,FALSE))</f>
        <v>300</v>
      </c>
      <c r="BL13" s="1240" t="str">
        <f>IF(BH8=0,"",VLOOKUP(BH8,'Tablas Magia'!$D$6:$Z$680,18,FALSE))</f>
        <v>No</v>
      </c>
      <c r="BM13" s="5328" t="str">
        <f>IF(BH8=0,"",VLOOKUP(BH8,'Tablas Magia'!$D$6:$Z$680,22,FALSE))</f>
        <v>150 metros de radio / RM 220</v>
      </c>
      <c r="BN13" s="5329"/>
      <c r="BO13" s="5329"/>
      <c r="BP13" s="5329"/>
      <c r="BQ13" s="5329"/>
      <c r="BR13" s="5329"/>
      <c r="BS13" s="5329"/>
      <c r="BT13" s="5329"/>
      <c r="BU13" s="5329"/>
      <c r="BV13" s="5330"/>
      <c r="BW13" s="1216"/>
      <c r="BX13" s="1210"/>
      <c r="BY13" s="1210"/>
      <c r="BZ13" s="2272"/>
      <c r="CA13" s="5326" t="s">
        <v>4707</v>
      </c>
      <c r="CB13" s="5327"/>
      <c r="CC13" s="1239">
        <f>IF(CA8=0,"",VLOOKUP(CA8,'Tablas Magia'!$D$6:$Z$680,10,FALSE))</f>
        <v>16</v>
      </c>
      <c r="CD13" s="1239">
        <f>IF(CA8=0,"",VLOOKUP(CA8,'Tablas Magia'!$D$6:$Z$680,14,FALSE))</f>
        <v>700</v>
      </c>
      <c r="CE13" s="1240">
        <f>IF(CA8=0,"",VLOOKUP(CA8,'Tablas Magia'!$D$6:$Z$680,18,FALSE))</f>
        <v>140</v>
      </c>
      <c r="CF13" s="5328" t="str">
        <f>IF(CA8=0,"",VLOOKUP(CA8,'Tablas Magia'!$D$6:$Z$680,22,FALSE))</f>
        <v>Nivel 10.</v>
      </c>
      <c r="CG13" s="5329"/>
      <c r="CH13" s="5329"/>
      <c r="CI13" s="5329"/>
      <c r="CJ13" s="5329"/>
      <c r="CK13" s="5329"/>
      <c r="CL13" s="5329"/>
      <c r="CM13" s="5329"/>
      <c r="CN13" s="5329"/>
      <c r="CO13" s="5330"/>
      <c r="CP13" s="1216"/>
      <c r="CQ13" s="1210"/>
    </row>
    <row r="14" spans="1:95" ht="12" customHeight="1" x14ac:dyDescent="0.2">
      <c r="A14" s="1210"/>
      <c r="B14" s="2258"/>
      <c r="C14" s="5331" t="str">
        <f>IF(C8=0,"",VLOOKUP(C8,'Tablas Magia'!$D$6:$Z$680,23,FALSE))</f>
        <v>Crea intensidades de fuego. Mientras se mantenga el conjuro, la temperatura se mantendrá</v>
      </c>
      <c r="D14" s="5332"/>
      <c r="E14" s="5332"/>
      <c r="F14" s="5332"/>
      <c r="G14" s="5332"/>
      <c r="H14" s="5332"/>
      <c r="I14" s="5332"/>
      <c r="J14" s="5332"/>
      <c r="K14" s="5332"/>
      <c r="L14" s="5332"/>
      <c r="M14" s="5332"/>
      <c r="N14" s="5332"/>
      <c r="O14" s="5332"/>
      <c r="P14" s="5332"/>
      <c r="Q14" s="5333"/>
      <c r="R14" s="1216"/>
      <c r="S14" s="1210"/>
      <c r="T14" s="1210"/>
      <c r="U14" s="2258"/>
      <c r="V14" s="5331"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32"/>
      <c r="X14" s="5332"/>
      <c r="Y14" s="5332"/>
      <c r="Z14" s="5332"/>
      <c r="AA14" s="5332"/>
      <c r="AB14" s="5332"/>
      <c r="AC14" s="5332"/>
      <c r="AD14" s="5332"/>
      <c r="AE14" s="5332"/>
      <c r="AF14" s="5332"/>
      <c r="AG14" s="5332"/>
      <c r="AH14" s="5332"/>
      <c r="AI14" s="5332"/>
      <c r="AJ14" s="5333"/>
      <c r="AK14" s="1216"/>
      <c r="AL14" s="1210"/>
      <c r="AM14" s="1210"/>
      <c r="AN14" s="2272"/>
      <c r="AO14" s="5331" t="str">
        <f>IF(AO8=0,"",VLOOKUP(AO8,'Tablas Magia'!$D$6:$Z$680,23,FALSE))</f>
        <v>Proporciona un bonificador a la tirada para calcular el Nivel de Crítico que haya provocado un ataque determinado. A pesar de ser un conjuro pasivo deberá usarse antes de que se lancen los dados.</v>
      </c>
      <c r="AP14" s="5332"/>
      <c r="AQ14" s="5332"/>
      <c r="AR14" s="5332"/>
      <c r="AS14" s="5332"/>
      <c r="AT14" s="5332"/>
      <c r="AU14" s="5332"/>
      <c r="AV14" s="5332"/>
      <c r="AW14" s="5332"/>
      <c r="AX14" s="5332"/>
      <c r="AY14" s="5332"/>
      <c r="AZ14" s="5332"/>
      <c r="BA14" s="5332"/>
      <c r="BB14" s="5332"/>
      <c r="BC14" s="5333"/>
      <c r="BD14" s="1216"/>
      <c r="BE14" s="1210"/>
      <c r="BF14" s="1210"/>
      <c r="BG14" s="2272"/>
      <c r="BH14" s="5331"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32"/>
      <c r="BJ14" s="5332"/>
      <c r="BK14" s="5332"/>
      <c r="BL14" s="5332"/>
      <c r="BM14" s="5332"/>
      <c r="BN14" s="5332"/>
      <c r="BO14" s="5332"/>
      <c r="BP14" s="5332"/>
      <c r="BQ14" s="5332"/>
      <c r="BR14" s="5332"/>
      <c r="BS14" s="5332"/>
      <c r="BT14" s="5332"/>
      <c r="BU14" s="5332"/>
      <c r="BV14" s="5333"/>
      <c r="BW14" s="1216"/>
      <c r="BX14" s="1210"/>
      <c r="BY14" s="1210"/>
      <c r="BZ14" s="2272"/>
      <c r="CA14" s="5331"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32"/>
      <c r="CC14" s="5332"/>
      <c r="CD14" s="5332"/>
      <c r="CE14" s="5332"/>
      <c r="CF14" s="5332"/>
      <c r="CG14" s="5332"/>
      <c r="CH14" s="5332"/>
      <c r="CI14" s="5332"/>
      <c r="CJ14" s="5332"/>
      <c r="CK14" s="5332"/>
      <c r="CL14" s="5332"/>
      <c r="CM14" s="5332"/>
      <c r="CN14" s="5332"/>
      <c r="CO14" s="5333"/>
      <c r="CP14" s="1216"/>
      <c r="CQ14" s="1210"/>
    </row>
    <row r="15" spans="1:95" ht="12" customHeight="1" x14ac:dyDescent="0.2">
      <c r="A15" s="1210"/>
      <c r="B15" s="2258"/>
      <c r="C15" s="5334"/>
      <c r="D15" s="5335"/>
      <c r="E15" s="5335"/>
      <c r="F15" s="5335"/>
      <c r="G15" s="5335"/>
      <c r="H15" s="5335"/>
      <c r="I15" s="5335"/>
      <c r="J15" s="5335"/>
      <c r="K15" s="5335"/>
      <c r="L15" s="5335"/>
      <c r="M15" s="5335"/>
      <c r="N15" s="5335"/>
      <c r="O15" s="5335"/>
      <c r="P15" s="5335"/>
      <c r="Q15" s="5336"/>
      <c r="R15" s="1216"/>
      <c r="S15" s="1210"/>
      <c r="T15" s="1210"/>
      <c r="U15" s="2258"/>
      <c r="V15" s="5334"/>
      <c r="W15" s="5335"/>
      <c r="X15" s="5335"/>
      <c r="Y15" s="5335"/>
      <c r="Z15" s="5335"/>
      <c r="AA15" s="5335"/>
      <c r="AB15" s="5335"/>
      <c r="AC15" s="5335"/>
      <c r="AD15" s="5335"/>
      <c r="AE15" s="5335"/>
      <c r="AF15" s="5335"/>
      <c r="AG15" s="5335"/>
      <c r="AH15" s="5335"/>
      <c r="AI15" s="5335"/>
      <c r="AJ15" s="5336"/>
      <c r="AK15" s="1216"/>
      <c r="AL15" s="1210"/>
      <c r="AM15" s="1210"/>
      <c r="AN15" s="2272"/>
      <c r="AO15" s="5334"/>
      <c r="AP15" s="5335"/>
      <c r="AQ15" s="5335"/>
      <c r="AR15" s="5335"/>
      <c r="AS15" s="5335"/>
      <c r="AT15" s="5335"/>
      <c r="AU15" s="5335"/>
      <c r="AV15" s="5335"/>
      <c r="AW15" s="5335"/>
      <c r="AX15" s="5335"/>
      <c r="AY15" s="5335"/>
      <c r="AZ15" s="5335"/>
      <c r="BA15" s="5335"/>
      <c r="BB15" s="5335"/>
      <c r="BC15" s="5336"/>
      <c r="BD15" s="1216"/>
      <c r="BE15" s="1210"/>
      <c r="BF15" s="1210"/>
      <c r="BG15" s="2272"/>
      <c r="BH15" s="5334"/>
      <c r="BI15" s="5335"/>
      <c r="BJ15" s="5335"/>
      <c r="BK15" s="5335"/>
      <c r="BL15" s="5335"/>
      <c r="BM15" s="5335"/>
      <c r="BN15" s="5335"/>
      <c r="BO15" s="5335"/>
      <c r="BP15" s="5335"/>
      <c r="BQ15" s="5335"/>
      <c r="BR15" s="5335"/>
      <c r="BS15" s="5335"/>
      <c r="BT15" s="5335"/>
      <c r="BU15" s="5335"/>
      <c r="BV15" s="5336"/>
      <c r="BW15" s="1216"/>
      <c r="BX15" s="1210"/>
      <c r="BY15" s="1210"/>
      <c r="BZ15" s="2272"/>
      <c r="CA15" s="5334"/>
      <c r="CB15" s="5335"/>
      <c r="CC15" s="5335"/>
      <c r="CD15" s="5335"/>
      <c r="CE15" s="5335"/>
      <c r="CF15" s="5335"/>
      <c r="CG15" s="5335"/>
      <c r="CH15" s="5335"/>
      <c r="CI15" s="5335"/>
      <c r="CJ15" s="5335"/>
      <c r="CK15" s="5335"/>
      <c r="CL15" s="5335"/>
      <c r="CM15" s="5335"/>
      <c r="CN15" s="5335"/>
      <c r="CO15" s="5336"/>
      <c r="CP15" s="1216"/>
      <c r="CQ15" s="1210"/>
    </row>
    <row r="16" spans="1:95" ht="12" customHeight="1" x14ac:dyDescent="0.2">
      <c r="A16" s="1210"/>
      <c r="B16" s="2258"/>
      <c r="C16" s="5334"/>
      <c r="D16" s="5335"/>
      <c r="E16" s="5335"/>
      <c r="F16" s="5335"/>
      <c r="G16" s="5335"/>
      <c r="H16" s="5335"/>
      <c r="I16" s="5335"/>
      <c r="J16" s="5335"/>
      <c r="K16" s="5335"/>
      <c r="L16" s="5335"/>
      <c r="M16" s="5335"/>
      <c r="N16" s="5335"/>
      <c r="O16" s="5335"/>
      <c r="P16" s="5335"/>
      <c r="Q16" s="5336"/>
      <c r="R16" s="1216"/>
      <c r="S16" s="1210"/>
      <c r="T16" s="1210"/>
      <c r="U16" s="2258"/>
      <c r="V16" s="5334"/>
      <c r="W16" s="5335"/>
      <c r="X16" s="5335"/>
      <c r="Y16" s="5335"/>
      <c r="Z16" s="5335"/>
      <c r="AA16" s="5335"/>
      <c r="AB16" s="5335"/>
      <c r="AC16" s="5335"/>
      <c r="AD16" s="5335"/>
      <c r="AE16" s="5335"/>
      <c r="AF16" s="5335"/>
      <c r="AG16" s="5335"/>
      <c r="AH16" s="5335"/>
      <c r="AI16" s="5335"/>
      <c r="AJ16" s="5336"/>
      <c r="AK16" s="1216"/>
      <c r="AL16" s="1210"/>
      <c r="AM16" s="1210"/>
      <c r="AN16" s="2272"/>
      <c r="AO16" s="5334"/>
      <c r="AP16" s="5335"/>
      <c r="AQ16" s="5335"/>
      <c r="AR16" s="5335"/>
      <c r="AS16" s="5335"/>
      <c r="AT16" s="5335"/>
      <c r="AU16" s="5335"/>
      <c r="AV16" s="5335"/>
      <c r="AW16" s="5335"/>
      <c r="AX16" s="5335"/>
      <c r="AY16" s="5335"/>
      <c r="AZ16" s="5335"/>
      <c r="BA16" s="5335"/>
      <c r="BB16" s="5335"/>
      <c r="BC16" s="5336"/>
      <c r="BD16" s="1216"/>
      <c r="BE16" s="1210"/>
      <c r="BF16" s="1210"/>
      <c r="BG16" s="2272"/>
      <c r="BH16" s="5334"/>
      <c r="BI16" s="5335"/>
      <c r="BJ16" s="5335"/>
      <c r="BK16" s="5335"/>
      <c r="BL16" s="5335"/>
      <c r="BM16" s="5335"/>
      <c r="BN16" s="5335"/>
      <c r="BO16" s="5335"/>
      <c r="BP16" s="5335"/>
      <c r="BQ16" s="5335"/>
      <c r="BR16" s="5335"/>
      <c r="BS16" s="5335"/>
      <c r="BT16" s="5335"/>
      <c r="BU16" s="5335"/>
      <c r="BV16" s="5336"/>
      <c r="BW16" s="1216"/>
      <c r="BX16" s="1210"/>
      <c r="BY16" s="1210"/>
      <c r="BZ16" s="2272"/>
      <c r="CA16" s="5334"/>
      <c r="CB16" s="5335"/>
      <c r="CC16" s="5335"/>
      <c r="CD16" s="5335"/>
      <c r="CE16" s="5335"/>
      <c r="CF16" s="5335"/>
      <c r="CG16" s="5335"/>
      <c r="CH16" s="5335"/>
      <c r="CI16" s="5335"/>
      <c r="CJ16" s="5335"/>
      <c r="CK16" s="5335"/>
      <c r="CL16" s="5335"/>
      <c r="CM16" s="5335"/>
      <c r="CN16" s="5335"/>
      <c r="CO16" s="5336"/>
      <c r="CP16" s="1216"/>
      <c r="CQ16" s="1210"/>
    </row>
    <row r="17" spans="1:95" ht="12" customHeight="1" thickBot="1" x14ac:dyDescent="0.25">
      <c r="A17" s="1210"/>
      <c r="B17" s="2258"/>
      <c r="C17" s="5337"/>
      <c r="D17" s="5338"/>
      <c r="E17" s="5338"/>
      <c r="F17" s="5338"/>
      <c r="G17" s="5338"/>
      <c r="H17" s="5338"/>
      <c r="I17" s="5338"/>
      <c r="J17" s="5338"/>
      <c r="K17" s="5338"/>
      <c r="L17" s="5338"/>
      <c r="M17" s="5338"/>
      <c r="N17" s="5338"/>
      <c r="O17" s="5338"/>
      <c r="P17" s="5338"/>
      <c r="Q17" s="5339"/>
      <c r="R17" s="1216"/>
      <c r="S17" s="1210"/>
      <c r="T17" s="1210"/>
      <c r="U17" s="2258"/>
      <c r="V17" s="5337"/>
      <c r="W17" s="5338"/>
      <c r="X17" s="5338"/>
      <c r="Y17" s="5338"/>
      <c r="Z17" s="5338"/>
      <c r="AA17" s="5338"/>
      <c r="AB17" s="5338"/>
      <c r="AC17" s="5338"/>
      <c r="AD17" s="5338"/>
      <c r="AE17" s="5338"/>
      <c r="AF17" s="5338"/>
      <c r="AG17" s="5338"/>
      <c r="AH17" s="5338"/>
      <c r="AI17" s="5338"/>
      <c r="AJ17" s="5339"/>
      <c r="AK17" s="1216"/>
      <c r="AL17" s="1210"/>
      <c r="AM17" s="1210"/>
      <c r="AN17" s="2272"/>
      <c r="AO17" s="5337"/>
      <c r="AP17" s="5338"/>
      <c r="AQ17" s="5338"/>
      <c r="AR17" s="5338"/>
      <c r="AS17" s="5338"/>
      <c r="AT17" s="5338"/>
      <c r="AU17" s="5338"/>
      <c r="AV17" s="5338"/>
      <c r="AW17" s="5338"/>
      <c r="AX17" s="5338"/>
      <c r="AY17" s="5338"/>
      <c r="AZ17" s="5338"/>
      <c r="BA17" s="5338"/>
      <c r="BB17" s="5338"/>
      <c r="BC17" s="5339"/>
      <c r="BD17" s="1216"/>
      <c r="BE17" s="1210"/>
      <c r="BF17" s="1210"/>
      <c r="BG17" s="2272"/>
      <c r="BH17" s="5337"/>
      <c r="BI17" s="5338"/>
      <c r="BJ17" s="5338"/>
      <c r="BK17" s="5338"/>
      <c r="BL17" s="5338"/>
      <c r="BM17" s="5338"/>
      <c r="BN17" s="5338"/>
      <c r="BO17" s="5338"/>
      <c r="BP17" s="5338"/>
      <c r="BQ17" s="5338"/>
      <c r="BR17" s="5338"/>
      <c r="BS17" s="5338"/>
      <c r="BT17" s="5338"/>
      <c r="BU17" s="5338"/>
      <c r="BV17" s="5339"/>
      <c r="BW17" s="1216"/>
      <c r="BX17" s="1210"/>
      <c r="BY17" s="1210"/>
      <c r="BZ17" s="2272"/>
      <c r="CA17" s="5337"/>
      <c r="CB17" s="5338"/>
      <c r="CC17" s="5338"/>
      <c r="CD17" s="5338"/>
      <c r="CE17" s="5338"/>
      <c r="CF17" s="5338"/>
      <c r="CG17" s="5338"/>
      <c r="CH17" s="5338"/>
      <c r="CI17" s="5338"/>
      <c r="CJ17" s="5338"/>
      <c r="CK17" s="5338"/>
      <c r="CL17" s="5338"/>
      <c r="CM17" s="5338"/>
      <c r="CN17" s="5338"/>
      <c r="CO17" s="5339"/>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56"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57"/>
      <c r="E19" s="5357"/>
      <c r="F19" s="5357"/>
      <c r="G19" s="5357"/>
      <c r="H19" s="1230" t="s">
        <v>1630</v>
      </c>
      <c r="I19" s="1231" t="e">
        <f>IF(C19=0,"",VLOOKUP(C19,'Tablas Magia'!$D$6:$Z$680,3,FALSE))</f>
        <v>#N/A</v>
      </c>
      <c r="J19" s="5344" t="s">
        <v>8162</v>
      </c>
      <c r="K19" s="5344"/>
      <c r="L19" s="5344"/>
      <c r="M19" s="5345" t="e">
        <f>IF(C19=0,"",VLOOKUP(C19,'Tablas Magia'!$D$6:$Z$680,2,FALSE))</f>
        <v>#N/A</v>
      </c>
      <c r="N19" s="5345"/>
      <c r="O19" s="5345"/>
      <c r="P19" s="5345"/>
      <c r="Q19" s="5346"/>
      <c r="R19" s="1216"/>
      <c r="S19" s="1210"/>
      <c r="T19" s="1210"/>
      <c r="U19" s="2258">
        <f>U8+2</f>
        <v>24</v>
      </c>
      <c r="V19" s="5356"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57"/>
      <c r="X19" s="5357"/>
      <c r="Y19" s="5357"/>
      <c r="Z19" s="5357"/>
      <c r="AA19" s="1230" t="s">
        <v>1630</v>
      </c>
      <c r="AB19" s="1231" t="e">
        <f>IF(V19=0,"",VLOOKUP(V19,'Tablas Magia'!$D$6:$Z$680,3,FALSE))</f>
        <v>#N/A</v>
      </c>
      <c r="AC19" s="5344" t="s">
        <v>8162</v>
      </c>
      <c r="AD19" s="5344"/>
      <c r="AE19" s="5344"/>
      <c r="AF19" s="5345" t="e">
        <f>IF(V19=0,"",VLOOKUP(V19,'Tablas Magia'!$D$6:$Z$680,2,FALSE))</f>
        <v>#N/A</v>
      </c>
      <c r="AG19" s="5345"/>
      <c r="AH19" s="5345"/>
      <c r="AI19" s="5345"/>
      <c r="AJ19" s="5346"/>
      <c r="AK19" s="1216"/>
      <c r="AL19" s="1210"/>
      <c r="AM19" s="1210"/>
      <c r="AN19" s="2272">
        <f>AN8+2</f>
        <v>44</v>
      </c>
      <c r="AO19" s="5356"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57"/>
      <c r="AQ19" s="5357"/>
      <c r="AR19" s="5357"/>
      <c r="AS19" s="5357"/>
      <c r="AT19" s="1230" t="s">
        <v>1630</v>
      </c>
      <c r="AU19" s="1231" t="e">
        <f>IF(AO19=0,"",VLOOKUP(AO19,'Tablas Magia'!$D$6:$Z$680,3,FALSE))</f>
        <v>#N/A</v>
      </c>
      <c r="AV19" s="5344" t="s">
        <v>8162</v>
      </c>
      <c r="AW19" s="5344"/>
      <c r="AX19" s="5344"/>
      <c r="AY19" s="5345" t="e">
        <f>IF(AO19=0,"",VLOOKUP(AO19,'Tablas Magia'!$D$6:$Z$680,2,FALSE))</f>
        <v>#N/A</v>
      </c>
      <c r="AZ19" s="5345"/>
      <c r="BA19" s="5345"/>
      <c r="BB19" s="5345"/>
      <c r="BC19" s="5346"/>
      <c r="BD19" s="1216"/>
      <c r="BE19" s="1210"/>
      <c r="BF19" s="1210"/>
      <c r="BG19" s="2272">
        <f>BG8+2</f>
        <v>64</v>
      </c>
      <c r="BH19" s="5356"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57"/>
      <c r="BJ19" s="5357"/>
      <c r="BK19" s="5357"/>
      <c r="BL19" s="5357"/>
      <c r="BM19" s="1230" t="s">
        <v>1630</v>
      </c>
      <c r="BN19" s="1231" t="e">
        <f>IF(BH19=0,"",VLOOKUP(BH19,'Tablas Magia'!$D$6:$Z$680,3,FALSE))</f>
        <v>#N/A</v>
      </c>
      <c r="BO19" s="5344" t="s">
        <v>8162</v>
      </c>
      <c r="BP19" s="5344"/>
      <c r="BQ19" s="5344"/>
      <c r="BR19" s="5345" t="e">
        <f>IF(BH19=0,"",VLOOKUP(BH19,'Tablas Magia'!$D$6:$Z$680,2,FALSE))</f>
        <v>#N/A</v>
      </c>
      <c r="BS19" s="5345"/>
      <c r="BT19" s="5345"/>
      <c r="BU19" s="5345"/>
      <c r="BV19" s="5346"/>
      <c r="BW19" s="1216"/>
      <c r="BX19" s="1210"/>
      <c r="BY19" s="1210"/>
      <c r="BZ19" s="2272">
        <f>BZ8+2</f>
        <v>84</v>
      </c>
      <c r="CA19" s="5356"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57"/>
      <c r="CC19" s="5357"/>
      <c r="CD19" s="5357"/>
      <c r="CE19" s="5357"/>
      <c r="CF19" s="1230" t="s">
        <v>1630</v>
      </c>
      <c r="CG19" s="1231" t="e">
        <f>IF(CA19=0,"",VLOOKUP(CA19,'Tablas Magia'!$D$6:$Z$680,3,FALSE))</f>
        <v>#N/A</v>
      </c>
      <c r="CH19" s="5344" t="s">
        <v>8162</v>
      </c>
      <c r="CI19" s="5344"/>
      <c r="CJ19" s="5344"/>
      <c r="CK19" s="5345" t="e">
        <f>IF(CA19=0,"",VLOOKUP(CA19,'Tablas Magia'!$D$6:$Z$680,2,FALSE))</f>
        <v>#N/A</v>
      </c>
      <c r="CL19" s="5345"/>
      <c r="CM19" s="5345"/>
      <c r="CN19" s="5345"/>
      <c r="CO19" s="5346"/>
      <c r="CP19" s="1216"/>
      <c r="CQ19" s="1210"/>
    </row>
    <row r="20" spans="1:95" ht="12" customHeight="1" x14ac:dyDescent="0.2">
      <c r="A20" s="1210"/>
      <c r="B20" s="2258"/>
      <c r="C20" s="5340" t="s">
        <v>8163</v>
      </c>
      <c r="D20" s="5341"/>
      <c r="E20" s="1232" t="s">
        <v>8164</v>
      </c>
      <c r="F20" s="1232" t="s">
        <v>1824</v>
      </c>
      <c r="G20" s="1232" t="s">
        <v>3467</v>
      </c>
      <c r="H20" s="1233" t="s">
        <v>2175</v>
      </c>
      <c r="I20" s="5314" t="e">
        <f>IF(C19=0,"",VLOOKUP(C19,'Tablas Magia'!$D$6:$Z$680,5,FALSE))</f>
        <v>#N/A</v>
      </c>
      <c r="J20" s="5314"/>
      <c r="K20" s="5313" t="s">
        <v>8165</v>
      </c>
      <c r="L20" s="5313"/>
      <c r="M20" s="5314" t="e">
        <f>IF(C19=0,"",VLOOKUP(C19,'Tablas Magia'!$D$6:$Z$680,6,FALSE))</f>
        <v>#N/A</v>
      </c>
      <c r="N20" s="5314"/>
      <c r="O20" s="5315" t="s">
        <v>8166</v>
      </c>
      <c r="P20" s="5315"/>
      <c r="Q20" s="1234" t="e">
        <f>IF(C19=0,"",VLOOKUP(C19,'Tablas Magia'!$D$6:$Z$680,4,FALSE))</f>
        <v>#N/A</v>
      </c>
      <c r="R20" s="1216"/>
      <c r="S20" s="1210"/>
      <c r="T20" s="1210"/>
      <c r="U20" s="2258"/>
      <c r="V20" s="5340" t="s">
        <v>8163</v>
      </c>
      <c r="W20" s="5341"/>
      <c r="X20" s="1232" t="s">
        <v>8164</v>
      </c>
      <c r="Y20" s="1232" t="s">
        <v>1824</v>
      </c>
      <c r="Z20" s="1232" t="s">
        <v>3467</v>
      </c>
      <c r="AA20" s="1233" t="s">
        <v>2175</v>
      </c>
      <c r="AB20" s="5314" t="e">
        <f>IF(V19=0,"",VLOOKUP(V19,'Tablas Magia'!$D$6:$Z$680,5,FALSE))</f>
        <v>#N/A</v>
      </c>
      <c r="AC20" s="5314"/>
      <c r="AD20" s="5313" t="s">
        <v>8165</v>
      </c>
      <c r="AE20" s="5313"/>
      <c r="AF20" s="5314" t="e">
        <f>IF(V19=0,"",VLOOKUP(V19,'Tablas Magia'!$D$6:$Z$680,6,FALSE))</f>
        <v>#N/A</v>
      </c>
      <c r="AG20" s="5314"/>
      <c r="AH20" s="5315" t="s">
        <v>8166</v>
      </c>
      <c r="AI20" s="5315"/>
      <c r="AJ20" s="1234" t="e">
        <f>IF(V19=0,"",VLOOKUP(V19,'Tablas Magia'!$D$6:$Z$680,4,FALSE))</f>
        <v>#N/A</v>
      </c>
      <c r="AK20" s="1216"/>
      <c r="AL20" s="1210"/>
      <c r="AM20" s="1210"/>
      <c r="AN20" s="2272"/>
      <c r="AO20" s="5340" t="s">
        <v>8163</v>
      </c>
      <c r="AP20" s="5341"/>
      <c r="AQ20" s="1232" t="s">
        <v>8164</v>
      </c>
      <c r="AR20" s="1232" t="s">
        <v>1824</v>
      </c>
      <c r="AS20" s="1232" t="s">
        <v>3467</v>
      </c>
      <c r="AT20" s="1233" t="s">
        <v>2175</v>
      </c>
      <c r="AU20" s="5314" t="e">
        <f>IF(AO19=0,"",VLOOKUP(AO19,'Tablas Magia'!$D$6:$Z$680,5,FALSE))</f>
        <v>#N/A</v>
      </c>
      <c r="AV20" s="5314"/>
      <c r="AW20" s="5313" t="s">
        <v>8165</v>
      </c>
      <c r="AX20" s="5313"/>
      <c r="AY20" s="5314" t="e">
        <f>IF(AO19=0,"",VLOOKUP(AO19,'Tablas Magia'!$D$6:$Z$680,6,FALSE))</f>
        <v>#N/A</v>
      </c>
      <c r="AZ20" s="5314"/>
      <c r="BA20" s="5315" t="s">
        <v>8166</v>
      </c>
      <c r="BB20" s="5315"/>
      <c r="BC20" s="1234" t="e">
        <f>IF(AO19=0,"",VLOOKUP(AO19,'Tablas Magia'!$D$6:$Z$680,4,FALSE))</f>
        <v>#N/A</v>
      </c>
      <c r="BD20" s="1216"/>
      <c r="BE20" s="1210"/>
      <c r="BF20" s="1210"/>
      <c r="BG20" s="2272"/>
      <c r="BH20" s="5340" t="s">
        <v>8163</v>
      </c>
      <c r="BI20" s="5341"/>
      <c r="BJ20" s="1232" t="s">
        <v>8164</v>
      </c>
      <c r="BK20" s="1232" t="s">
        <v>1824</v>
      </c>
      <c r="BL20" s="1232" t="s">
        <v>3467</v>
      </c>
      <c r="BM20" s="1233" t="s">
        <v>2175</v>
      </c>
      <c r="BN20" s="5314" t="e">
        <f>IF(BH19=0,"",VLOOKUP(BH19,'Tablas Magia'!$D$6:$Z$680,5,FALSE))</f>
        <v>#N/A</v>
      </c>
      <c r="BO20" s="5314"/>
      <c r="BP20" s="5313" t="s">
        <v>8165</v>
      </c>
      <c r="BQ20" s="5313"/>
      <c r="BR20" s="5314" t="e">
        <f>IF(BH19=0,"",VLOOKUP(BH19,'Tablas Magia'!$D$6:$Z$680,6,FALSE))</f>
        <v>#N/A</v>
      </c>
      <c r="BS20" s="5314"/>
      <c r="BT20" s="5315" t="s">
        <v>8166</v>
      </c>
      <c r="BU20" s="5315"/>
      <c r="BV20" s="1234" t="e">
        <f>IF(BH19=0,"",VLOOKUP(BH19,'Tablas Magia'!$D$6:$Z$680,4,FALSE))</f>
        <v>#N/A</v>
      </c>
      <c r="BW20" s="1216"/>
      <c r="BX20" s="1210"/>
      <c r="BY20" s="1210"/>
      <c r="BZ20" s="2272"/>
      <c r="CA20" s="5340" t="s">
        <v>8163</v>
      </c>
      <c r="CB20" s="5341"/>
      <c r="CC20" s="1232" t="s">
        <v>8164</v>
      </c>
      <c r="CD20" s="1232" t="s">
        <v>1824</v>
      </c>
      <c r="CE20" s="1232" t="s">
        <v>3467</v>
      </c>
      <c r="CF20" s="1233" t="s">
        <v>2175</v>
      </c>
      <c r="CG20" s="5314" t="e">
        <f>IF(CA19=0,"",VLOOKUP(CA19,'Tablas Magia'!$D$6:$Z$680,5,FALSE))</f>
        <v>#N/A</v>
      </c>
      <c r="CH20" s="5314"/>
      <c r="CI20" s="5313" t="s">
        <v>8165</v>
      </c>
      <c r="CJ20" s="5313"/>
      <c r="CK20" s="5314" t="e">
        <f>IF(CA19=0,"",VLOOKUP(CA19,'Tablas Magia'!$D$6:$Z$680,6,FALSE))</f>
        <v>#N/A</v>
      </c>
      <c r="CL20" s="5314"/>
      <c r="CM20" s="5315" t="s">
        <v>8166</v>
      </c>
      <c r="CN20" s="5315"/>
      <c r="CO20" s="1234" t="e">
        <f>IF(CA19=0,"",VLOOKUP(CA19,'Tablas Magia'!$D$6:$Z$680,4,FALSE))</f>
        <v>#N/A</v>
      </c>
      <c r="CP20" s="1216"/>
      <c r="CQ20" s="1210"/>
    </row>
    <row r="21" spans="1:95" ht="12" customHeight="1" x14ac:dyDescent="0.2">
      <c r="A21" s="1210"/>
      <c r="B21" s="2258"/>
      <c r="C21" s="5316" t="s">
        <v>1677</v>
      </c>
      <c r="D21" s="5317"/>
      <c r="E21" s="1235" t="e">
        <f>IF(C19=0,"",VLOOKUP(C19,'Tablas Magia'!$D$6:$Z$680,7,FALSE))</f>
        <v>#N/A</v>
      </c>
      <c r="F21" s="1235" t="e">
        <f>IF(C19=0,"",VLOOKUP(C19,'Tablas Magia'!$D$6:$Z$680,11,FALSE))</f>
        <v>#N/A</v>
      </c>
      <c r="G21" s="1236" t="e">
        <f>IF(C19=0,"",VLOOKUP(C19,'Tablas Magia'!$D$6:$Z$680,15,FALSE))</f>
        <v>#N/A</v>
      </c>
      <c r="H21" s="5318" t="e">
        <f>IF(C19=0,"",VLOOKUP(C19,'Tablas Magia'!$D$6:$Z$680,19,FALSE))</f>
        <v>#N/A</v>
      </c>
      <c r="I21" s="5319"/>
      <c r="J21" s="5319"/>
      <c r="K21" s="5319"/>
      <c r="L21" s="5319"/>
      <c r="M21" s="5319"/>
      <c r="N21" s="5319"/>
      <c r="O21" s="5319"/>
      <c r="P21" s="5319"/>
      <c r="Q21" s="5320"/>
      <c r="R21" s="1216"/>
      <c r="S21" s="1210"/>
      <c r="T21" s="1210"/>
      <c r="U21" s="2258"/>
      <c r="V21" s="5316" t="s">
        <v>1677</v>
      </c>
      <c r="W21" s="5317"/>
      <c r="X21" s="1235" t="e">
        <f>IF(V19=0,"",VLOOKUP(V19,'Tablas Magia'!$D$6:$Z$680,7,FALSE))</f>
        <v>#N/A</v>
      </c>
      <c r="Y21" s="1235" t="e">
        <f>IF(V19=0,"",VLOOKUP(V19,'Tablas Magia'!$D$6:$Z$680,11,FALSE))</f>
        <v>#N/A</v>
      </c>
      <c r="Z21" s="1236" t="e">
        <f>IF(V19=0,"",VLOOKUP(V19,'Tablas Magia'!$D$6:$Z$680,15,FALSE))</f>
        <v>#N/A</v>
      </c>
      <c r="AA21" s="5318" t="e">
        <f>IF(V19=0,"",VLOOKUP(V19,'Tablas Magia'!$D$6:$Z$680,19,FALSE))</f>
        <v>#N/A</v>
      </c>
      <c r="AB21" s="5319"/>
      <c r="AC21" s="5319"/>
      <c r="AD21" s="5319"/>
      <c r="AE21" s="5319"/>
      <c r="AF21" s="5319"/>
      <c r="AG21" s="5319"/>
      <c r="AH21" s="5319"/>
      <c r="AI21" s="5319"/>
      <c r="AJ21" s="5320"/>
      <c r="AK21" s="1216"/>
      <c r="AL21" s="1210"/>
      <c r="AM21" s="1210"/>
      <c r="AN21" s="2272"/>
      <c r="AO21" s="5316" t="s">
        <v>1677</v>
      </c>
      <c r="AP21" s="5317"/>
      <c r="AQ21" s="1235" t="e">
        <f>IF(AO19=0,"",VLOOKUP(AO19,'Tablas Magia'!$D$6:$Z$680,7,FALSE))</f>
        <v>#N/A</v>
      </c>
      <c r="AR21" s="1235" t="e">
        <f>IF(AO19=0,"",VLOOKUP(AO19,'Tablas Magia'!$D$6:$Z$680,11,FALSE))</f>
        <v>#N/A</v>
      </c>
      <c r="AS21" s="1236" t="e">
        <f>IF(AO19=0,"",VLOOKUP(AO19,'Tablas Magia'!$D$6:$Z$680,15,FALSE))</f>
        <v>#N/A</v>
      </c>
      <c r="AT21" s="5318" t="e">
        <f>IF(AO19=0,"",VLOOKUP(AO19,'Tablas Magia'!$D$6:$Z$680,19,FALSE))</f>
        <v>#N/A</v>
      </c>
      <c r="AU21" s="5319"/>
      <c r="AV21" s="5319"/>
      <c r="AW21" s="5319"/>
      <c r="AX21" s="5319"/>
      <c r="AY21" s="5319"/>
      <c r="AZ21" s="5319"/>
      <c r="BA21" s="5319"/>
      <c r="BB21" s="5319"/>
      <c r="BC21" s="5320"/>
      <c r="BD21" s="1216"/>
      <c r="BE21" s="1210"/>
      <c r="BF21" s="1210"/>
      <c r="BG21" s="2272"/>
      <c r="BH21" s="5316" t="s">
        <v>1677</v>
      </c>
      <c r="BI21" s="5317"/>
      <c r="BJ21" s="1235" t="e">
        <f>IF(BH19=0,"",VLOOKUP(BH19,'Tablas Magia'!$D$6:$Z$680,7,FALSE))</f>
        <v>#N/A</v>
      </c>
      <c r="BK21" s="1235" t="e">
        <f>IF(BH19=0,"",VLOOKUP(BH19,'Tablas Magia'!$D$6:$Z$680,11,FALSE))</f>
        <v>#N/A</v>
      </c>
      <c r="BL21" s="1236" t="e">
        <f>IF(BH19=0,"",VLOOKUP(BH19,'Tablas Magia'!$D$6:$Z$680,15,FALSE))</f>
        <v>#N/A</v>
      </c>
      <c r="BM21" s="5318" t="e">
        <f>IF(BH19=0,"",VLOOKUP(BH19,'Tablas Magia'!$D$6:$Z$680,19,FALSE))</f>
        <v>#N/A</v>
      </c>
      <c r="BN21" s="5319"/>
      <c r="BO21" s="5319"/>
      <c r="BP21" s="5319"/>
      <c r="BQ21" s="5319"/>
      <c r="BR21" s="5319"/>
      <c r="BS21" s="5319"/>
      <c r="BT21" s="5319"/>
      <c r="BU21" s="5319"/>
      <c r="BV21" s="5320"/>
      <c r="BW21" s="1216"/>
      <c r="BX21" s="1210"/>
      <c r="BY21" s="1210"/>
      <c r="BZ21" s="2272"/>
      <c r="CA21" s="5316" t="s">
        <v>1677</v>
      </c>
      <c r="CB21" s="5317"/>
      <c r="CC21" s="1235" t="e">
        <f>IF(CA19=0,"",VLOOKUP(CA19,'Tablas Magia'!$D$6:$Z$680,7,FALSE))</f>
        <v>#N/A</v>
      </c>
      <c r="CD21" s="1235" t="e">
        <f>IF(CA19=0,"",VLOOKUP(CA19,'Tablas Magia'!$D$6:$Z$680,11,FALSE))</f>
        <v>#N/A</v>
      </c>
      <c r="CE21" s="1236" t="e">
        <f>IF(CA19=0,"",VLOOKUP(CA19,'Tablas Magia'!$D$6:$Z$680,15,FALSE))</f>
        <v>#N/A</v>
      </c>
      <c r="CF21" s="5318" t="e">
        <f>IF(CA19=0,"",VLOOKUP(CA19,'Tablas Magia'!$D$6:$Z$680,19,FALSE))</f>
        <v>#N/A</v>
      </c>
      <c r="CG21" s="5319"/>
      <c r="CH21" s="5319"/>
      <c r="CI21" s="5319"/>
      <c r="CJ21" s="5319"/>
      <c r="CK21" s="5319"/>
      <c r="CL21" s="5319"/>
      <c r="CM21" s="5319"/>
      <c r="CN21" s="5319"/>
      <c r="CO21" s="5320"/>
      <c r="CP21" s="1216"/>
      <c r="CQ21" s="1210"/>
    </row>
    <row r="22" spans="1:95" ht="12" customHeight="1" x14ac:dyDescent="0.2">
      <c r="A22" s="1210"/>
      <c r="B22" s="2258"/>
      <c r="C22" s="5321" t="s">
        <v>4705</v>
      </c>
      <c r="D22" s="5322"/>
      <c r="E22" s="1237" t="e">
        <f>IF(C19=0,"",VLOOKUP(C19,'Tablas Magia'!$D$6:$Z$680,8,FALSE))</f>
        <v>#N/A</v>
      </c>
      <c r="F22" s="1237" t="e">
        <f>IF(C19=0,"",VLOOKUP(C19,'Tablas Magia'!$D$6:$Z$680,12,FALSE))</f>
        <v>#N/A</v>
      </c>
      <c r="G22" s="1238" t="e">
        <f>IF(C19=0,"",VLOOKUP(C19,'Tablas Magia'!$D$6:$Z$680,16,FALSE))</f>
        <v>#N/A</v>
      </c>
      <c r="H22" s="5323" t="e">
        <f>IF(C19=0,"",VLOOKUP(C19,'Tablas Magia'!$D$6:$Z$680,20,FALSE))</f>
        <v>#N/A</v>
      </c>
      <c r="I22" s="5324"/>
      <c r="J22" s="5324"/>
      <c r="K22" s="5324"/>
      <c r="L22" s="5324"/>
      <c r="M22" s="5324"/>
      <c r="N22" s="5324"/>
      <c r="O22" s="5324"/>
      <c r="P22" s="5324"/>
      <c r="Q22" s="5325"/>
      <c r="R22" s="1216"/>
      <c r="S22" s="1210"/>
      <c r="T22" s="1210"/>
      <c r="U22" s="2258"/>
      <c r="V22" s="5321" t="s">
        <v>4705</v>
      </c>
      <c r="W22" s="5322"/>
      <c r="X22" s="1237" t="e">
        <f>IF(V19=0,"",VLOOKUP(V19,'Tablas Magia'!$D$6:$Z$680,8,FALSE))</f>
        <v>#N/A</v>
      </c>
      <c r="Y22" s="1237" t="e">
        <f>IF(V19=0,"",VLOOKUP(V19,'Tablas Magia'!$D$6:$Z$680,12,FALSE))</f>
        <v>#N/A</v>
      </c>
      <c r="Z22" s="1238" t="e">
        <f>IF(V19=0,"",VLOOKUP(V19,'Tablas Magia'!$D$6:$Z$680,16,FALSE))</f>
        <v>#N/A</v>
      </c>
      <c r="AA22" s="5323" t="e">
        <f>IF(V19=0,"",VLOOKUP(V19,'Tablas Magia'!$D$6:$Z$680,20,FALSE))</f>
        <v>#N/A</v>
      </c>
      <c r="AB22" s="5324"/>
      <c r="AC22" s="5324"/>
      <c r="AD22" s="5324"/>
      <c r="AE22" s="5324"/>
      <c r="AF22" s="5324"/>
      <c r="AG22" s="5324"/>
      <c r="AH22" s="5324"/>
      <c r="AI22" s="5324"/>
      <c r="AJ22" s="5325"/>
      <c r="AK22" s="1216"/>
      <c r="AL22" s="1210"/>
      <c r="AM22" s="1210"/>
      <c r="AN22" s="2272"/>
      <c r="AO22" s="5321" t="s">
        <v>4705</v>
      </c>
      <c r="AP22" s="5322"/>
      <c r="AQ22" s="1237" t="e">
        <f>IF(AO19=0,"",VLOOKUP(AO19,'Tablas Magia'!$D$6:$Z$680,8,FALSE))</f>
        <v>#N/A</v>
      </c>
      <c r="AR22" s="1237" t="e">
        <f>IF(AO19=0,"",VLOOKUP(AO19,'Tablas Magia'!$D$6:$Z$680,12,FALSE))</f>
        <v>#N/A</v>
      </c>
      <c r="AS22" s="1238" t="e">
        <f>IF(AO19=0,"",VLOOKUP(AO19,'Tablas Magia'!$D$6:$Z$680,16,FALSE))</f>
        <v>#N/A</v>
      </c>
      <c r="AT22" s="5323" t="e">
        <f>IF(AO19=0,"",VLOOKUP(AO19,'Tablas Magia'!$D$6:$Z$680,20,FALSE))</f>
        <v>#N/A</v>
      </c>
      <c r="AU22" s="5324"/>
      <c r="AV22" s="5324"/>
      <c r="AW22" s="5324"/>
      <c r="AX22" s="5324"/>
      <c r="AY22" s="5324"/>
      <c r="AZ22" s="5324"/>
      <c r="BA22" s="5324"/>
      <c r="BB22" s="5324"/>
      <c r="BC22" s="5325"/>
      <c r="BD22" s="1216"/>
      <c r="BE22" s="1210"/>
      <c r="BF22" s="1210"/>
      <c r="BG22" s="2272"/>
      <c r="BH22" s="5321" t="s">
        <v>4705</v>
      </c>
      <c r="BI22" s="5322"/>
      <c r="BJ22" s="1237" t="e">
        <f>IF(BH19=0,"",VLOOKUP(BH19,'Tablas Magia'!$D$6:$Z$680,8,FALSE))</f>
        <v>#N/A</v>
      </c>
      <c r="BK22" s="1237" t="e">
        <f>IF(BH19=0,"",VLOOKUP(BH19,'Tablas Magia'!$D$6:$Z$680,12,FALSE))</f>
        <v>#N/A</v>
      </c>
      <c r="BL22" s="1238" t="e">
        <f>IF(BH19=0,"",VLOOKUP(BH19,'Tablas Magia'!$D$6:$Z$680,16,FALSE))</f>
        <v>#N/A</v>
      </c>
      <c r="BM22" s="5323" t="e">
        <f>IF(BH19=0,"",VLOOKUP(BH19,'Tablas Magia'!$D$6:$Z$680,20,FALSE))</f>
        <v>#N/A</v>
      </c>
      <c r="BN22" s="5324"/>
      <c r="BO22" s="5324"/>
      <c r="BP22" s="5324"/>
      <c r="BQ22" s="5324"/>
      <c r="BR22" s="5324"/>
      <c r="BS22" s="5324"/>
      <c r="BT22" s="5324"/>
      <c r="BU22" s="5324"/>
      <c r="BV22" s="5325"/>
      <c r="BW22" s="1216"/>
      <c r="BX22" s="1210"/>
      <c r="BY22" s="1210"/>
      <c r="BZ22" s="2272"/>
      <c r="CA22" s="5321" t="s">
        <v>4705</v>
      </c>
      <c r="CB22" s="5322"/>
      <c r="CC22" s="1237" t="e">
        <f>IF(CA19=0,"",VLOOKUP(CA19,'Tablas Magia'!$D$6:$Z$680,8,FALSE))</f>
        <v>#N/A</v>
      </c>
      <c r="CD22" s="1237" t="e">
        <f>IF(CA19=0,"",VLOOKUP(CA19,'Tablas Magia'!$D$6:$Z$680,12,FALSE))</f>
        <v>#N/A</v>
      </c>
      <c r="CE22" s="1238" t="e">
        <f>IF(CA19=0,"",VLOOKUP(CA19,'Tablas Magia'!$D$6:$Z$680,16,FALSE))</f>
        <v>#N/A</v>
      </c>
      <c r="CF22" s="5323" t="e">
        <f>IF(CA19=0,"",VLOOKUP(CA19,'Tablas Magia'!$D$6:$Z$680,20,FALSE))</f>
        <v>#N/A</v>
      </c>
      <c r="CG22" s="5324"/>
      <c r="CH22" s="5324"/>
      <c r="CI22" s="5324"/>
      <c r="CJ22" s="5324"/>
      <c r="CK22" s="5324"/>
      <c r="CL22" s="5324"/>
      <c r="CM22" s="5324"/>
      <c r="CN22" s="5324"/>
      <c r="CO22" s="5325"/>
      <c r="CP22" s="1216"/>
      <c r="CQ22" s="1210"/>
    </row>
    <row r="23" spans="1:95" ht="12" customHeight="1" x14ac:dyDescent="0.2">
      <c r="A23" s="1210"/>
      <c r="B23" s="2258"/>
      <c r="C23" s="5316" t="s">
        <v>4706</v>
      </c>
      <c r="D23" s="5317"/>
      <c r="E23" s="1235" t="e">
        <f>IF(C19=0,"",VLOOKUP(C19,'Tablas Magia'!$D$6:$Z$680,9,FALSE))</f>
        <v>#N/A</v>
      </c>
      <c r="F23" s="1235" t="e">
        <f>IF(C19=0,"",VLOOKUP(C19,'Tablas Magia'!$D$6:$Z$680,13,FALSE))</f>
        <v>#N/A</v>
      </c>
      <c r="G23" s="1236" t="e">
        <f>IF(C19=0,"",VLOOKUP(C19,'Tablas Magia'!$D$6:$Z$680,17,FALSE))</f>
        <v>#N/A</v>
      </c>
      <c r="H23" s="5318" t="e">
        <f>IF(C19=0,"",VLOOKUP(C19,'Tablas Magia'!$D$6:$Z$680,21,FALSE))</f>
        <v>#N/A</v>
      </c>
      <c r="I23" s="5319"/>
      <c r="J23" s="5319"/>
      <c r="K23" s="5319"/>
      <c r="L23" s="5319"/>
      <c r="M23" s="5319"/>
      <c r="N23" s="5319"/>
      <c r="O23" s="5319"/>
      <c r="P23" s="5319"/>
      <c r="Q23" s="5320"/>
      <c r="R23" s="1216"/>
      <c r="S23" s="1210"/>
      <c r="T23" s="1210"/>
      <c r="U23" s="2258"/>
      <c r="V23" s="5316" t="s">
        <v>4706</v>
      </c>
      <c r="W23" s="5317"/>
      <c r="X23" s="1235" t="e">
        <f>IF(V19=0,"",VLOOKUP(V19,'Tablas Magia'!$D$6:$Z$680,9,FALSE))</f>
        <v>#N/A</v>
      </c>
      <c r="Y23" s="1235" t="e">
        <f>IF(V19=0,"",VLOOKUP(V19,'Tablas Magia'!$D$6:$Z$680,13,FALSE))</f>
        <v>#N/A</v>
      </c>
      <c r="Z23" s="1236" t="e">
        <f>IF(V19=0,"",VLOOKUP(V19,'Tablas Magia'!$D$6:$Z$680,17,FALSE))</f>
        <v>#N/A</v>
      </c>
      <c r="AA23" s="5318" t="e">
        <f>IF(V19=0,"",VLOOKUP(V19,'Tablas Magia'!$D$6:$Z$680,21,FALSE))</f>
        <v>#N/A</v>
      </c>
      <c r="AB23" s="5319"/>
      <c r="AC23" s="5319"/>
      <c r="AD23" s="5319"/>
      <c r="AE23" s="5319"/>
      <c r="AF23" s="5319"/>
      <c r="AG23" s="5319"/>
      <c r="AH23" s="5319"/>
      <c r="AI23" s="5319"/>
      <c r="AJ23" s="5320"/>
      <c r="AK23" s="1216"/>
      <c r="AL23" s="1210"/>
      <c r="AM23" s="1210"/>
      <c r="AN23" s="2272"/>
      <c r="AO23" s="5316" t="s">
        <v>4706</v>
      </c>
      <c r="AP23" s="5317"/>
      <c r="AQ23" s="1235" t="e">
        <f>IF(AO19=0,"",VLOOKUP(AO19,'Tablas Magia'!$D$6:$Z$680,9,FALSE))</f>
        <v>#N/A</v>
      </c>
      <c r="AR23" s="1235" t="e">
        <f>IF(AO19=0,"",VLOOKUP(AO19,'Tablas Magia'!$D$6:$Z$680,13,FALSE))</f>
        <v>#N/A</v>
      </c>
      <c r="AS23" s="1236" t="e">
        <f>IF(AO19=0,"",VLOOKUP(AO19,'Tablas Magia'!$D$6:$Z$680,17,FALSE))</f>
        <v>#N/A</v>
      </c>
      <c r="AT23" s="5318" t="e">
        <f>IF(AO19=0,"",VLOOKUP(AO19,'Tablas Magia'!$D$6:$Z$680,21,FALSE))</f>
        <v>#N/A</v>
      </c>
      <c r="AU23" s="5319"/>
      <c r="AV23" s="5319"/>
      <c r="AW23" s="5319"/>
      <c r="AX23" s="5319"/>
      <c r="AY23" s="5319"/>
      <c r="AZ23" s="5319"/>
      <c r="BA23" s="5319"/>
      <c r="BB23" s="5319"/>
      <c r="BC23" s="5320"/>
      <c r="BD23" s="1216"/>
      <c r="BE23" s="1210"/>
      <c r="BF23" s="1210"/>
      <c r="BG23" s="2272"/>
      <c r="BH23" s="5316" t="s">
        <v>4706</v>
      </c>
      <c r="BI23" s="5317"/>
      <c r="BJ23" s="1235" t="e">
        <f>IF(BH19=0,"",VLOOKUP(BH19,'Tablas Magia'!$D$6:$Z$680,9,FALSE))</f>
        <v>#N/A</v>
      </c>
      <c r="BK23" s="1235" t="e">
        <f>IF(BH19=0,"",VLOOKUP(BH19,'Tablas Magia'!$D$6:$Z$680,13,FALSE))</f>
        <v>#N/A</v>
      </c>
      <c r="BL23" s="1236" t="e">
        <f>IF(BH19=0,"",VLOOKUP(BH19,'Tablas Magia'!$D$6:$Z$680,17,FALSE))</f>
        <v>#N/A</v>
      </c>
      <c r="BM23" s="5318" t="e">
        <f>IF(BH19=0,"",VLOOKUP(BH19,'Tablas Magia'!$D$6:$Z$680,21,FALSE))</f>
        <v>#N/A</v>
      </c>
      <c r="BN23" s="5319"/>
      <c r="BO23" s="5319"/>
      <c r="BP23" s="5319"/>
      <c r="BQ23" s="5319"/>
      <c r="BR23" s="5319"/>
      <c r="BS23" s="5319"/>
      <c r="BT23" s="5319"/>
      <c r="BU23" s="5319"/>
      <c r="BV23" s="5320"/>
      <c r="BW23" s="1216"/>
      <c r="BX23" s="1210"/>
      <c r="BY23" s="1210"/>
      <c r="BZ23" s="2272"/>
      <c r="CA23" s="5316" t="s">
        <v>4706</v>
      </c>
      <c r="CB23" s="5317"/>
      <c r="CC23" s="1235" t="e">
        <f>IF(CA19=0,"",VLOOKUP(CA19,'Tablas Magia'!$D$6:$Z$680,9,FALSE))</f>
        <v>#N/A</v>
      </c>
      <c r="CD23" s="1235" t="e">
        <f>IF(CA19=0,"",VLOOKUP(CA19,'Tablas Magia'!$D$6:$Z$680,13,FALSE))</f>
        <v>#N/A</v>
      </c>
      <c r="CE23" s="1236" t="e">
        <f>IF(CA19=0,"",VLOOKUP(CA19,'Tablas Magia'!$D$6:$Z$680,17,FALSE))</f>
        <v>#N/A</v>
      </c>
      <c r="CF23" s="5318" t="e">
        <f>IF(CA19=0,"",VLOOKUP(CA19,'Tablas Magia'!$D$6:$Z$680,21,FALSE))</f>
        <v>#N/A</v>
      </c>
      <c r="CG23" s="5319"/>
      <c r="CH23" s="5319"/>
      <c r="CI23" s="5319"/>
      <c r="CJ23" s="5319"/>
      <c r="CK23" s="5319"/>
      <c r="CL23" s="5319"/>
      <c r="CM23" s="5319"/>
      <c r="CN23" s="5319"/>
      <c r="CO23" s="5320"/>
      <c r="CP23" s="1216"/>
      <c r="CQ23" s="1210"/>
    </row>
    <row r="24" spans="1:95" ht="12" customHeight="1" thickBot="1" x14ac:dyDescent="0.25">
      <c r="A24" s="1210"/>
      <c r="B24" s="2258"/>
      <c r="C24" s="5326" t="s">
        <v>4707</v>
      </c>
      <c r="D24" s="5327"/>
      <c r="E24" s="1239" t="e">
        <f>IF(C19=0,"",VLOOKUP(C19,'Tablas Magia'!$D$6:$Z$680,10,FALSE))</f>
        <v>#N/A</v>
      </c>
      <c r="F24" s="1239" t="e">
        <f>IF(C19=0,"",VLOOKUP(C19,'Tablas Magia'!$D$6:$Z$680,14,FALSE))</f>
        <v>#N/A</v>
      </c>
      <c r="G24" s="1240" t="e">
        <f>IF(C19=0,"",VLOOKUP(C19,'Tablas Magia'!$D$6:$Z$680,18,FALSE))</f>
        <v>#N/A</v>
      </c>
      <c r="H24" s="5328" t="e">
        <f>IF(C19=0,"",VLOOKUP(C19,'Tablas Magia'!$D$6:$Z$680,22,FALSE))</f>
        <v>#N/A</v>
      </c>
      <c r="I24" s="5329"/>
      <c r="J24" s="5329"/>
      <c r="K24" s="5329"/>
      <c r="L24" s="5329"/>
      <c r="M24" s="5329"/>
      <c r="N24" s="5329"/>
      <c r="O24" s="5329"/>
      <c r="P24" s="5329"/>
      <c r="Q24" s="5330"/>
      <c r="R24" s="1216"/>
      <c r="S24" s="1210"/>
      <c r="T24" s="1210"/>
      <c r="U24" s="2258"/>
      <c r="V24" s="5326" t="s">
        <v>4707</v>
      </c>
      <c r="W24" s="5327"/>
      <c r="X24" s="1239" t="e">
        <f>IF(V19=0,"",VLOOKUP(V19,'Tablas Magia'!$D$6:$Z$680,10,FALSE))</f>
        <v>#N/A</v>
      </c>
      <c r="Y24" s="1239" t="e">
        <f>IF(V19=0,"",VLOOKUP(V19,'Tablas Magia'!$D$6:$Z$680,14,FALSE))</f>
        <v>#N/A</v>
      </c>
      <c r="Z24" s="1240" t="e">
        <f>IF(V19=0,"",VLOOKUP(V19,'Tablas Magia'!$D$6:$Z$680,18,FALSE))</f>
        <v>#N/A</v>
      </c>
      <c r="AA24" s="5328" t="e">
        <f>IF(V19=0,"",VLOOKUP(V19,'Tablas Magia'!$D$6:$Z$680,22,FALSE))</f>
        <v>#N/A</v>
      </c>
      <c r="AB24" s="5329"/>
      <c r="AC24" s="5329"/>
      <c r="AD24" s="5329"/>
      <c r="AE24" s="5329"/>
      <c r="AF24" s="5329"/>
      <c r="AG24" s="5329"/>
      <c r="AH24" s="5329"/>
      <c r="AI24" s="5329"/>
      <c r="AJ24" s="5330"/>
      <c r="AK24" s="1216"/>
      <c r="AL24" s="1210"/>
      <c r="AM24" s="1210"/>
      <c r="AN24" s="2272"/>
      <c r="AO24" s="5326" t="s">
        <v>4707</v>
      </c>
      <c r="AP24" s="5327"/>
      <c r="AQ24" s="1239" t="e">
        <f>IF(AO19=0,"",VLOOKUP(AO19,'Tablas Magia'!$D$6:$Z$680,10,FALSE))</f>
        <v>#N/A</v>
      </c>
      <c r="AR24" s="1239" t="e">
        <f>IF(AO19=0,"",VLOOKUP(AO19,'Tablas Magia'!$D$6:$Z$680,14,FALSE))</f>
        <v>#N/A</v>
      </c>
      <c r="AS24" s="1240" t="e">
        <f>IF(AO19=0,"",VLOOKUP(AO19,'Tablas Magia'!$D$6:$Z$680,18,FALSE))</f>
        <v>#N/A</v>
      </c>
      <c r="AT24" s="5328" t="e">
        <f>IF(AO19=0,"",VLOOKUP(AO19,'Tablas Magia'!$D$6:$Z$680,22,FALSE))</f>
        <v>#N/A</v>
      </c>
      <c r="AU24" s="5329"/>
      <c r="AV24" s="5329"/>
      <c r="AW24" s="5329"/>
      <c r="AX24" s="5329"/>
      <c r="AY24" s="5329"/>
      <c r="AZ24" s="5329"/>
      <c r="BA24" s="5329"/>
      <c r="BB24" s="5329"/>
      <c r="BC24" s="5330"/>
      <c r="BD24" s="1216"/>
      <c r="BE24" s="1210"/>
      <c r="BF24" s="1210"/>
      <c r="BG24" s="2272"/>
      <c r="BH24" s="5326" t="s">
        <v>4707</v>
      </c>
      <c r="BI24" s="5327"/>
      <c r="BJ24" s="1239" t="e">
        <f>IF(BH19=0,"",VLOOKUP(BH19,'Tablas Magia'!$D$6:$Z$680,10,FALSE))</f>
        <v>#N/A</v>
      </c>
      <c r="BK24" s="1239" t="e">
        <f>IF(BH19=0,"",VLOOKUP(BH19,'Tablas Magia'!$D$6:$Z$680,14,FALSE))</f>
        <v>#N/A</v>
      </c>
      <c r="BL24" s="1240" t="e">
        <f>IF(BH19=0,"",VLOOKUP(BH19,'Tablas Magia'!$D$6:$Z$680,18,FALSE))</f>
        <v>#N/A</v>
      </c>
      <c r="BM24" s="5328" t="e">
        <f>IF(BH19=0,"",VLOOKUP(BH19,'Tablas Magia'!$D$6:$Z$680,22,FALSE))</f>
        <v>#N/A</v>
      </c>
      <c r="BN24" s="5329"/>
      <c r="BO24" s="5329"/>
      <c r="BP24" s="5329"/>
      <c r="BQ24" s="5329"/>
      <c r="BR24" s="5329"/>
      <c r="BS24" s="5329"/>
      <c r="BT24" s="5329"/>
      <c r="BU24" s="5329"/>
      <c r="BV24" s="5330"/>
      <c r="BW24" s="1216"/>
      <c r="BX24" s="1210"/>
      <c r="BY24" s="1210"/>
      <c r="BZ24" s="2272"/>
      <c r="CA24" s="5326" t="s">
        <v>4707</v>
      </c>
      <c r="CB24" s="5327"/>
      <c r="CC24" s="1239" t="e">
        <f>IF(CA19=0,"",VLOOKUP(CA19,'Tablas Magia'!$D$6:$Z$680,10,FALSE))</f>
        <v>#N/A</v>
      </c>
      <c r="CD24" s="1239" t="e">
        <f>IF(CA19=0,"",VLOOKUP(CA19,'Tablas Magia'!$D$6:$Z$680,14,FALSE))</f>
        <v>#N/A</v>
      </c>
      <c r="CE24" s="1240" t="e">
        <f>IF(CA19=0,"",VLOOKUP(CA19,'Tablas Magia'!$D$6:$Z$680,18,FALSE))</f>
        <v>#N/A</v>
      </c>
      <c r="CF24" s="5328" t="e">
        <f>IF(CA19=0,"",VLOOKUP(CA19,'Tablas Magia'!$D$6:$Z$680,22,FALSE))</f>
        <v>#N/A</v>
      </c>
      <c r="CG24" s="5329"/>
      <c r="CH24" s="5329"/>
      <c r="CI24" s="5329"/>
      <c r="CJ24" s="5329"/>
      <c r="CK24" s="5329"/>
      <c r="CL24" s="5329"/>
      <c r="CM24" s="5329"/>
      <c r="CN24" s="5329"/>
      <c r="CO24" s="5330"/>
      <c r="CP24" s="1216"/>
      <c r="CQ24" s="1210"/>
    </row>
    <row r="25" spans="1:95" ht="12" customHeight="1" x14ac:dyDescent="0.2">
      <c r="A25" s="1210"/>
      <c r="B25" s="2258"/>
      <c r="C25" s="5331" t="e">
        <f>IF(C19=0,"",VLOOKUP(C19,'Tablas Magia'!$D$6:$Z$680,23,FALSE))</f>
        <v>#N/A</v>
      </c>
      <c r="D25" s="5332"/>
      <c r="E25" s="5332"/>
      <c r="F25" s="5332"/>
      <c r="G25" s="5332"/>
      <c r="H25" s="5332"/>
      <c r="I25" s="5332"/>
      <c r="J25" s="5332"/>
      <c r="K25" s="5332"/>
      <c r="L25" s="5332"/>
      <c r="M25" s="5332"/>
      <c r="N25" s="5332"/>
      <c r="O25" s="5332"/>
      <c r="P25" s="5332"/>
      <c r="Q25" s="5333"/>
      <c r="R25" s="1216"/>
      <c r="S25" s="1210"/>
      <c r="T25" s="1210"/>
      <c r="U25" s="2258"/>
      <c r="V25" s="5331" t="e">
        <f>IF(V19=0,"",VLOOKUP(V19,'Tablas Magia'!$D$6:$Z$680,23,FALSE))</f>
        <v>#N/A</v>
      </c>
      <c r="W25" s="5332"/>
      <c r="X25" s="5332"/>
      <c r="Y25" s="5332"/>
      <c r="Z25" s="5332"/>
      <c r="AA25" s="5332"/>
      <c r="AB25" s="5332"/>
      <c r="AC25" s="5332"/>
      <c r="AD25" s="5332"/>
      <c r="AE25" s="5332"/>
      <c r="AF25" s="5332"/>
      <c r="AG25" s="5332"/>
      <c r="AH25" s="5332"/>
      <c r="AI25" s="5332"/>
      <c r="AJ25" s="5333"/>
      <c r="AK25" s="1216"/>
      <c r="AL25" s="1210"/>
      <c r="AM25" s="1210"/>
      <c r="AN25" s="2272"/>
      <c r="AO25" s="5331" t="e">
        <f>IF(AO19=0,"",VLOOKUP(AO19,'Tablas Magia'!$D$6:$Z$680,23,FALSE))</f>
        <v>#N/A</v>
      </c>
      <c r="AP25" s="5332"/>
      <c r="AQ25" s="5332"/>
      <c r="AR25" s="5332"/>
      <c r="AS25" s="5332"/>
      <c r="AT25" s="5332"/>
      <c r="AU25" s="5332"/>
      <c r="AV25" s="5332"/>
      <c r="AW25" s="5332"/>
      <c r="AX25" s="5332"/>
      <c r="AY25" s="5332"/>
      <c r="AZ25" s="5332"/>
      <c r="BA25" s="5332"/>
      <c r="BB25" s="5332"/>
      <c r="BC25" s="5333"/>
      <c r="BD25" s="1216"/>
      <c r="BE25" s="1210"/>
      <c r="BF25" s="1210"/>
      <c r="BG25" s="2272"/>
      <c r="BH25" s="5331" t="e">
        <f>IF(BH19=0,"",VLOOKUP(BH19,'Tablas Magia'!$D$6:$Z$680,23,FALSE))</f>
        <v>#N/A</v>
      </c>
      <c r="BI25" s="5332"/>
      <c r="BJ25" s="5332"/>
      <c r="BK25" s="5332"/>
      <c r="BL25" s="5332"/>
      <c r="BM25" s="5332"/>
      <c r="BN25" s="5332"/>
      <c r="BO25" s="5332"/>
      <c r="BP25" s="5332"/>
      <c r="BQ25" s="5332"/>
      <c r="BR25" s="5332"/>
      <c r="BS25" s="5332"/>
      <c r="BT25" s="5332"/>
      <c r="BU25" s="5332"/>
      <c r="BV25" s="5333"/>
      <c r="BW25" s="1216"/>
      <c r="BX25" s="1210"/>
      <c r="BY25" s="1210"/>
      <c r="BZ25" s="2272"/>
      <c r="CA25" s="5331" t="e">
        <f>IF(CA19=0,"",VLOOKUP(CA19,'Tablas Magia'!$D$6:$Z$680,23,FALSE))</f>
        <v>#N/A</v>
      </c>
      <c r="CB25" s="5332"/>
      <c r="CC25" s="5332"/>
      <c r="CD25" s="5332"/>
      <c r="CE25" s="5332"/>
      <c r="CF25" s="5332"/>
      <c r="CG25" s="5332"/>
      <c r="CH25" s="5332"/>
      <c r="CI25" s="5332"/>
      <c r="CJ25" s="5332"/>
      <c r="CK25" s="5332"/>
      <c r="CL25" s="5332"/>
      <c r="CM25" s="5332"/>
      <c r="CN25" s="5332"/>
      <c r="CO25" s="5333"/>
      <c r="CP25" s="1216"/>
      <c r="CQ25" s="1210"/>
    </row>
    <row r="26" spans="1:95" ht="12" customHeight="1" x14ac:dyDescent="0.2">
      <c r="A26" s="1210"/>
      <c r="B26" s="2258"/>
      <c r="C26" s="5334"/>
      <c r="D26" s="5335"/>
      <c r="E26" s="5335"/>
      <c r="F26" s="5335"/>
      <c r="G26" s="5335"/>
      <c r="H26" s="5335"/>
      <c r="I26" s="5335"/>
      <c r="J26" s="5335"/>
      <c r="K26" s="5335"/>
      <c r="L26" s="5335"/>
      <c r="M26" s="5335"/>
      <c r="N26" s="5335"/>
      <c r="O26" s="5335"/>
      <c r="P26" s="5335"/>
      <c r="Q26" s="5336"/>
      <c r="R26" s="1216"/>
      <c r="S26" s="1210"/>
      <c r="T26" s="1210"/>
      <c r="U26" s="2258"/>
      <c r="V26" s="5334"/>
      <c r="W26" s="5335"/>
      <c r="X26" s="5335"/>
      <c r="Y26" s="5335"/>
      <c r="Z26" s="5335"/>
      <c r="AA26" s="5335"/>
      <c r="AB26" s="5335"/>
      <c r="AC26" s="5335"/>
      <c r="AD26" s="5335"/>
      <c r="AE26" s="5335"/>
      <c r="AF26" s="5335"/>
      <c r="AG26" s="5335"/>
      <c r="AH26" s="5335"/>
      <c r="AI26" s="5335"/>
      <c r="AJ26" s="5336"/>
      <c r="AK26" s="1216"/>
      <c r="AL26" s="1210"/>
      <c r="AM26" s="1210"/>
      <c r="AN26" s="2272"/>
      <c r="AO26" s="5334"/>
      <c r="AP26" s="5335"/>
      <c r="AQ26" s="5335"/>
      <c r="AR26" s="5335"/>
      <c r="AS26" s="5335"/>
      <c r="AT26" s="5335"/>
      <c r="AU26" s="5335"/>
      <c r="AV26" s="5335"/>
      <c r="AW26" s="5335"/>
      <c r="AX26" s="5335"/>
      <c r="AY26" s="5335"/>
      <c r="AZ26" s="5335"/>
      <c r="BA26" s="5335"/>
      <c r="BB26" s="5335"/>
      <c r="BC26" s="5336"/>
      <c r="BD26" s="1216"/>
      <c r="BE26" s="1210"/>
      <c r="BF26" s="1210"/>
      <c r="BG26" s="2272"/>
      <c r="BH26" s="5334"/>
      <c r="BI26" s="5335"/>
      <c r="BJ26" s="5335"/>
      <c r="BK26" s="5335"/>
      <c r="BL26" s="5335"/>
      <c r="BM26" s="5335"/>
      <c r="BN26" s="5335"/>
      <c r="BO26" s="5335"/>
      <c r="BP26" s="5335"/>
      <c r="BQ26" s="5335"/>
      <c r="BR26" s="5335"/>
      <c r="BS26" s="5335"/>
      <c r="BT26" s="5335"/>
      <c r="BU26" s="5335"/>
      <c r="BV26" s="5336"/>
      <c r="BW26" s="1216"/>
      <c r="BX26" s="1210"/>
      <c r="BY26" s="1210"/>
      <c r="BZ26" s="2272"/>
      <c r="CA26" s="5334"/>
      <c r="CB26" s="5335"/>
      <c r="CC26" s="5335"/>
      <c r="CD26" s="5335"/>
      <c r="CE26" s="5335"/>
      <c r="CF26" s="5335"/>
      <c r="CG26" s="5335"/>
      <c r="CH26" s="5335"/>
      <c r="CI26" s="5335"/>
      <c r="CJ26" s="5335"/>
      <c r="CK26" s="5335"/>
      <c r="CL26" s="5335"/>
      <c r="CM26" s="5335"/>
      <c r="CN26" s="5335"/>
      <c r="CO26" s="5336"/>
      <c r="CP26" s="1216"/>
      <c r="CQ26" s="1210"/>
    </row>
    <row r="27" spans="1:95" ht="12" customHeight="1" x14ac:dyDescent="0.2">
      <c r="A27" s="1210"/>
      <c r="B27" s="2258"/>
      <c r="C27" s="5334"/>
      <c r="D27" s="5335"/>
      <c r="E27" s="5335"/>
      <c r="F27" s="5335"/>
      <c r="G27" s="5335"/>
      <c r="H27" s="5335"/>
      <c r="I27" s="5335"/>
      <c r="J27" s="5335"/>
      <c r="K27" s="5335"/>
      <c r="L27" s="5335"/>
      <c r="M27" s="5335"/>
      <c r="N27" s="5335"/>
      <c r="O27" s="5335"/>
      <c r="P27" s="5335"/>
      <c r="Q27" s="5336"/>
      <c r="R27" s="1216"/>
      <c r="S27" s="1210"/>
      <c r="T27" s="1210"/>
      <c r="U27" s="2258"/>
      <c r="V27" s="5334"/>
      <c r="W27" s="5335"/>
      <c r="X27" s="5335"/>
      <c r="Y27" s="5335"/>
      <c r="Z27" s="5335"/>
      <c r="AA27" s="5335"/>
      <c r="AB27" s="5335"/>
      <c r="AC27" s="5335"/>
      <c r="AD27" s="5335"/>
      <c r="AE27" s="5335"/>
      <c r="AF27" s="5335"/>
      <c r="AG27" s="5335"/>
      <c r="AH27" s="5335"/>
      <c r="AI27" s="5335"/>
      <c r="AJ27" s="5336"/>
      <c r="AK27" s="1216"/>
      <c r="AL27" s="1210"/>
      <c r="AM27" s="1210"/>
      <c r="AN27" s="2272"/>
      <c r="AO27" s="5334"/>
      <c r="AP27" s="5335"/>
      <c r="AQ27" s="5335"/>
      <c r="AR27" s="5335"/>
      <c r="AS27" s="5335"/>
      <c r="AT27" s="5335"/>
      <c r="AU27" s="5335"/>
      <c r="AV27" s="5335"/>
      <c r="AW27" s="5335"/>
      <c r="AX27" s="5335"/>
      <c r="AY27" s="5335"/>
      <c r="AZ27" s="5335"/>
      <c r="BA27" s="5335"/>
      <c r="BB27" s="5335"/>
      <c r="BC27" s="5336"/>
      <c r="BD27" s="1216"/>
      <c r="BE27" s="1210"/>
      <c r="BF27" s="1210"/>
      <c r="BG27" s="2272"/>
      <c r="BH27" s="5334"/>
      <c r="BI27" s="5335"/>
      <c r="BJ27" s="5335"/>
      <c r="BK27" s="5335"/>
      <c r="BL27" s="5335"/>
      <c r="BM27" s="5335"/>
      <c r="BN27" s="5335"/>
      <c r="BO27" s="5335"/>
      <c r="BP27" s="5335"/>
      <c r="BQ27" s="5335"/>
      <c r="BR27" s="5335"/>
      <c r="BS27" s="5335"/>
      <c r="BT27" s="5335"/>
      <c r="BU27" s="5335"/>
      <c r="BV27" s="5336"/>
      <c r="BW27" s="1216"/>
      <c r="BX27" s="1210"/>
      <c r="BY27" s="1210"/>
      <c r="BZ27" s="2272"/>
      <c r="CA27" s="5334"/>
      <c r="CB27" s="5335"/>
      <c r="CC27" s="5335"/>
      <c r="CD27" s="5335"/>
      <c r="CE27" s="5335"/>
      <c r="CF27" s="5335"/>
      <c r="CG27" s="5335"/>
      <c r="CH27" s="5335"/>
      <c r="CI27" s="5335"/>
      <c r="CJ27" s="5335"/>
      <c r="CK27" s="5335"/>
      <c r="CL27" s="5335"/>
      <c r="CM27" s="5335"/>
      <c r="CN27" s="5335"/>
      <c r="CO27" s="5336"/>
      <c r="CP27" s="1216"/>
      <c r="CQ27" s="1210"/>
    </row>
    <row r="28" spans="1:95" ht="12" customHeight="1" thickBot="1" x14ac:dyDescent="0.25">
      <c r="A28" s="1210"/>
      <c r="B28" s="2258"/>
      <c r="C28" s="5337"/>
      <c r="D28" s="5338"/>
      <c r="E28" s="5338"/>
      <c r="F28" s="5338"/>
      <c r="G28" s="5338"/>
      <c r="H28" s="5338"/>
      <c r="I28" s="5338"/>
      <c r="J28" s="5338"/>
      <c r="K28" s="5338"/>
      <c r="L28" s="5338"/>
      <c r="M28" s="5338"/>
      <c r="N28" s="5338"/>
      <c r="O28" s="5338"/>
      <c r="P28" s="5338"/>
      <c r="Q28" s="5339"/>
      <c r="R28" s="1216"/>
      <c r="S28" s="1210"/>
      <c r="T28" s="1210"/>
      <c r="U28" s="2258"/>
      <c r="V28" s="5337"/>
      <c r="W28" s="5338"/>
      <c r="X28" s="5338"/>
      <c r="Y28" s="5338"/>
      <c r="Z28" s="5338"/>
      <c r="AA28" s="5338"/>
      <c r="AB28" s="5338"/>
      <c r="AC28" s="5338"/>
      <c r="AD28" s="5338"/>
      <c r="AE28" s="5338"/>
      <c r="AF28" s="5338"/>
      <c r="AG28" s="5338"/>
      <c r="AH28" s="5338"/>
      <c r="AI28" s="5338"/>
      <c r="AJ28" s="5339"/>
      <c r="AK28" s="1216"/>
      <c r="AL28" s="1210"/>
      <c r="AM28" s="1210"/>
      <c r="AN28" s="2272"/>
      <c r="AO28" s="5337"/>
      <c r="AP28" s="5338"/>
      <c r="AQ28" s="5338"/>
      <c r="AR28" s="5338"/>
      <c r="AS28" s="5338"/>
      <c r="AT28" s="5338"/>
      <c r="AU28" s="5338"/>
      <c r="AV28" s="5338"/>
      <c r="AW28" s="5338"/>
      <c r="AX28" s="5338"/>
      <c r="AY28" s="5338"/>
      <c r="AZ28" s="5338"/>
      <c r="BA28" s="5338"/>
      <c r="BB28" s="5338"/>
      <c r="BC28" s="5339"/>
      <c r="BD28" s="1216"/>
      <c r="BE28" s="1210"/>
      <c r="BF28" s="1210"/>
      <c r="BG28" s="2272"/>
      <c r="BH28" s="5337"/>
      <c r="BI28" s="5338"/>
      <c r="BJ28" s="5338"/>
      <c r="BK28" s="5338"/>
      <c r="BL28" s="5338"/>
      <c r="BM28" s="5338"/>
      <c r="BN28" s="5338"/>
      <c r="BO28" s="5338"/>
      <c r="BP28" s="5338"/>
      <c r="BQ28" s="5338"/>
      <c r="BR28" s="5338"/>
      <c r="BS28" s="5338"/>
      <c r="BT28" s="5338"/>
      <c r="BU28" s="5338"/>
      <c r="BV28" s="5339"/>
      <c r="BW28" s="1216"/>
      <c r="BX28" s="1210"/>
      <c r="BY28" s="1210"/>
      <c r="BZ28" s="2272"/>
      <c r="CA28" s="5337"/>
      <c r="CB28" s="5338"/>
      <c r="CC28" s="5338"/>
      <c r="CD28" s="5338"/>
      <c r="CE28" s="5338"/>
      <c r="CF28" s="5338"/>
      <c r="CG28" s="5338"/>
      <c r="CH28" s="5338"/>
      <c r="CI28" s="5338"/>
      <c r="CJ28" s="5338"/>
      <c r="CK28" s="5338"/>
      <c r="CL28" s="5338"/>
      <c r="CM28" s="5338"/>
      <c r="CN28" s="5338"/>
      <c r="CO28" s="5339"/>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56"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57"/>
      <c r="E30" s="5357"/>
      <c r="F30" s="5357"/>
      <c r="G30" s="5357"/>
      <c r="H30" s="1230" t="s">
        <v>1630</v>
      </c>
      <c r="I30" s="1231">
        <f>IF(C30=0,"",VLOOKUP(C30,'Tablas Magia'!$D$6:$Z$680,3,FALSE))</f>
        <v>6</v>
      </c>
      <c r="J30" s="5344" t="s">
        <v>8162</v>
      </c>
      <c r="K30" s="5344"/>
      <c r="L30" s="5344"/>
      <c r="M30" s="5345" t="str">
        <f>IF(C30=0,"",VLOOKUP(C30,'Tablas Magia'!$D$6:$Z$680,2,FALSE))</f>
        <v>Fuego</v>
      </c>
      <c r="N30" s="5345"/>
      <c r="O30" s="5345"/>
      <c r="P30" s="5345"/>
      <c r="Q30" s="5346"/>
      <c r="R30" s="1216"/>
      <c r="S30" s="1210"/>
      <c r="T30" s="1210"/>
      <c r="U30" s="2258">
        <f>U19+2</f>
        <v>26</v>
      </c>
      <c r="V30" s="5356"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57"/>
      <c r="X30" s="5357"/>
      <c r="Y30" s="5357"/>
      <c r="Z30" s="5357"/>
      <c r="AA30" s="1230" t="s">
        <v>1630</v>
      </c>
      <c r="AB30" s="1231">
        <f>IF(V30=0,"",VLOOKUP(V30,'Tablas Magia'!$D$6:$Z$680,3,FALSE))</f>
        <v>26</v>
      </c>
      <c r="AC30" s="5344" t="s">
        <v>8162</v>
      </c>
      <c r="AD30" s="5344"/>
      <c r="AE30" s="5344"/>
      <c r="AF30" s="5345" t="str">
        <f>IF(V30=0,"",VLOOKUP(V30,'Tablas Magia'!$D$6:$Z$680,2,FALSE))</f>
        <v>Fuego</v>
      </c>
      <c r="AG30" s="5345"/>
      <c r="AH30" s="5345"/>
      <c r="AI30" s="5345"/>
      <c r="AJ30" s="5346"/>
      <c r="AK30" s="1216"/>
      <c r="AL30" s="1210"/>
      <c r="AM30" s="1210"/>
      <c r="AN30" s="2272">
        <f>AN19+2</f>
        <v>46</v>
      </c>
      <c r="AO30" s="5356"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57"/>
      <c r="AQ30" s="5357"/>
      <c r="AR30" s="5357"/>
      <c r="AS30" s="5357"/>
      <c r="AT30" s="1230" t="s">
        <v>1630</v>
      </c>
      <c r="AU30" s="1231">
        <f>IF(AO30=0,"",VLOOKUP(AO30,'Tablas Magia'!$D$6:$Z$680,3,FALSE))</f>
        <v>46</v>
      </c>
      <c r="AV30" s="5344" t="s">
        <v>8162</v>
      </c>
      <c r="AW30" s="5344"/>
      <c r="AX30" s="5344"/>
      <c r="AY30" s="5345" t="str">
        <f>IF(AO30=0,"",VLOOKUP(AO30,'Tablas Magia'!$D$6:$Z$680,2,FALSE))</f>
        <v>Fuego</v>
      </c>
      <c r="AZ30" s="5345"/>
      <c r="BA30" s="5345"/>
      <c r="BB30" s="5345"/>
      <c r="BC30" s="5346"/>
      <c r="BD30" s="1216"/>
      <c r="BE30" s="1210"/>
      <c r="BF30" s="1210"/>
      <c r="BG30" s="2272">
        <f>BG19+2</f>
        <v>66</v>
      </c>
      <c r="BH30" s="5356"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57"/>
      <c r="BJ30" s="5357"/>
      <c r="BK30" s="5357"/>
      <c r="BL30" s="5357"/>
      <c r="BM30" s="1230" t="s">
        <v>1630</v>
      </c>
      <c r="BN30" s="1231">
        <f>IF(BH30=0,"",VLOOKUP(BH30,'Tablas Magia'!$D$6:$Z$680,3,FALSE))</f>
        <v>66</v>
      </c>
      <c r="BO30" s="5344" t="s">
        <v>8162</v>
      </c>
      <c r="BP30" s="5344"/>
      <c r="BQ30" s="5344"/>
      <c r="BR30" s="5345" t="str">
        <f>IF(BH30=0,"",VLOOKUP(BH30,'Tablas Magia'!$D$6:$Z$680,2,FALSE))</f>
        <v>Fuego</v>
      </c>
      <c r="BS30" s="5345"/>
      <c r="BT30" s="5345"/>
      <c r="BU30" s="5345"/>
      <c r="BV30" s="5346"/>
      <c r="BW30" s="1216"/>
      <c r="BX30" s="1210"/>
      <c r="BY30" s="1210"/>
      <c r="BZ30" s="2272">
        <f>BZ19+2</f>
        <v>86</v>
      </c>
      <c r="CA30" s="5356"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57"/>
      <c r="CC30" s="5357"/>
      <c r="CD30" s="5357"/>
      <c r="CE30" s="5357"/>
      <c r="CF30" s="1230" t="s">
        <v>1630</v>
      </c>
      <c r="CG30" s="1231">
        <f>IF(CA30=0,"",VLOOKUP(CA30,'Tablas Magia'!$D$6:$Z$680,3,FALSE))</f>
        <v>86</v>
      </c>
      <c r="CH30" s="5344" t="s">
        <v>8162</v>
      </c>
      <c r="CI30" s="5344"/>
      <c r="CJ30" s="5344"/>
      <c r="CK30" s="5345" t="str">
        <f>IF(CA30=0,"",VLOOKUP(CA30,'Tablas Magia'!$D$6:$Z$680,2,FALSE))</f>
        <v>Fuego</v>
      </c>
      <c r="CL30" s="5345"/>
      <c r="CM30" s="5345"/>
      <c r="CN30" s="5345"/>
      <c r="CO30" s="5346"/>
      <c r="CP30" s="1216"/>
      <c r="CQ30" s="1210"/>
    </row>
    <row r="31" spans="1:95" ht="12" customHeight="1" x14ac:dyDescent="0.2">
      <c r="A31" s="1210"/>
      <c r="B31" s="2258"/>
      <c r="C31" s="5340" t="s">
        <v>8163</v>
      </c>
      <c r="D31" s="5341"/>
      <c r="E31" s="1232" t="s">
        <v>8164</v>
      </c>
      <c r="F31" s="1232" t="s">
        <v>1824</v>
      </c>
      <c r="G31" s="1232" t="s">
        <v>3467</v>
      </c>
      <c r="H31" s="1233" t="s">
        <v>2175</v>
      </c>
      <c r="I31" s="5314" t="str">
        <f>IF(C30=0,"",VLOOKUP(C30,'Tablas Magia'!$D$6:$Z$680,5,FALSE))</f>
        <v>Efecto</v>
      </c>
      <c r="J31" s="5314"/>
      <c r="K31" s="5313" t="s">
        <v>8165</v>
      </c>
      <c r="L31" s="5313"/>
      <c r="M31" s="5314" t="str">
        <f>IF(C30=0,"",VLOOKUP(C30,'Tablas Magia'!$D$6:$Z$680,6,FALSE))</f>
        <v>Activa</v>
      </c>
      <c r="N31" s="5314"/>
      <c r="O31" s="5315" t="s">
        <v>8166</v>
      </c>
      <c r="P31" s="5315"/>
      <c r="Q31" s="1234" t="str">
        <f>IF(C30=0,"",VLOOKUP(C30,'Tablas Magia'!$D$6:$Z$680,4,FALSE))</f>
        <v>No</v>
      </c>
      <c r="R31" s="1216"/>
      <c r="S31" s="1210"/>
      <c r="T31" s="1210"/>
      <c r="U31" s="2258"/>
      <c r="V31" s="5340" t="s">
        <v>8163</v>
      </c>
      <c r="W31" s="5341"/>
      <c r="X31" s="1232" t="s">
        <v>8164</v>
      </c>
      <c r="Y31" s="1232" t="s">
        <v>1824</v>
      </c>
      <c r="Z31" s="1232" t="s">
        <v>3467</v>
      </c>
      <c r="AA31" s="1233" t="s">
        <v>2175</v>
      </c>
      <c r="AB31" s="5314" t="str">
        <f>IF(V30=0,"",VLOOKUP(V30,'Tablas Magia'!$D$6:$Z$680,5,FALSE))</f>
        <v>Efecto</v>
      </c>
      <c r="AC31" s="5314"/>
      <c r="AD31" s="5313" t="s">
        <v>8165</v>
      </c>
      <c r="AE31" s="5313"/>
      <c r="AF31" s="5314" t="str">
        <f>IF(V30=0,"",VLOOKUP(V30,'Tablas Magia'!$D$6:$Z$680,6,FALSE))</f>
        <v>Activa</v>
      </c>
      <c r="AG31" s="5314"/>
      <c r="AH31" s="5315" t="s">
        <v>8166</v>
      </c>
      <c r="AI31" s="5315"/>
      <c r="AJ31" s="1234" t="str">
        <f>IF(V30=0,"",VLOOKUP(V30,'Tablas Magia'!$D$6:$Z$680,4,FALSE))</f>
        <v>No</v>
      </c>
      <c r="AK31" s="1216"/>
      <c r="AL31" s="1210"/>
      <c r="AM31" s="1210"/>
      <c r="AN31" s="2272"/>
      <c r="AO31" s="5340" t="s">
        <v>8163</v>
      </c>
      <c r="AP31" s="5341"/>
      <c r="AQ31" s="1232" t="s">
        <v>8164</v>
      </c>
      <c r="AR31" s="1232" t="s">
        <v>1824</v>
      </c>
      <c r="AS31" s="1232" t="s">
        <v>3467</v>
      </c>
      <c r="AT31" s="1233" t="s">
        <v>2175</v>
      </c>
      <c r="AU31" s="5314" t="str">
        <f>IF(AO30=0,"",VLOOKUP(AO30,'Tablas Magia'!$D$6:$Z$680,5,FALSE))</f>
        <v>Efecto</v>
      </c>
      <c r="AV31" s="5314"/>
      <c r="AW31" s="5313" t="s">
        <v>8165</v>
      </c>
      <c r="AX31" s="5313"/>
      <c r="AY31" s="5314" t="str">
        <f>IF(AO30=0,"",VLOOKUP(AO30,'Tablas Magia'!$D$6:$Z$680,6,FALSE))</f>
        <v>Activa</v>
      </c>
      <c r="AZ31" s="5314"/>
      <c r="BA31" s="5315" t="s">
        <v>8166</v>
      </c>
      <c r="BB31" s="5315"/>
      <c r="BC31" s="1234" t="str">
        <f>IF(AO30=0,"",VLOOKUP(AO30,'Tablas Magia'!$D$6:$Z$680,4,FALSE))</f>
        <v>No</v>
      </c>
      <c r="BD31" s="1216"/>
      <c r="BE31" s="1210"/>
      <c r="BF31" s="1210"/>
      <c r="BG31" s="2272"/>
      <c r="BH31" s="5340" t="s">
        <v>8163</v>
      </c>
      <c r="BI31" s="5341"/>
      <c r="BJ31" s="1232" t="s">
        <v>8164</v>
      </c>
      <c r="BK31" s="1232" t="s">
        <v>1824</v>
      </c>
      <c r="BL31" s="1232" t="s">
        <v>3467</v>
      </c>
      <c r="BM31" s="1233" t="s">
        <v>2175</v>
      </c>
      <c r="BN31" s="5314" t="str">
        <f>IF(BH30=0,"",VLOOKUP(BH30,'Tablas Magia'!$D$6:$Z$680,5,FALSE))</f>
        <v>Efecto</v>
      </c>
      <c r="BO31" s="5314"/>
      <c r="BP31" s="5313" t="s">
        <v>8165</v>
      </c>
      <c r="BQ31" s="5313"/>
      <c r="BR31" s="5314" t="str">
        <f>IF(BH30=0,"",VLOOKUP(BH30,'Tablas Magia'!$D$6:$Z$680,6,FALSE))</f>
        <v>Activa</v>
      </c>
      <c r="BS31" s="5314"/>
      <c r="BT31" s="5315" t="s">
        <v>8166</v>
      </c>
      <c r="BU31" s="5315"/>
      <c r="BV31" s="1234" t="str">
        <f>IF(BH30=0,"",VLOOKUP(BH30,'Tablas Magia'!$D$6:$Z$680,4,FALSE))</f>
        <v>Si</v>
      </c>
      <c r="BW31" s="1216"/>
      <c r="BX31" s="1210"/>
      <c r="BY31" s="1210"/>
      <c r="BZ31" s="2272"/>
      <c r="CA31" s="5340" t="s">
        <v>8163</v>
      </c>
      <c r="CB31" s="5341"/>
      <c r="CC31" s="1232" t="s">
        <v>8164</v>
      </c>
      <c r="CD31" s="1232" t="s">
        <v>1824</v>
      </c>
      <c r="CE31" s="1232" t="s">
        <v>3467</v>
      </c>
      <c r="CF31" s="1233" t="s">
        <v>2175</v>
      </c>
      <c r="CG31" s="5314" t="str">
        <f>IF(CA30=0,"",VLOOKUP(CA30,'Tablas Magia'!$D$6:$Z$680,5,FALSE))</f>
        <v>Efecto</v>
      </c>
      <c r="CH31" s="5314"/>
      <c r="CI31" s="5313" t="s">
        <v>8165</v>
      </c>
      <c r="CJ31" s="5313"/>
      <c r="CK31" s="5314" t="str">
        <f>IF(CA30=0,"",VLOOKUP(CA30,'Tablas Magia'!$D$6:$Z$680,6,FALSE))</f>
        <v>Activa</v>
      </c>
      <c r="CL31" s="5314"/>
      <c r="CM31" s="5315" t="s">
        <v>8166</v>
      </c>
      <c r="CN31" s="5315"/>
      <c r="CO31" s="1234" t="str">
        <f>IF(CA30=0,"",VLOOKUP(CA30,'Tablas Magia'!$D$6:$Z$680,4,FALSE))</f>
        <v>Si</v>
      </c>
      <c r="CP31" s="1216"/>
      <c r="CQ31" s="1210"/>
    </row>
    <row r="32" spans="1:95" ht="12" customHeight="1" x14ac:dyDescent="0.2">
      <c r="A32" s="1210"/>
      <c r="B32" s="2258"/>
      <c r="C32" s="5316" t="s">
        <v>1677</v>
      </c>
      <c r="D32" s="5317"/>
      <c r="E32" s="1235">
        <f>IF(C30=0,"",VLOOKUP(C30,'Tablas Magia'!$D$6:$Z$680,7,FALSE))</f>
        <v>5</v>
      </c>
      <c r="F32" s="1235">
        <f>IF(C30=0,"",VLOOKUP(C30,'Tablas Magia'!$D$6:$Z$680,11,FALSE))</f>
        <v>30</v>
      </c>
      <c r="G32" s="1236" t="str">
        <f>IF(C30=0,"",VLOOKUP(C30,'Tablas Magia'!$D$6:$Z$680,15,FALSE))</f>
        <v>No</v>
      </c>
      <c r="H32" s="5318" t="str">
        <f>IF(C30=0,"",VLOOKUP(C30,'Tablas Magia'!$D$6:$Z$680,19,FALSE))</f>
        <v>-1 intesidad de fuego</v>
      </c>
      <c r="I32" s="5319"/>
      <c r="J32" s="5319"/>
      <c r="K32" s="5319"/>
      <c r="L32" s="5319"/>
      <c r="M32" s="5319"/>
      <c r="N32" s="5319"/>
      <c r="O32" s="5319"/>
      <c r="P32" s="5319"/>
      <c r="Q32" s="5320"/>
      <c r="R32" s="1216"/>
      <c r="S32" s="1210"/>
      <c r="T32" s="1210"/>
      <c r="U32" s="2258"/>
      <c r="V32" s="5316" t="s">
        <v>1677</v>
      </c>
      <c r="W32" s="5317"/>
      <c r="X32" s="1235">
        <f>IF(V30=0,"",VLOOKUP(V30,'Tablas Magia'!$D$6:$Z$680,7,FALSE))</f>
        <v>6</v>
      </c>
      <c r="Y32" s="1235">
        <f>IF(V30=0,"",VLOOKUP(V30,'Tablas Magia'!$D$6:$Z$680,11,FALSE))</f>
        <v>50</v>
      </c>
      <c r="Z32" s="1236">
        <f>IF(V30=0,"",VLOOKUP(V30,'Tablas Magia'!$D$6:$Z$680,15,FALSE))</f>
        <v>5</v>
      </c>
      <c r="AA32" s="5318" t="str">
        <f>IF(V30=0,"",VLOOKUP(V30,'Tablas Magia'!$D$6:$Z$680,19,FALSE))</f>
        <v>+10 daño base</v>
      </c>
      <c r="AB32" s="5319"/>
      <c r="AC32" s="5319"/>
      <c r="AD32" s="5319"/>
      <c r="AE32" s="5319"/>
      <c r="AF32" s="5319"/>
      <c r="AG32" s="5319"/>
      <c r="AH32" s="5319"/>
      <c r="AI32" s="5319"/>
      <c r="AJ32" s="5320"/>
      <c r="AK32" s="1216"/>
      <c r="AL32" s="1210"/>
      <c r="AM32" s="1210"/>
      <c r="AN32" s="2272"/>
      <c r="AO32" s="5316" t="s">
        <v>1677</v>
      </c>
      <c r="AP32" s="5317"/>
      <c r="AQ32" s="1235">
        <f>IF(AO30=0,"",VLOOKUP(AO30,'Tablas Magia'!$D$6:$Z$680,7,FALSE))</f>
        <v>8</v>
      </c>
      <c r="AR32" s="1235">
        <f>IF(AO30=0,"",VLOOKUP(AO30,'Tablas Magia'!$D$6:$Z$680,11,FALSE))</f>
        <v>80</v>
      </c>
      <c r="AS32" s="1236" t="str">
        <f>IF(AO30=0,"",VLOOKUP(AO30,'Tablas Magia'!$D$6:$Z$680,15,FALSE))</f>
        <v>No</v>
      </c>
      <c r="AT32" s="5318" t="str">
        <f>IF(AO30=0,"",VLOOKUP(AO30,'Tablas Magia'!$D$6:$Z$680,19,FALSE))</f>
        <v>5 metros de radio/ RM o RF 100</v>
      </c>
      <c r="AU32" s="5319"/>
      <c r="AV32" s="5319"/>
      <c r="AW32" s="5319"/>
      <c r="AX32" s="5319"/>
      <c r="AY32" s="5319"/>
      <c r="AZ32" s="5319"/>
      <c r="BA32" s="5319"/>
      <c r="BB32" s="5319"/>
      <c r="BC32" s="5320"/>
      <c r="BD32" s="1216"/>
      <c r="BE32" s="1210"/>
      <c r="BF32" s="1210"/>
      <c r="BG32" s="2272"/>
      <c r="BH32" s="5316" t="s">
        <v>1677</v>
      </c>
      <c r="BI32" s="5317"/>
      <c r="BJ32" s="1235">
        <f>IF(BH30=0,"",VLOOKUP(BH30,'Tablas Magia'!$D$6:$Z$680,7,FALSE))</f>
        <v>7</v>
      </c>
      <c r="BK32" s="1235">
        <f>IF(BH30=0,"",VLOOKUP(BH30,'Tablas Magia'!$D$6:$Z$680,11,FALSE))</f>
        <v>120</v>
      </c>
      <c r="BL32" s="1236">
        <f>IF(BH30=0,"",VLOOKUP(BH30,'Tablas Magia'!$D$6:$Z$680,15,FALSE))</f>
        <v>10</v>
      </c>
      <c r="BM32" s="5318" t="str">
        <f>IF(BH30=0,"",VLOOKUP(BH30,'Tablas Magia'!$D$6:$Z$680,19,FALSE))</f>
        <v>20 puntos de Zeon por asalto</v>
      </c>
      <c r="BN32" s="5319"/>
      <c r="BO32" s="5319"/>
      <c r="BP32" s="5319"/>
      <c r="BQ32" s="5319"/>
      <c r="BR32" s="5319"/>
      <c r="BS32" s="5319"/>
      <c r="BT32" s="5319"/>
      <c r="BU32" s="5319"/>
      <c r="BV32" s="5320"/>
      <c r="BW32" s="1216"/>
      <c r="BX32" s="1210"/>
      <c r="BY32" s="1210"/>
      <c r="BZ32" s="2272"/>
      <c r="CA32" s="5316" t="s">
        <v>1677</v>
      </c>
      <c r="CB32" s="5317"/>
      <c r="CC32" s="1235">
        <f>IF(CA30=0,"",VLOOKUP(CA30,'Tablas Magia'!$D$6:$Z$680,7,FALSE))</f>
        <v>10</v>
      </c>
      <c r="CD32" s="1235">
        <f>IF(CA30=0,"",VLOOKUP(CA30,'Tablas Magia'!$D$6:$Z$680,11,FALSE))</f>
        <v>250</v>
      </c>
      <c r="CE32" s="1236">
        <f>IF(CA30=0,"",VLOOKUP(CA30,'Tablas Magia'!$D$6:$Z$680,15,FALSE))</f>
        <v>25</v>
      </c>
      <c r="CF32" s="5318" t="str">
        <f>IF(CA30=0,"",VLOOKUP(CA30,'Tablas Magia'!$D$6:$Z$680,19,FALSE))</f>
        <v>15 intensidades</v>
      </c>
      <c r="CG32" s="5319"/>
      <c r="CH32" s="5319"/>
      <c r="CI32" s="5319"/>
      <c r="CJ32" s="5319"/>
      <c r="CK32" s="5319"/>
      <c r="CL32" s="5319"/>
      <c r="CM32" s="5319"/>
      <c r="CN32" s="5319"/>
      <c r="CO32" s="5320"/>
      <c r="CP32" s="1216"/>
      <c r="CQ32" s="1210"/>
    </row>
    <row r="33" spans="1:95" ht="12" customHeight="1" x14ac:dyDescent="0.2">
      <c r="A33" s="1210"/>
      <c r="B33" s="2258"/>
      <c r="C33" s="5321" t="s">
        <v>4705</v>
      </c>
      <c r="D33" s="5322"/>
      <c r="E33" s="1237">
        <f>IF(C30=0,"",VLOOKUP(C30,'Tablas Magia'!$D$6:$Z$680,8,FALSE))</f>
        <v>8</v>
      </c>
      <c r="F33" s="1237">
        <f>IF(C30=0,"",VLOOKUP(C30,'Tablas Magia'!$D$6:$Z$680,12,FALSE))</f>
        <v>80</v>
      </c>
      <c r="G33" s="1238" t="str">
        <f>IF(C30=0,"",VLOOKUP(C30,'Tablas Magia'!$D$6:$Z$680,16,FALSE))</f>
        <v>No</v>
      </c>
      <c r="H33" s="5323" t="str">
        <f>IF(C30=0,"",VLOOKUP(C30,'Tablas Magia'!$D$6:$Z$680,20,FALSE))</f>
        <v>-5 Intensidades de fuego</v>
      </c>
      <c r="I33" s="5324"/>
      <c r="J33" s="5324"/>
      <c r="K33" s="5324"/>
      <c r="L33" s="5324"/>
      <c r="M33" s="5324"/>
      <c r="N33" s="5324"/>
      <c r="O33" s="5324"/>
      <c r="P33" s="5324"/>
      <c r="Q33" s="5325"/>
      <c r="R33" s="1216"/>
      <c r="S33" s="1210"/>
      <c r="T33" s="1210"/>
      <c r="U33" s="2258"/>
      <c r="V33" s="5321" t="s">
        <v>4705</v>
      </c>
      <c r="W33" s="5322"/>
      <c r="X33" s="1237">
        <f>IF(V30=0,"",VLOOKUP(V30,'Tablas Magia'!$D$6:$Z$680,8,FALSE))</f>
        <v>9</v>
      </c>
      <c r="Y33" s="1237">
        <f>IF(V30=0,"",VLOOKUP(V30,'Tablas Magia'!$D$6:$Z$680,12,FALSE))</f>
        <v>80</v>
      </c>
      <c r="Z33" s="1238">
        <f>IF(V30=0,"",VLOOKUP(V30,'Tablas Magia'!$D$6:$Z$680,16,FALSE))</f>
        <v>10</v>
      </c>
      <c r="AA33" s="5323" t="str">
        <f>IF(V30=0,"",VLOOKUP(V30,'Tablas Magia'!$D$6:$Z$680,20,FALSE))</f>
        <v>+20 daño base</v>
      </c>
      <c r="AB33" s="5324"/>
      <c r="AC33" s="5324"/>
      <c r="AD33" s="5324"/>
      <c r="AE33" s="5324"/>
      <c r="AF33" s="5324"/>
      <c r="AG33" s="5324"/>
      <c r="AH33" s="5324"/>
      <c r="AI33" s="5324"/>
      <c r="AJ33" s="5325"/>
      <c r="AK33" s="1216"/>
      <c r="AL33" s="1210"/>
      <c r="AM33" s="1210"/>
      <c r="AN33" s="2272"/>
      <c r="AO33" s="5321" t="s">
        <v>4705</v>
      </c>
      <c r="AP33" s="5322"/>
      <c r="AQ33" s="1237">
        <f>IF(AO30=0,"",VLOOKUP(AO30,'Tablas Magia'!$D$6:$Z$680,8,FALSE))</f>
        <v>10</v>
      </c>
      <c r="AR33" s="1237">
        <f>IF(AO30=0,"",VLOOKUP(AO30,'Tablas Magia'!$D$6:$Z$680,12,FALSE))</f>
        <v>120</v>
      </c>
      <c r="AS33" s="1238" t="str">
        <f>IF(AO30=0,"",VLOOKUP(AO30,'Tablas Magia'!$D$6:$Z$680,16,FALSE))</f>
        <v>No</v>
      </c>
      <c r="AT33" s="5323" t="str">
        <f>IF(AO30=0,"",VLOOKUP(AO30,'Tablas Magia'!$D$6:$Z$680,20,FALSE))</f>
        <v>15 metros de radio / RM o RF 120</v>
      </c>
      <c r="AU33" s="5324"/>
      <c r="AV33" s="5324"/>
      <c r="AW33" s="5324"/>
      <c r="AX33" s="5324"/>
      <c r="AY33" s="5324"/>
      <c r="AZ33" s="5324"/>
      <c r="BA33" s="5324"/>
      <c r="BB33" s="5324"/>
      <c r="BC33" s="5325"/>
      <c r="BD33" s="1216"/>
      <c r="BE33" s="1210"/>
      <c r="BF33" s="1210"/>
      <c r="BG33" s="2272"/>
      <c r="BH33" s="5321" t="s">
        <v>4705</v>
      </c>
      <c r="BI33" s="5322"/>
      <c r="BJ33" s="1237">
        <f>IF(BH30=0,"",VLOOKUP(BH30,'Tablas Magia'!$D$6:$Z$680,8,FALSE))</f>
        <v>10</v>
      </c>
      <c r="BK33" s="1237">
        <f>IF(BH30=0,"",VLOOKUP(BH30,'Tablas Magia'!$D$6:$Z$680,12,FALSE))</f>
        <v>180</v>
      </c>
      <c r="BL33" s="1238">
        <f>IF(BH30=0,"",VLOOKUP(BH30,'Tablas Magia'!$D$6:$Z$680,16,FALSE))</f>
        <v>10</v>
      </c>
      <c r="BM33" s="5323" t="str">
        <f>IF(BH30=0,"",VLOOKUP(BH30,'Tablas Magia'!$D$6:$Z$680,20,FALSE))</f>
        <v>50 puntos de Zeon por asalto</v>
      </c>
      <c r="BN33" s="5324"/>
      <c r="BO33" s="5324"/>
      <c r="BP33" s="5324"/>
      <c r="BQ33" s="5324"/>
      <c r="BR33" s="5324"/>
      <c r="BS33" s="5324"/>
      <c r="BT33" s="5324"/>
      <c r="BU33" s="5324"/>
      <c r="BV33" s="5325"/>
      <c r="BW33" s="1216"/>
      <c r="BX33" s="1210"/>
      <c r="BY33" s="1210"/>
      <c r="BZ33" s="2272"/>
      <c r="CA33" s="5321" t="s">
        <v>4705</v>
      </c>
      <c r="CB33" s="5322"/>
      <c r="CC33" s="1237">
        <f>IF(CA30=0,"",VLOOKUP(CA30,'Tablas Magia'!$D$6:$Z$680,8,FALSE))</f>
        <v>12</v>
      </c>
      <c r="CD33" s="1237">
        <f>IF(CA30=0,"",VLOOKUP(CA30,'Tablas Magia'!$D$6:$Z$680,12,FALSE))</f>
        <v>300</v>
      </c>
      <c r="CE33" s="1238">
        <f>IF(CA30=0,"",VLOOKUP(CA30,'Tablas Magia'!$D$6:$Z$680,16,FALSE))</f>
        <v>30</v>
      </c>
      <c r="CF33" s="5323" t="str">
        <f>IF(CA30=0,"",VLOOKUP(CA30,'Tablas Magia'!$D$6:$Z$680,20,FALSE))</f>
        <v>25 intensidades</v>
      </c>
      <c r="CG33" s="5324"/>
      <c r="CH33" s="5324"/>
      <c r="CI33" s="5324"/>
      <c r="CJ33" s="5324"/>
      <c r="CK33" s="5324"/>
      <c r="CL33" s="5324"/>
      <c r="CM33" s="5324"/>
      <c r="CN33" s="5324"/>
      <c r="CO33" s="5325"/>
      <c r="CP33" s="1216"/>
      <c r="CQ33" s="1210"/>
    </row>
    <row r="34" spans="1:95" ht="12" customHeight="1" x14ac:dyDescent="0.2">
      <c r="A34" s="1210"/>
      <c r="B34" s="2258"/>
      <c r="C34" s="5316" t="s">
        <v>4706</v>
      </c>
      <c r="D34" s="5317"/>
      <c r="E34" s="1235">
        <f>IF(C30=0,"",VLOOKUP(C30,'Tablas Magia'!$D$6:$Z$680,9,FALSE))</f>
        <v>10</v>
      </c>
      <c r="F34" s="1235">
        <f>IF(C30=0,"",VLOOKUP(C30,'Tablas Magia'!$D$6:$Z$680,13,FALSE))</f>
        <v>120</v>
      </c>
      <c r="G34" s="1236" t="str">
        <f>IF(C30=0,"",VLOOKUP(C30,'Tablas Magia'!$D$6:$Z$680,17,FALSE))</f>
        <v>No</v>
      </c>
      <c r="H34" s="5318" t="str">
        <f>IF(C30=0,"",VLOOKUP(C30,'Tablas Magia'!$D$6:$Z$680,21,FALSE))</f>
        <v>-10 Intensidades fuego</v>
      </c>
      <c r="I34" s="5319"/>
      <c r="J34" s="5319"/>
      <c r="K34" s="5319"/>
      <c r="L34" s="5319"/>
      <c r="M34" s="5319"/>
      <c r="N34" s="5319"/>
      <c r="O34" s="5319"/>
      <c r="P34" s="5319"/>
      <c r="Q34" s="5320"/>
      <c r="R34" s="1216"/>
      <c r="S34" s="1210"/>
      <c r="T34" s="1210"/>
      <c r="U34" s="2258"/>
      <c r="V34" s="5316" t="s">
        <v>4706</v>
      </c>
      <c r="W34" s="5317"/>
      <c r="X34" s="1235">
        <f>IF(V30=0,"",VLOOKUP(V30,'Tablas Magia'!$D$6:$Z$680,9,FALSE))</f>
        <v>11</v>
      </c>
      <c r="Y34" s="1235">
        <f>IF(V30=0,"",VLOOKUP(V30,'Tablas Magia'!$D$6:$Z$680,13,FALSE))</f>
        <v>100</v>
      </c>
      <c r="Z34" s="1236">
        <f>IF(V30=0,"",VLOOKUP(V30,'Tablas Magia'!$D$6:$Z$680,17,FALSE))</f>
        <v>10</v>
      </c>
      <c r="AA34" s="5318" t="str">
        <f>IF(V30=0,"",VLOOKUP(V30,'Tablas Magia'!$D$6:$Z$680,21,FALSE))</f>
        <v>+30 daño base</v>
      </c>
      <c r="AB34" s="5319"/>
      <c r="AC34" s="5319"/>
      <c r="AD34" s="5319"/>
      <c r="AE34" s="5319"/>
      <c r="AF34" s="5319"/>
      <c r="AG34" s="5319"/>
      <c r="AH34" s="5319"/>
      <c r="AI34" s="5319"/>
      <c r="AJ34" s="5320"/>
      <c r="AK34" s="1216"/>
      <c r="AL34" s="1210"/>
      <c r="AM34" s="1210"/>
      <c r="AN34" s="2272"/>
      <c r="AO34" s="5316" t="s">
        <v>4706</v>
      </c>
      <c r="AP34" s="5317"/>
      <c r="AQ34" s="1235">
        <f>IF(AO30=0,"",VLOOKUP(AO30,'Tablas Magia'!$D$6:$Z$680,9,FALSE))</f>
        <v>12</v>
      </c>
      <c r="AR34" s="1235">
        <f>IF(AO30=0,"",VLOOKUP(AO30,'Tablas Magia'!$D$6:$Z$680,13,FALSE))</f>
        <v>180</v>
      </c>
      <c r="AS34" s="1236" t="str">
        <f>IF(AO30=0,"",VLOOKUP(AO30,'Tablas Magia'!$D$6:$Z$680,17,FALSE))</f>
        <v>No</v>
      </c>
      <c r="AT34" s="5318" t="str">
        <f>IF(AO30=0,"",VLOOKUP(AO30,'Tablas Magia'!$D$6:$Z$680,21,FALSE))</f>
        <v>25 metros de radio / RM o RF 140</v>
      </c>
      <c r="AU34" s="5319"/>
      <c r="AV34" s="5319"/>
      <c r="AW34" s="5319"/>
      <c r="AX34" s="5319"/>
      <c r="AY34" s="5319"/>
      <c r="AZ34" s="5319"/>
      <c r="BA34" s="5319"/>
      <c r="BB34" s="5319"/>
      <c r="BC34" s="5320"/>
      <c r="BD34" s="1216"/>
      <c r="BE34" s="1210"/>
      <c r="BF34" s="1210"/>
      <c r="BG34" s="2272"/>
      <c r="BH34" s="5316" t="s">
        <v>4706</v>
      </c>
      <c r="BI34" s="5317"/>
      <c r="BJ34" s="1235">
        <f>IF(BH30=0,"",VLOOKUP(BH30,'Tablas Magia'!$D$6:$Z$680,9,FALSE))</f>
        <v>12</v>
      </c>
      <c r="BK34" s="1235">
        <f>IF(BH30=0,"",VLOOKUP(BH30,'Tablas Magia'!$D$6:$Z$680,13,FALSE))</f>
        <v>240</v>
      </c>
      <c r="BL34" s="1236">
        <f>IF(BH30=0,"",VLOOKUP(BH30,'Tablas Magia'!$D$6:$Z$680,17,FALSE))</f>
        <v>15</v>
      </c>
      <c r="BM34" s="5318" t="str">
        <f>IF(BH30=0,"",VLOOKUP(BH30,'Tablas Magia'!$D$6:$Z$680,21,FALSE))</f>
        <v>80 puntos de Zeon por asalto</v>
      </c>
      <c r="BN34" s="5319"/>
      <c r="BO34" s="5319"/>
      <c r="BP34" s="5319"/>
      <c r="BQ34" s="5319"/>
      <c r="BR34" s="5319"/>
      <c r="BS34" s="5319"/>
      <c r="BT34" s="5319"/>
      <c r="BU34" s="5319"/>
      <c r="BV34" s="5320"/>
      <c r="BW34" s="1216"/>
      <c r="BX34" s="1210"/>
      <c r="BY34" s="1210"/>
      <c r="BZ34" s="2272"/>
      <c r="CA34" s="5316" t="s">
        <v>4706</v>
      </c>
      <c r="CB34" s="5317"/>
      <c r="CC34" s="1235">
        <f>IF(CA30=0,"",VLOOKUP(CA30,'Tablas Magia'!$D$6:$Z$680,9,FALSE))</f>
        <v>14</v>
      </c>
      <c r="CD34" s="1235">
        <f>IF(CA30=0,"",VLOOKUP(CA30,'Tablas Magia'!$D$6:$Z$680,13,FALSE))</f>
        <v>350</v>
      </c>
      <c r="CE34" s="1236">
        <f>IF(CA30=0,"",VLOOKUP(CA30,'Tablas Magia'!$D$6:$Z$680,17,FALSE))</f>
        <v>30</v>
      </c>
      <c r="CF34" s="5318" t="str">
        <f>IF(CA30=0,"",VLOOKUP(CA30,'Tablas Magia'!$D$6:$Z$680,21,FALSE))</f>
        <v>35 intensidades</v>
      </c>
      <c r="CG34" s="5319"/>
      <c r="CH34" s="5319"/>
      <c r="CI34" s="5319"/>
      <c r="CJ34" s="5319"/>
      <c r="CK34" s="5319"/>
      <c r="CL34" s="5319"/>
      <c r="CM34" s="5319"/>
      <c r="CN34" s="5319"/>
      <c r="CO34" s="5320"/>
      <c r="CP34" s="1216"/>
      <c r="CQ34" s="1210"/>
    </row>
    <row r="35" spans="1:95" ht="12" customHeight="1" thickBot="1" x14ac:dyDescent="0.25">
      <c r="A35" s="1210"/>
      <c r="B35" s="2258"/>
      <c r="C35" s="5326" t="s">
        <v>4707</v>
      </c>
      <c r="D35" s="5327"/>
      <c r="E35" s="1239">
        <f>IF(C30=0,"",VLOOKUP(C30,'Tablas Magia'!$D$6:$Z$680,10,FALSE))</f>
        <v>13</v>
      </c>
      <c r="F35" s="1239">
        <f>IF(C30=0,"",VLOOKUP(C30,'Tablas Magia'!$D$6:$Z$680,14,FALSE))</f>
        <v>200</v>
      </c>
      <c r="G35" s="1240" t="str">
        <f>IF(C30=0,"",VLOOKUP(C30,'Tablas Magia'!$D$6:$Z$680,18,FALSE))</f>
        <v>No</v>
      </c>
      <c r="H35" s="5328" t="str">
        <f>IF(C30=0,"",VLOOKUP(C30,'Tablas Magia'!$D$6:$Z$680,22,FALSE))</f>
        <v>-15 Intensidades de fuego</v>
      </c>
      <c r="I35" s="5329"/>
      <c r="J35" s="5329"/>
      <c r="K35" s="5329"/>
      <c r="L35" s="5329"/>
      <c r="M35" s="5329"/>
      <c r="N35" s="5329"/>
      <c r="O35" s="5329"/>
      <c r="P35" s="5329"/>
      <c r="Q35" s="5330"/>
      <c r="R35" s="1216"/>
      <c r="S35" s="1210"/>
      <c r="T35" s="1210"/>
      <c r="U35" s="2258"/>
      <c r="V35" s="5326" t="s">
        <v>4707</v>
      </c>
      <c r="W35" s="5327"/>
      <c r="X35" s="1239">
        <f>IF(V30=0,"",VLOOKUP(V30,'Tablas Magia'!$D$6:$Z$680,10,FALSE))</f>
        <v>14</v>
      </c>
      <c r="Y35" s="1239">
        <f>IF(V30=0,"",VLOOKUP(V30,'Tablas Magia'!$D$6:$Z$680,14,FALSE))</f>
        <v>120</v>
      </c>
      <c r="Z35" s="1240">
        <f>IF(V30=0,"",VLOOKUP(V30,'Tablas Magia'!$D$6:$Z$680,18,FALSE))</f>
        <v>15</v>
      </c>
      <c r="AA35" s="5328" t="str">
        <f>IF(V30=0,"",VLOOKUP(V30,'Tablas Magia'!$D$6:$Z$680,22,FALSE))</f>
        <v>+40 daño base</v>
      </c>
      <c r="AB35" s="5329"/>
      <c r="AC35" s="5329"/>
      <c r="AD35" s="5329"/>
      <c r="AE35" s="5329"/>
      <c r="AF35" s="5329"/>
      <c r="AG35" s="5329"/>
      <c r="AH35" s="5329"/>
      <c r="AI35" s="5329"/>
      <c r="AJ35" s="5330"/>
      <c r="AK35" s="1216"/>
      <c r="AL35" s="1210"/>
      <c r="AM35" s="1210"/>
      <c r="AN35" s="2272"/>
      <c r="AO35" s="5326" t="s">
        <v>4707</v>
      </c>
      <c r="AP35" s="5327"/>
      <c r="AQ35" s="1239">
        <f>IF(AO30=0,"",VLOOKUP(AO30,'Tablas Magia'!$D$6:$Z$680,10,FALSE))</f>
        <v>14</v>
      </c>
      <c r="AR35" s="1239">
        <f>IF(AO30=0,"",VLOOKUP(AO30,'Tablas Magia'!$D$6:$Z$680,14,FALSE))</f>
        <v>240</v>
      </c>
      <c r="AS35" s="1240" t="str">
        <f>IF(AO30=0,"",VLOOKUP(AO30,'Tablas Magia'!$D$6:$Z$680,18,FALSE))</f>
        <v>No</v>
      </c>
      <c r="AT35" s="5328" t="str">
        <f>IF(AO30=0,"",VLOOKUP(AO30,'Tablas Magia'!$D$6:$Z$680,22,FALSE))</f>
        <v>35 metros de radio / RM o RF 160</v>
      </c>
      <c r="AU35" s="5329"/>
      <c r="AV35" s="5329"/>
      <c r="AW35" s="5329"/>
      <c r="AX35" s="5329"/>
      <c r="AY35" s="5329"/>
      <c r="AZ35" s="5329"/>
      <c r="BA35" s="5329"/>
      <c r="BB35" s="5329"/>
      <c r="BC35" s="5330"/>
      <c r="BD35" s="1216"/>
      <c r="BE35" s="1210"/>
      <c r="BF35" s="1210"/>
      <c r="BG35" s="2272"/>
      <c r="BH35" s="5326" t="s">
        <v>4707</v>
      </c>
      <c r="BI35" s="5327"/>
      <c r="BJ35" s="1239">
        <f>IF(BH30=0,"",VLOOKUP(BH30,'Tablas Magia'!$D$6:$Z$680,10,FALSE))</f>
        <v>15</v>
      </c>
      <c r="BK35" s="1239">
        <f>IF(BH30=0,"",VLOOKUP(BH30,'Tablas Magia'!$D$6:$Z$680,14,FALSE))</f>
        <v>300</v>
      </c>
      <c r="BL35" s="1240">
        <f>IF(BH30=0,"",VLOOKUP(BH30,'Tablas Magia'!$D$6:$Z$680,18,FALSE))</f>
        <v>15</v>
      </c>
      <c r="BM35" s="5328" t="str">
        <f>IF(BH30=0,"",VLOOKUP(BH30,'Tablas Magia'!$D$6:$Z$680,22,FALSE))</f>
        <v>120 puntos de Zeon por asalto</v>
      </c>
      <c r="BN35" s="5329"/>
      <c r="BO35" s="5329"/>
      <c r="BP35" s="5329"/>
      <c r="BQ35" s="5329"/>
      <c r="BR35" s="5329"/>
      <c r="BS35" s="5329"/>
      <c r="BT35" s="5329"/>
      <c r="BU35" s="5329"/>
      <c r="BV35" s="5330"/>
      <c r="BW35" s="1216"/>
      <c r="BX35" s="1210"/>
      <c r="BY35" s="1210"/>
      <c r="BZ35" s="2272"/>
      <c r="CA35" s="5326" t="s">
        <v>4707</v>
      </c>
      <c r="CB35" s="5327"/>
      <c r="CC35" s="1239">
        <f>IF(CA30=0,"",VLOOKUP(CA30,'Tablas Magia'!$D$6:$Z$680,10,FALSE))</f>
        <v>18</v>
      </c>
      <c r="CD35" s="1239">
        <f>IF(CA30=0,"",VLOOKUP(CA30,'Tablas Magia'!$D$6:$Z$680,14,FALSE))</f>
        <v>400</v>
      </c>
      <c r="CE35" s="1240">
        <f>IF(CA30=0,"",VLOOKUP(CA30,'Tablas Magia'!$D$6:$Z$680,18,FALSE))</f>
        <v>35</v>
      </c>
      <c r="CF35" s="5328" t="str">
        <f>IF(CA30=0,"",VLOOKUP(CA30,'Tablas Magia'!$D$6:$Z$680,22,FALSE))</f>
        <v>45 intensidades</v>
      </c>
      <c r="CG35" s="5329"/>
      <c r="CH35" s="5329"/>
      <c r="CI35" s="5329"/>
      <c r="CJ35" s="5329"/>
      <c r="CK35" s="5329"/>
      <c r="CL35" s="5329"/>
      <c r="CM35" s="5329"/>
      <c r="CN35" s="5329"/>
      <c r="CO35" s="5330"/>
      <c r="CP35" s="1216"/>
      <c r="CQ35" s="1210"/>
    </row>
    <row r="36" spans="1:95" ht="12" customHeight="1" x14ac:dyDescent="0.2">
      <c r="A36" s="1210"/>
      <c r="B36" s="2258"/>
      <c r="C36" s="5331"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32"/>
      <c r="E36" s="5332"/>
      <c r="F36" s="5332"/>
      <c r="G36" s="5332"/>
      <c r="H36" s="5332"/>
      <c r="I36" s="5332"/>
      <c r="J36" s="5332"/>
      <c r="K36" s="5332"/>
      <c r="L36" s="5332"/>
      <c r="M36" s="5332"/>
      <c r="N36" s="5332"/>
      <c r="O36" s="5332"/>
      <c r="P36" s="5332"/>
      <c r="Q36" s="5333"/>
      <c r="R36" s="1216"/>
      <c r="S36" s="1210"/>
      <c r="T36" s="1210"/>
      <c r="U36" s="2258"/>
      <c r="V36" s="5331" t="str">
        <f>IF(V30=0,"",VLOOKUP(V30,'Tablas Magia'!$D$6:$Z$680,23,FALSE))</f>
        <v>Imbuye de llamas un arma, haciendo que ataque en la TA de calor como crítico primario. El fuego será tan potente que aumentará el daño base del ataque, sin afectar en absoluto a la resistencia del arma</v>
      </c>
      <c r="W36" s="5332"/>
      <c r="X36" s="5332"/>
      <c r="Y36" s="5332"/>
      <c r="Z36" s="5332"/>
      <c r="AA36" s="5332"/>
      <c r="AB36" s="5332"/>
      <c r="AC36" s="5332"/>
      <c r="AD36" s="5332"/>
      <c r="AE36" s="5332"/>
      <c r="AF36" s="5332"/>
      <c r="AG36" s="5332"/>
      <c r="AH36" s="5332"/>
      <c r="AI36" s="5332"/>
      <c r="AJ36" s="5333"/>
      <c r="AK36" s="1216"/>
      <c r="AL36" s="1210"/>
      <c r="AM36" s="1210"/>
      <c r="AN36" s="2272"/>
      <c r="AO36" s="5331"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32"/>
      <c r="AQ36" s="5332"/>
      <c r="AR36" s="5332"/>
      <c r="AS36" s="5332"/>
      <c r="AT36" s="5332"/>
      <c r="AU36" s="5332"/>
      <c r="AV36" s="5332"/>
      <c r="AW36" s="5332"/>
      <c r="AX36" s="5332"/>
      <c r="AY36" s="5332"/>
      <c r="AZ36" s="5332"/>
      <c r="BA36" s="5332"/>
      <c r="BB36" s="5332"/>
      <c r="BC36" s="5333"/>
      <c r="BD36" s="1216"/>
      <c r="BE36" s="1210"/>
      <c r="BF36" s="1210"/>
      <c r="BG36" s="2272"/>
      <c r="BH36" s="5331"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32"/>
      <c r="BJ36" s="5332"/>
      <c r="BK36" s="5332"/>
      <c r="BL36" s="5332"/>
      <c r="BM36" s="5332"/>
      <c r="BN36" s="5332"/>
      <c r="BO36" s="5332"/>
      <c r="BP36" s="5332"/>
      <c r="BQ36" s="5332"/>
      <c r="BR36" s="5332"/>
      <c r="BS36" s="5332"/>
      <c r="BT36" s="5332"/>
      <c r="BU36" s="5332"/>
      <c r="BV36" s="5333"/>
      <c r="BW36" s="1216"/>
      <c r="BX36" s="1210"/>
      <c r="BY36" s="1210"/>
      <c r="BZ36" s="2272"/>
      <c r="CA36" s="5331" t="str">
        <f>IF(CA30=0,"",VLOOKUP(CA30,'Tablas Magia'!$D$6:$Z$680,23,FALSE))</f>
        <v>Crea intensidades de fuego. Mientras se mantenga el conjuro, la llama seguirá ardiendo incluso sin nada que consumir. Si se prende en algo inflamable, arderá naturalmente tras finalizar el hechizo.</v>
      </c>
      <c r="CB36" s="5332"/>
      <c r="CC36" s="5332"/>
      <c r="CD36" s="5332"/>
      <c r="CE36" s="5332"/>
      <c r="CF36" s="5332"/>
      <c r="CG36" s="5332"/>
      <c r="CH36" s="5332"/>
      <c r="CI36" s="5332"/>
      <c r="CJ36" s="5332"/>
      <c r="CK36" s="5332"/>
      <c r="CL36" s="5332"/>
      <c r="CM36" s="5332"/>
      <c r="CN36" s="5332"/>
      <c r="CO36" s="5333"/>
      <c r="CP36" s="1216"/>
      <c r="CQ36" s="1210"/>
    </row>
    <row r="37" spans="1:95" ht="12" customHeight="1" x14ac:dyDescent="0.2">
      <c r="A37" s="1210"/>
      <c r="B37" s="2258"/>
      <c r="C37" s="5334"/>
      <c r="D37" s="5335"/>
      <c r="E37" s="5335"/>
      <c r="F37" s="5335"/>
      <c r="G37" s="5335"/>
      <c r="H37" s="5335"/>
      <c r="I37" s="5335"/>
      <c r="J37" s="5335"/>
      <c r="K37" s="5335"/>
      <c r="L37" s="5335"/>
      <c r="M37" s="5335"/>
      <c r="N37" s="5335"/>
      <c r="O37" s="5335"/>
      <c r="P37" s="5335"/>
      <c r="Q37" s="5336"/>
      <c r="R37" s="1216"/>
      <c r="S37" s="1210"/>
      <c r="T37" s="1210"/>
      <c r="U37" s="2258"/>
      <c r="V37" s="5334"/>
      <c r="W37" s="5335"/>
      <c r="X37" s="5335"/>
      <c r="Y37" s="5335"/>
      <c r="Z37" s="5335"/>
      <c r="AA37" s="5335"/>
      <c r="AB37" s="5335"/>
      <c r="AC37" s="5335"/>
      <c r="AD37" s="5335"/>
      <c r="AE37" s="5335"/>
      <c r="AF37" s="5335"/>
      <c r="AG37" s="5335"/>
      <c r="AH37" s="5335"/>
      <c r="AI37" s="5335"/>
      <c r="AJ37" s="5336"/>
      <c r="AK37" s="1216"/>
      <c r="AL37" s="1210"/>
      <c r="AM37" s="1210"/>
      <c r="AN37" s="2272"/>
      <c r="AO37" s="5334"/>
      <c r="AP37" s="5335"/>
      <c r="AQ37" s="5335"/>
      <c r="AR37" s="5335"/>
      <c r="AS37" s="5335"/>
      <c r="AT37" s="5335"/>
      <c r="AU37" s="5335"/>
      <c r="AV37" s="5335"/>
      <c r="AW37" s="5335"/>
      <c r="AX37" s="5335"/>
      <c r="AY37" s="5335"/>
      <c r="AZ37" s="5335"/>
      <c r="BA37" s="5335"/>
      <c r="BB37" s="5335"/>
      <c r="BC37" s="5336"/>
      <c r="BD37" s="1216"/>
      <c r="BE37" s="1210"/>
      <c r="BF37" s="1210"/>
      <c r="BG37" s="2272"/>
      <c r="BH37" s="5334"/>
      <c r="BI37" s="5335"/>
      <c r="BJ37" s="5335"/>
      <c r="BK37" s="5335"/>
      <c r="BL37" s="5335"/>
      <c r="BM37" s="5335"/>
      <c r="BN37" s="5335"/>
      <c r="BO37" s="5335"/>
      <c r="BP37" s="5335"/>
      <c r="BQ37" s="5335"/>
      <c r="BR37" s="5335"/>
      <c r="BS37" s="5335"/>
      <c r="BT37" s="5335"/>
      <c r="BU37" s="5335"/>
      <c r="BV37" s="5336"/>
      <c r="BW37" s="1216"/>
      <c r="BX37" s="1210"/>
      <c r="BY37" s="1210"/>
      <c r="BZ37" s="2272"/>
      <c r="CA37" s="5334"/>
      <c r="CB37" s="5335"/>
      <c r="CC37" s="5335"/>
      <c r="CD37" s="5335"/>
      <c r="CE37" s="5335"/>
      <c r="CF37" s="5335"/>
      <c r="CG37" s="5335"/>
      <c r="CH37" s="5335"/>
      <c r="CI37" s="5335"/>
      <c r="CJ37" s="5335"/>
      <c r="CK37" s="5335"/>
      <c r="CL37" s="5335"/>
      <c r="CM37" s="5335"/>
      <c r="CN37" s="5335"/>
      <c r="CO37" s="5336"/>
      <c r="CP37" s="1216"/>
      <c r="CQ37" s="1210"/>
    </row>
    <row r="38" spans="1:95" ht="12" customHeight="1" x14ac:dyDescent="0.2">
      <c r="A38" s="1210"/>
      <c r="B38" s="2258"/>
      <c r="C38" s="5334"/>
      <c r="D38" s="5335"/>
      <c r="E38" s="5335"/>
      <c r="F38" s="5335"/>
      <c r="G38" s="5335"/>
      <c r="H38" s="5335"/>
      <c r="I38" s="5335"/>
      <c r="J38" s="5335"/>
      <c r="K38" s="5335"/>
      <c r="L38" s="5335"/>
      <c r="M38" s="5335"/>
      <c r="N38" s="5335"/>
      <c r="O38" s="5335"/>
      <c r="P38" s="5335"/>
      <c r="Q38" s="5336"/>
      <c r="R38" s="1216"/>
      <c r="S38" s="1210"/>
      <c r="T38" s="1210"/>
      <c r="U38" s="2258"/>
      <c r="V38" s="5334"/>
      <c r="W38" s="5335"/>
      <c r="X38" s="5335"/>
      <c r="Y38" s="5335"/>
      <c r="Z38" s="5335"/>
      <c r="AA38" s="5335"/>
      <c r="AB38" s="5335"/>
      <c r="AC38" s="5335"/>
      <c r="AD38" s="5335"/>
      <c r="AE38" s="5335"/>
      <c r="AF38" s="5335"/>
      <c r="AG38" s="5335"/>
      <c r="AH38" s="5335"/>
      <c r="AI38" s="5335"/>
      <c r="AJ38" s="5336"/>
      <c r="AK38" s="1216"/>
      <c r="AL38" s="1210"/>
      <c r="AM38" s="1210"/>
      <c r="AN38" s="2272"/>
      <c r="AO38" s="5334"/>
      <c r="AP38" s="5335"/>
      <c r="AQ38" s="5335"/>
      <c r="AR38" s="5335"/>
      <c r="AS38" s="5335"/>
      <c r="AT38" s="5335"/>
      <c r="AU38" s="5335"/>
      <c r="AV38" s="5335"/>
      <c r="AW38" s="5335"/>
      <c r="AX38" s="5335"/>
      <c r="AY38" s="5335"/>
      <c r="AZ38" s="5335"/>
      <c r="BA38" s="5335"/>
      <c r="BB38" s="5335"/>
      <c r="BC38" s="5336"/>
      <c r="BD38" s="1216"/>
      <c r="BE38" s="1210"/>
      <c r="BF38" s="1210"/>
      <c r="BG38" s="2272"/>
      <c r="BH38" s="5334"/>
      <c r="BI38" s="5335"/>
      <c r="BJ38" s="5335"/>
      <c r="BK38" s="5335"/>
      <c r="BL38" s="5335"/>
      <c r="BM38" s="5335"/>
      <c r="BN38" s="5335"/>
      <c r="BO38" s="5335"/>
      <c r="BP38" s="5335"/>
      <c r="BQ38" s="5335"/>
      <c r="BR38" s="5335"/>
      <c r="BS38" s="5335"/>
      <c r="BT38" s="5335"/>
      <c r="BU38" s="5335"/>
      <c r="BV38" s="5336"/>
      <c r="BW38" s="1216"/>
      <c r="BX38" s="1210"/>
      <c r="BY38" s="1210"/>
      <c r="BZ38" s="2272"/>
      <c r="CA38" s="5334"/>
      <c r="CB38" s="5335"/>
      <c r="CC38" s="5335"/>
      <c r="CD38" s="5335"/>
      <c r="CE38" s="5335"/>
      <c r="CF38" s="5335"/>
      <c r="CG38" s="5335"/>
      <c r="CH38" s="5335"/>
      <c r="CI38" s="5335"/>
      <c r="CJ38" s="5335"/>
      <c r="CK38" s="5335"/>
      <c r="CL38" s="5335"/>
      <c r="CM38" s="5335"/>
      <c r="CN38" s="5335"/>
      <c r="CO38" s="5336"/>
      <c r="CP38" s="1216"/>
      <c r="CQ38" s="1210"/>
    </row>
    <row r="39" spans="1:95" ht="12" customHeight="1" thickBot="1" x14ac:dyDescent="0.25">
      <c r="A39" s="1210"/>
      <c r="B39" s="2258"/>
      <c r="C39" s="5337"/>
      <c r="D39" s="5338"/>
      <c r="E39" s="5338"/>
      <c r="F39" s="5338"/>
      <c r="G39" s="5338"/>
      <c r="H39" s="5338"/>
      <c r="I39" s="5338"/>
      <c r="J39" s="5338"/>
      <c r="K39" s="5338"/>
      <c r="L39" s="5338"/>
      <c r="M39" s="5338"/>
      <c r="N39" s="5338"/>
      <c r="O39" s="5338"/>
      <c r="P39" s="5338"/>
      <c r="Q39" s="5339"/>
      <c r="R39" s="1216"/>
      <c r="S39" s="1210"/>
      <c r="T39" s="1210"/>
      <c r="U39" s="2258"/>
      <c r="V39" s="5337"/>
      <c r="W39" s="5338"/>
      <c r="X39" s="5338"/>
      <c r="Y39" s="5338"/>
      <c r="Z39" s="5338"/>
      <c r="AA39" s="5338"/>
      <c r="AB39" s="5338"/>
      <c r="AC39" s="5338"/>
      <c r="AD39" s="5338"/>
      <c r="AE39" s="5338"/>
      <c r="AF39" s="5338"/>
      <c r="AG39" s="5338"/>
      <c r="AH39" s="5338"/>
      <c r="AI39" s="5338"/>
      <c r="AJ39" s="5339"/>
      <c r="AK39" s="1216"/>
      <c r="AL39" s="1210"/>
      <c r="AM39" s="1210"/>
      <c r="AN39" s="2272"/>
      <c r="AO39" s="5337"/>
      <c r="AP39" s="5338"/>
      <c r="AQ39" s="5338"/>
      <c r="AR39" s="5338"/>
      <c r="AS39" s="5338"/>
      <c r="AT39" s="5338"/>
      <c r="AU39" s="5338"/>
      <c r="AV39" s="5338"/>
      <c r="AW39" s="5338"/>
      <c r="AX39" s="5338"/>
      <c r="AY39" s="5338"/>
      <c r="AZ39" s="5338"/>
      <c r="BA39" s="5338"/>
      <c r="BB39" s="5338"/>
      <c r="BC39" s="5339"/>
      <c r="BD39" s="1216"/>
      <c r="BE39" s="1210"/>
      <c r="BF39" s="1210"/>
      <c r="BG39" s="2272"/>
      <c r="BH39" s="5337"/>
      <c r="BI39" s="5338"/>
      <c r="BJ39" s="5338"/>
      <c r="BK39" s="5338"/>
      <c r="BL39" s="5338"/>
      <c r="BM39" s="5338"/>
      <c r="BN39" s="5338"/>
      <c r="BO39" s="5338"/>
      <c r="BP39" s="5338"/>
      <c r="BQ39" s="5338"/>
      <c r="BR39" s="5338"/>
      <c r="BS39" s="5338"/>
      <c r="BT39" s="5338"/>
      <c r="BU39" s="5338"/>
      <c r="BV39" s="5339"/>
      <c r="BW39" s="1216"/>
      <c r="BX39" s="1210"/>
      <c r="BY39" s="1210"/>
      <c r="BZ39" s="2272"/>
      <c r="CA39" s="5337"/>
      <c r="CB39" s="5338"/>
      <c r="CC39" s="5338"/>
      <c r="CD39" s="5338"/>
      <c r="CE39" s="5338"/>
      <c r="CF39" s="5338"/>
      <c r="CG39" s="5338"/>
      <c r="CH39" s="5338"/>
      <c r="CI39" s="5338"/>
      <c r="CJ39" s="5338"/>
      <c r="CK39" s="5338"/>
      <c r="CL39" s="5338"/>
      <c r="CM39" s="5338"/>
      <c r="CN39" s="5338"/>
      <c r="CO39" s="5339"/>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56"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57"/>
      <c r="E41" s="5357"/>
      <c r="F41" s="5357"/>
      <c r="G41" s="5357"/>
      <c r="H41" s="1230" t="s">
        <v>1630</v>
      </c>
      <c r="I41" s="1231" t="e">
        <f>IF(C41=0,"",VLOOKUP(C41,'Tablas Magia'!$D$6:$Z$680,3,FALSE))</f>
        <v>#N/A</v>
      </c>
      <c r="J41" s="5344" t="s">
        <v>8162</v>
      </c>
      <c r="K41" s="5344"/>
      <c r="L41" s="5344"/>
      <c r="M41" s="5345" t="e">
        <f>IF(C41=0,"",VLOOKUP(C41,'Tablas Magia'!$D$6:$Z$680,2,FALSE))</f>
        <v>#N/A</v>
      </c>
      <c r="N41" s="5345"/>
      <c r="O41" s="5345"/>
      <c r="P41" s="5345"/>
      <c r="Q41" s="5346"/>
      <c r="R41" s="1216"/>
      <c r="S41" s="1210"/>
      <c r="T41" s="1210"/>
      <c r="U41" s="2258">
        <f>U30+2</f>
        <v>28</v>
      </c>
      <c r="V41" s="5356"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57"/>
      <c r="X41" s="5357"/>
      <c r="Y41" s="5357"/>
      <c r="Z41" s="5357"/>
      <c r="AA41" s="1230" t="s">
        <v>1630</v>
      </c>
      <c r="AB41" s="1231" t="e">
        <f>IF(V41=0,"",VLOOKUP(V41,'Tablas Magia'!$D$6:$Z$680,3,FALSE))</f>
        <v>#N/A</v>
      </c>
      <c r="AC41" s="5344" t="s">
        <v>8162</v>
      </c>
      <c r="AD41" s="5344"/>
      <c r="AE41" s="5344"/>
      <c r="AF41" s="5345" t="e">
        <f>IF(V41=0,"",VLOOKUP(V41,'Tablas Magia'!$D$6:$Z$680,2,FALSE))</f>
        <v>#N/A</v>
      </c>
      <c r="AG41" s="5345"/>
      <c r="AH41" s="5345"/>
      <c r="AI41" s="5345"/>
      <c r="AJ41" s="5346"/>
      <c r="AK41" s="1216"/>
      <c r="AL41" s="1210"/>
      <c r="AM41" s="1210"/>
      <c r="AN41" s="2272">
        <f>AN30+2</f>
        <v>48</v>
      </c>
      <c r="AO41" s="5356"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57"/>
      <c r="AQ41" s="5357"/>
      <c r="AR41" s="5357"/>
      <c r="AS41" s="5357"/>
      <c r="AT41" s="1230" t="s">
        <v>1630</v>
      </c>
      <c r="AU41" s="1231" t="e">
        <f>IF(AO41=0,"",VLOOKUP(AO41,'Tablas Magia'!$D$6:$Z$680,3,FALSE))</f>
        <v>#N/A</v>
      </c>
      <c r="AV41" s="5344" t="s">
        <v>8162</v>
      </c>
      <c r="AW41" s="5344"/>
      <c r="AX41" s="5344"/>
      <c r="AY41" s="5345" t="e">
        <f>IF(AO41=0,"",VLOOKUP(AO41,'Tablas Magia'!$D$6:$Z$680,2,FALSE))</f>
        <v>#N/A</v>
      </c>
      <c r="AZ41" s="5345"/>
      <c r="BA41" s="5345"/>
      <c r="BB41" s="5345"/>
      <c r="BC41" s="5346"/>
      <c r="BD41" s="1216"/>
      <c r="BE41" s="1210"/>
      <c r="BF41" s="1210"/>
      <c r="BG41" s="2272">
        <f>BG30+2</f>
        <v>68</v>
      </c>
      <c r="BH41" s="5356"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57"/>
      <c r="BJ41" s="5357"/>
      <c r="BK41" s="5357"/>
      <c r="BL41" s="5357"/>
      <c r="BM41" s="1230" t="s">
        <v>1630</v>
      </c>
      <c r="BN41" s="1231" t="e">
        <f>IF(BH41=0,"",VLOOKUP(BH41,'Tablas Magia'!$D$6:$Z$680,3,FALSE))</f>
        <v>#N/A</v>
      </c>
      <c r="BO41" s="5344" t="s">
        <v>8162</v>
      </c>
      <c r="BP41" s="5344"/>
      <c r="BQ41" s="5344"/>
      <c r="BR41" s="5345" t="e">
        <f>IF(BH41=0,"",VLOOKUP(BH41,'Tablas Magia'!$D$6:$Z$680,2,FALSE))</f>
        <v>#N/A</v>
      </c>
      <c r="BS41" s="5345"/>
      <c r="BT41" s="5345"/>
      <c r="BU41" s="5345"/>
      <c r="BV41" s="5346"/>
      <c r="BW41" s="1216"/>
      <c r="BX41" s="1210"/>
      <c r="BY41" s="1210"/>
      <c r="BZ41" s="2272">
        <f>BZ30+2</f>
        <v>88</v>
      </c>
      <c r="CA41" s="5356"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57"/>
      <c r="CC41" s="5357"/>
      <c r="CD41" s="5357"/>
      <c r="CE41" s="5357"/>
      <c r="CF41" s="1230" t="s">
        <v>1630</v>
      </c>
      <c r="CG41" s="1231" t="e">
        <f>IF(CA41=0,"",VLOOKUP(CA41,'Tablas Magia'!$D$6:$Z$680,3,FALSE))</f>
        <v>#N/A</v>
      </c>
      <c r="CH41" s="5344" t="s">
        <v>8162</v>
      </c>
      <c r="CI41" s="5344"/>
      <c r="CJ41" s="5344"/>
      <c r="CK41" s="5345" t="e">
        <f>IF(CA41=0,"",VLOOKUP(CA41,'Tablas Magia'!$D$6:$Z$680,2,FALSE))</f>
        <v>#N/A</v>
      </c>
      <c r="CL41" s="5345"/>
      <c r="CM41" s="5345"/>
      <c r="CN41" s="5345"/>
      <c r="CO41" s="5346"/>
      <c r="CP41" s="1216"/>
      <c r="CQ41" s="1210"/>
    </row>
    <row r="42" spans="1:95" ht="12" customHeight="1" x14ac:dyDescent="0.2">
      <c r="A42" s="1210"/>
      <c r="B42" s="2258"/>
      <c r="C42" s="5340" t="s">
        <v>8163</v>
      </c>
      <c r="D42" s="5341"/>
      <c r="E42" s="1232" t="s">
        <v>8164</v>
      </c>
      <c r="F42" s="1232" t="s">
        <v>1824</v>
      </c>
      <c r="G42" s="1232" t="s">
        <v>3467</v>
      </c>
      <c r="H42" s="1233" t="s">
        <v>2175</v>
      </c>
      <c r="I42" s="5314" t="e">
        <f>IF(C41=0,"",VLOOKUP(C41,'Tablas Magia'!$D$6:$Z$680,5,FALSE))</f>
        <v>#N/A</v>
      </c>
      <c r="J42" s="5314"/>
      <c r="K42" s="5313" t="s">
        <v>8165</v>
      </c>
      <c r="L42" s="5313"/>
      <c r="M42" s="5314" t="e">
        <f>IF(C41=0,"",VLOOKUP(C41,'Tablas Magia'!$D$6:$Z$680,6,FALSE))</f>
        <v>#N/A</v>
      </c>
      <c r="N42" s="5314"/>
      <c r="O42" s="5315" t="s">
        <v>8166</v>
      </c>
      <c r="P42" s="5315"/>
      <c r="Q42" s="1234" t="e">
        <f>IF(C41=0,"",VLOOKUP(C41,'Tablas Magia'!$D$6:$Z$680,4,FALSE))</f>
        <v>#N/A</v>
      </c>
      <c r="R42" s="1216"/>
      <c r="S42" s="1210"/>
      <c r="T42" s="1210"/>
      <c r="U42" s="2258"/>
      <c r="V42" s="5340" t="s">
        <v>8163</v>
      </c>
      <c r="W42" s="5341"/>
      <c r="X42" s="1232" t="s">
        <v>8164</v>
      </c>
      <c r="Y42" s="1232" t="s">
        <v>1824</v>
      </c>
      <c r="Z42" s="1232" t="s">
        <v>3467</v>
      </c>
      <c r="AA42" s="1233" t="s">
        <v>2175</v>
      </c>
      <c r="AB42" s="5314" t="e">
        <f>IF(V41=0,"",VLOOKUP(V41,'Tablas Magia'!$D$6:$Z$680,5,FALSE))</f>
        <v>#N/A</v>
      </c>
      <c r="AC42" s="5314"/>
      <c r="AD42" s="5313" t="s">
        <v>8165</v>
      </c>
      <c r="AE42" s="5313"/>
      <c r="AF42" s="5314" t="e">
        <f>IF(V41=0,"",VLOOKUP(V41,'Tablas Magia'!$D$6:$Z$680,6,FALSE))</f>
        <v>#N/A</v>
      </c>
      <c r="AG42" s="5314"/>
      <c r="AH42" s="5315" t="s">
        <v>8166</v>
      </c>
      <c r="AI42" s="5315"/>
      <c r="AJ42" s="1234" t="e">
        <f>IF(V41=0,"",VLOOKUP(V41,'Tablas Magia'!$D$6:$Z$680,4,FALSE))</f>
        <v>#N/A</v>
      </c>
      <c r="AK42" s="1216"/>
      <c r="AL42" s="1210"/>
      <c r="AM42" s="1210"/>
      <c r="AN42" s="2272"/>
      <c r="AO42" s="5340" t="s">
        <v>8163</v>
      </c>
      <c r="AP42" s="5341"/>
      <c r="AQ42" s="1232" t="s">
        <v>8164</v>
      </c>
      <c r="AR42" s="1232" t="s">
        <v>1824</v>
      </c>
      <c r="AS42" s="1232" t="s">
        <v>3467</v>
      </c>
      <c r="AT42" s="1233" t="s">
        <v>2175</v>
      </c>
      <c r="AU42" s="5314" t="e">
        <f>IF(AO41=0,"",VLOOKUP(AO41,'Tablas Magia'!$D$6:$Z$680,5,FALSE))</f>
        <v>#N/A</v>
      </c>
      <c r="AV42" s="5314"/>
      <c r="AW42" s="5313" t="s">
        <v>8165</v>
      </c>
      <c r="AX42" s="5313"/>
      <c r="AY42" s="5314" t="e">
        <f>IF(AO41=0,"",VLOOKUP(AO41,'Tablas Magia'!$D$6:$Z$680,6,FALSE))</f>
        <v>#N/A</v>
      </c>
      <c r="AZ42" s="5314"/>
      <c r="BA42" s="5315" t="s">
        <v>8166</v>
      </c>
      <c r="BB42" s="5315"/>
      <c r="BC42" s="1234" t="e">
        <f>IF(AO41=0,"",VLOOKUP(AO41,'Tablas Magia'!$D$6:$Z$680,4,FALSE))</f>
        <v>#N/A</v>
      </c>
      <c r="BD42" s="1216"/>
      <c r="BE42" s="1210"/>
      <c r="BF42" s="1210"/>
      <c r="BG42" s="2272"/>
      <c r="BH42" s="5340" t="s">
        <v>8163</v>
      </c>
      <c r="BI42" s="5341"/>
      <c r="BJ42" s="1232" t="s">
        <v>8164</v>
      </c>
      <c r="BK42" s="1232" t="s">
        <v>1824</v>
      </c>
      <c r="BL42" s="1232" t="s">
        <v>3467</v>
      </c>
      <c r="BM42" s="1233" t="s">
        <v>2175</v>
      </c>
      <c r="BN42" s="5314" t="e">
        <f>IF(BH41=0,"",VLOOKUP(BH41,'Tablas Magia'!$D$6:$Z$680,5,FALSE))</f>
        <v>#N/A</v>
      </c>
      <c r="BO42" s="5314"/>
      <c r="BP42" s="5313" t="s">
        <v>8165</v>
      </c>
      <c r="BQ42" s="5313"/>
      <c r="BR42" s="5314" t="e">
        <f>IF(BH41=0,"",VLOOKUP(BH41,'Tablas Magia'!$D$6:$Z$680,6,FALSE))</f>
        <v>#N/A</v>
      </c>
      <c r="BS42" s="5314"/>
      <c r="BT42" s="5315" t="s">
        <v>8166</v>
      </c>
      <c r="BU42" s="5315"/>
      <c r="BV42" s="1234" t="e">
        <f>IF(BH41=0,"",VLOOKUP(BH41,'Tablas Magia'!$D$6:$Z$680,4,FALSE))</f>
        <v>#N/A</v>
      </c>
      <c r="BW42" s="1216"/>
      <c r="BX42" s="1210"/>
      <c r="BY42" s="1210"/>
      <c r="BZ42" s="2272"/>
      <c r="CA42" s="5340" t="s">
        <v>8163</v>
      </c>
      <c r="CB42" s="5341"/>
      <c r="CC42" s="1232" t="s">
        <v>8164</v>
      </c>
      <c r="CD42" s="1232" t="s">
        <v>1824</v>
      </c>
      <c r="CE42" s="1232" t="s">
        <v>3467</v>
      </c>
      <c r="CF42" s="1233" t="s">
        <v>2175</v>
      </c>
      <c r="CG42" s="5314" t="e">
        <f>IF(CA41=0,"",VLOOKUP(CA41,'Tablas Magia'!$D$6:$Z$680,5,FALSE))</f>
        <v>#N/A</v>
      </c>
      <c r="CH42" s="5314"/>
      <c r="CI42" s="5313" t="s">
        <v>8165</v>
      </c>
      <c r="CJ42" s="5313"/>
      <c r="CK42" s="5314" t="e">
        <f>IF(CA41=0,"",VLOOKUP(CA41,'Tablas Magia'!$D$6:$Z$680,6,FALSE))</f>
        <v>#N/A</v>
      </c>
      <c r="CL42" s="5314"/>
      <c r="CM42" s="5315" t="s">
        <v>8166</v>
      </c>
      <c r="CN42" s="5315"/>
      <c r="CO42" s="1234" t="e">
        <f>IF(CA41=0,"",VLOOKUP(CA41,'Tablas Magia'!$D$6:$Z$680,4,FALSE))</f>
        <v>#N/A</v>
      </c>
      <c r="CP42" s="1216"/>
      <c r="CQ42" s="1210"/>
    </row>
    <row r="43" spans="1:95" ht="12" customHeight="1" x14ac:dyDescent="0.2">
      <c r="A43" s="1210"/>
      <c r="B43" s="2258"/>
      <c r="C43" s="5316" t="s">
        <v>1677</v>
      </c>
      <c r="D43" s="5317"/>
      <c r="E43" s="1235" t="e">
        <f>IF(C41=0,"",VLOOKUP(C41,'Tablas Magia'!$D$6:$Z$680,7,FALSE))</f>
        <v>#N/A</v>
      </c>
      <c r="F43" s="1235" t="e">
        <f>IF(C41=0,"",VLOOKUP(C41,'Tablas Magia'!$D$6:$Z$680,11,FALSE))</f>
        <v>#N/A</v>
      </c>
      <c r="G43" s="1236" t="e">
        <f>IF(C41=0,"",VLOOKUP(C41,'Tablas Magia'!$D$6:$Z$680,15,FALSE))</f>
        <v>#N/A</v>
      </c>
      <c r="H43" s="5318" t="e">
        <f>IF(C41=0,"",VLOOKUP(C41,'Tablas Magia'!$D$6:$Z$680,19,FALSE))</f>
        <v>#N/A</v>
      </c>
      <c r="I43" s="5319"/>
      <c r="J43" s="5319"/>
      <c r="K43" s="5319"/>
      <c r="L43" s="5319"/>
      <c r="M43" s="5319"/>
      <c r="N43" s="5319"/>
      <c r="O43" s="5319"/>
      <c r="P43" s="5319"/>
      <c r="Q43" s="5320"/>
      <c r="R43" s="1216"/>
      <c r="S43" s="1210"/>
      <c r="T43" s="1210"/>
      <c r="U43" s="2258"/>
      <c r="V43" s="5316" t="s">
        <v>1677</v>
      </c>
      <c r="W43" s="5317"/>
      <c r="X43" s="1235" t="e">
        <f>IF(V41=0,"",VLOOKUP(V41,'Tablas Magia'!$D$6:$Z$680,7,FALSE))</f>
        <v>#N/A</v>
      </c>
      <c r="Y43" s="1235" t="e">
        <f>IF(V41=0,"",VLOOKUP(V41,'Tablas Magia'!$D$6:$Z$680,11,FALSE))</f>
        <v>#N/A</v>
      </c>
      <c r="Z43" s="1236" t="e">
        <f>IF(V41=0,"",VLOOKUP(V41,'Tablas Magia'!$D$6:$Z$680,15,FALSE))</f>
        <v>#N/A</v>
      </c>
      <c r="AA43" s="5318" t="e">
        <f>IF(V41=0,"",VLOOKUP(V41,'Tablas Magia'!$D$6:$Z$680,19,FALSE))</f>
        <v>#N/A</v>
      </c>
      <c r="AB43" s="5319"/>
      <c r="AC43" s="5319"/>
      <c r="AD43" s="5319"/>
      <c r="AE43" s="5319"/>
      <c r="AF43" s="5319"/>
      <c r="AG43" s="5319"/>
      <c r="AH43" s="5319"/>
      <c r="AI43" s="5319"/>
      <c r="AJ43" s="5320"/>
      <c r="AK43" s="1216"/>
      <c r="AL43" s="1210"/>
      <c r="AM43" s="1210"/>
      <c r="AN43" s="2272"/>
      <c r="AO43" s="5316" t="s">
        <v>1677</v>
      </c>
      <c r="AP43" s="5317"/>
      <c r="AQ43" s="1235" t="e">
        <f>IF(AO41=0,"",VLOOKUP(AO41,'Tablas Magia'!$D$6:$Z$680,7,FALSE))</f>
        <v>#N/A</v>
      </c>
      <c r="AR43" s="1235" t="e">
        <f>IF(AO41=0,"",VLOOKUP(AO41,'Tablas Magia'!$D$6:$Z$680,11,FALSE))</f>
        <v>#N/A</v>
      </c>
      <c r="AS43" s="1236" t="e">
        <f>IF(AO41=0,"",VLOOKUP(AO41,'Tablas Magia'!$D$6:$Z$680,15,FALSE))</f>
        <v>#N/A</v>
      </c>
      <c r="AT43" s="5318" t="e">
        <f>IF(AO41=0,"",VLOOKUP(AO41,'Tablas Magia'!$D$6:$Z$680,19,FALSE))</f>
        <v>#N/A</v>
      </c>
      <c r="AU43" s="5319"/>
      <c r="AV43" s="5319"/>
      <c r="AW43" s="5319"/>
      <c r="AX43" s="5319"/>
      <c r="AY43" s="5319"/>
      <c r="AZ43" s="5319"/>
      <c r="BA43" s="5319"/>
      <c r="BB43" s="5319"/>
      <c r="BC43" s="5320"/>
      <c r="BD43" s="1216"/>
      <c r="BE43" s="1210"/>
      <c r="BF43" s="1210"/>
      <c r="BG43" s="2272"/>
      <c r="BH43" s="5316" t="s">
        <v>1677</v>
      </c>
      <c r="BI43" s="5317"/>
      <c r="BJ43" s="1235" t="e">
        <f>IF(BH41=0,"",VLOOKUP(BH41,'Tablas Magia'!$D$6:$Z$680,7,FALSE))</f>
        <v>#N/A</v>
      </c>
      <c r="BK43" s="1235" t="e">
        <f>IF(BH41=0,"",VLOOKUP(BH41,'Tablas Magia'!$D$6:$Z$680,11,FALSE))</f>
        <v>#N/A</v>
      </c>
      <c r="BL43" s="1236" t="e">
        <f>IF(BH41=0,"",VLOOKUP(BH41,'Tablas Magia'!$D$6:$Z$680,15,FALSE))</f>
        <v>#N/A</v>
      </c>
      <c r="BM43" s="5318" t="e">
        <f>IF(BH41=0,"",VLOOKUP(BH41,'Tablas Magia'!$D$6:$Z$680,19,FALSE))</f>
        <v>#N/A</v>
      </c>
      <c r="BN43" s="5319"/>
      <c r="BO43" s="5319"/>
      <c r="BP43" s="5319"/>
      <c r="BQ43" s="5319"/>
      <c r="BR43" s="5319"/>
      <c r="BS43" s="5319"/>
      <c r="BT43" s="5319"/>
      <c r="BU43" s="5319"/>
      <c r="BV43" s="5320"/>
      <c r="BW43" s="1216"/>
      <c r="BX43" s="1210"/>
      <c r="BY43" s="1210"/>
      <c r="BZ43" s="2272"/>
      <c r="CA43" s="5316" t="s">
        <v>1677</v>
      </c>
      <c r="CB43" s="5317"/>
      <c r="CC43" s="1235" t="e">
        <f>IF(CA41=0,"",VLOOKUP(CA41,'Tablas Magia'!$D$6:$Z$680,7,FALSE))</f>
        <v>#N/A</v>
      </c>
      <c r="CD43" s="1235" t="e">
        <f>IF(CA41=0,"",VLOOKUP(CA41,'Tablas Magia'!$D$6:$Z$680,11,FALSE))</f>
        <v>#N/A</v>
      </c>
      <c r="CE43" s="1236" t="e">
        <f>IF(CA41=0,"",VLOOKUP(CA41,'Tablas Magia'!$D$6:$Z$680,15,FALSE))</f>
        <v>#N/A</v>
      </c>
      <c r="CF43" s="5318" t="e">
        <f>IF(CA41=0,"",VLOOKUP(CA41,'Tablas Magia'!$D$6:$Z$680,19,FALSE))</f>
        <v>#N/A</v>
      </c>
      <c r="CG43" s="5319"/>
      <c r="CH43" s="5319"/>
      <c r="CI43" s="5319"/>
      <c r="CJ43" s="5319"/>
      <c r="CK43" s="5319"/>
      <c r="CL43" s="5319"/>
      <c r="CM43" s="5319"/>
      <c r="CN43" s="5319"/>
      <c r="CO43" s="5320"/>
      <c r="CP43" s="1216"/>
      <c r="CQ43" s="1210"/>
    </row>
    <row r="44" spans="1:95" ht="12" customHeight="1" x14ac:dyDescent="0.2">
      <c r="A44" s="1210"/>
      <c r="B44" s="2258"/>
      <c r="C44" s="5321" t="s">
        <v>4705</v>
      </c>
      <c r="D44" s="5322"/>
      <c r="E44" s="1237" t="e">
        <f>IF(C41=0,"",VLOOKUP(C41,'Tablas Magia'!$D$6:$Z$680,8,FALSE))</f>
        <v>#N/A</v>
      </c>
      <c r="F44" s="1237" t="e">
        <f>IF(C41=0,"",VLOOKUP(C41,'Tablas Magia'!$D$6:$Z$680,12,FALSE))</f>
        <v>#N/A</v>
      </c>
      <c r="G44" s="1238" t="e">
        <f>IF(C41=0,"",VLOOKUP(C41,'Tablas Magia'!$D$6:$Z$680,16,FALSE))</f>
        <v>#N/A</v>
      </c>
      <c r="H44" s="5323" t="e">
        <f>IF(C41=0,"",VLOOKUP(C41,'Tablas Magia'!$D$6:$Z$680,20,FALSE))</f>
        <v>#N/A</v>
      </c>
      <c r="I44" s="5324"/>
      <c r="J44" s="5324"/>
      <c r="K44" s="5324"/>
      <c r="L44" s="5324"/>
      <c r="M44" s="5324"/>
      <c r="N44" s="5324"/>
      <c r="O44" s="5324"/>
      <c r="P44" s="5324"/>
      <c r="Q44" s="5325"/>
      <c r="R44" s="1216"/>
      <c r="S44" s="1210"/>
      <c r="T44" s="1210"/>
      <c r="U44" s="2258"/>
      <c r="V44" s="5321" t="s">
        <v>4705</v>
      </c>
      <c r="W44" s="5322"/>
      <c r="X44" s="1237" t="e">
        <f>IF(V41=0,"",VLOOKUP(V41,'Tablas Magia'!$D$6:$Z$680,8,FALSE))</f>
        <v>#N/A</v>
      </c>
      <c r="Y44" s="1237" t="e">
        <f>IF(V41=0,"",VLOOKUP(V41,'Tablas Magia'!$D$6:$Z$680,12,FALSE))</f>
        <v>#N/A</v>
      </c>
      <c r="Z44" s="1238" t="e">
        <f>IF(V41=0,"",VLOOKUP(V41,'Tablas Magia'!$D$6:$Z$680,16,FALSE))</f>
        <v>#N/A</v>
      </c>
      <c r="AA44" s="5323" t="e">
        <f>IF(V41=0,"",VLOOKUP(V41,'Tablas Magia'!$D$6:$Z$680,20,FALSE))</f>
        <v>#N/A</v>
      </c>
      <c r="AB44" s="5324"/>
      <c r="AC44" s="5324"/>
      <c r="AD44" s="5324"/>
      <c r="AE44" s="5324"/>
      <c r="AF44" s="5324"/>
      <c r="AG44" s="5324"/>
      <c r="AH44" s="5324"/>
      <c r="AI44" s="5324"/>
      <c r="AJ44" s="5325"/>
      <c r="AK44" s="1216"/>
      <c r="AL44" s="1210"/>
      <c r="AM44" s="1210"/>
      <c r="AN44" s="2272"/>
      <c r="AO44" s="5321" t="s">
        <v>4705</v>
      </c>
      <c r="AP44" s="5322"/>
      <c r="AQ44" s="1237" t="e">
        <f>IF(AO41=0,"",VLOOKUP(AO41,'Tablas Magia'!$D$6:$Z$680,8,FALSE))</f>
        <v>#N/A</v>
      </c>
      <c r="AR44" s="1237" t="e">
        <f>IF(AO41=0,"",VLOOKUP(AO41,'Tablas Magia'!$D$6:$Z$680,12,FALSE))</f>
        <v>#N/A</v>
      </c>
      <c r="AS44" s="1238" t="e">
        <f>IF(AO41=0,"",VLOOKUP(AO41,'Tablas Magia'!$D$6:$Z$680,16,FALSE))</f>
        <v>#N/A</v>
      </c>
      <c r="AT44" s="5323" t="e">
        <f>IF(AO41=0,"",VLOOKUP(AO41,'Tablas Magia'!$D$6:$Z$680,20,FALSE))</f>
        <v>#N/A</v>
      </c>
      <c r="AU44" s="5324"/>
      <c r="AV44" s="5324"/>
      <c r="AW44" s="5324"/>
      <c r="AX44" s="5324"/>
      <c r="AY44" s="5324"/>
      <c r="AZ44" s="5324"/>
      <c r="BA44" s="5324"/>
      <c r="BB44" s="5324"/>
      <c r="BC44" s="5325"/>
      <c r="BD44" s="1216"/>
      <c r="BE44" s="1210"/>
      <c r="BF44" s="1210"/>
      <c r="BG44" s="2272"/>
      <c r="BH44" s="5321" t="s">
        <v>4705</v>
      </c>
      <c r="BI44" s="5322"/>
      <c r="BJ44" s="1237" t="e">
        <f>IF(BH41=0,"",VLOOKUP(BH41,'Tablas Magia'!$D$6:$Z$680,8,FALSE))</f>
        <v>#N/A</v>
      </c>
      <c r="BK44" s="1237" t="e">
        <f>IF(BH41=0,"",VLOOKUP(BH41,'Tablas Magia'!$D$6:$Z$680,12,FALSE))</f>
        <v>#N/A</v>
      </c>
      <c r="BL44" s="1238" t="e">
        <f>IF(BH41=0,"",VLOOKUP(BH41,'Tablas Magia'!$D$6:$Z$680,16,FALSE))</f>
        <v>#N/A</v>
      </c>
      <c r="BM44" s="5323" t="e">
        <f>IF(BH41=0,"",VLOOKUP(BH41,'Tablas Magia'!$D$6:$Z$680,20,FALSE))</f>
        <v>#N/A</v>
      </c>
      <c r="BN44" s="5324"/>
      <c r="BO44" s="5324"/>
      <c r="BP44" s="5324"/>
      <c r="BQ44" s="5324"/>
      <c r="BR44" s="5324"/>
      <c r="BS44" s="5324"/>
      <c r="BT44" s="5324"/>
      <c r="BU44" s="5324"/>
      <c r="BV44" s="5325"/>
      <c r="BW44" s="1216"/>
      <c r="BX44" s="1210"/>
      <c r="BY44" s="1210"/>
      <c r="BZ44" s="2272"/>
      <c r="CA44" s="5321" t="s">
        <v>4705</v>
      </c>
      <c r="CB44" s="5322"/>
      <c r="CC44" s="1237" t="e">
        <f>IF(CA41=0,"",VLOOKUP(CA41,'Tablas Magia'!$D$6:$Z$680,8,FALSE))</f>
        <v>#N/A</v>
      </c>
      <c r="CD44" s="1237" t="e">
        <f>IF(CA41=0,"",VLOOKUP(CA41,'Tablas Magia'!$D$6:$Z$680,12,FALSE))</f>
        <v>#N/A</v>
      </c>
      <c r="CE44" s="1238" t="e">
        <f>IF(CA41=0,"",VLOOKUP(CA41,'Tablas Magia'!$D$6:$Z$680,16,FALSE))</f>
        <v>#N/A</v>
      </c>
      <c r="CF44" s="5323" t="e">
        <f>IF(CA41=0,"",VLOOKUP(CA41,'Tablas Magia'!$D$6:$Z$680,20,FALSE))</f>
        <v>#N/A</v>
      </c>
      <c r="CG44" s="5324"/>
      <c r="CH44" s="5324"/>
      <c r="CI44" s="5324"/>
      <c r="CJ44" s="5324"/>
      <c r="CK44" s="5324"/>
      <c r="CL44" s="5324"/>
      <c r="CM44" s="5324"/>
      <c r="CN44" s="5324"/>
      <c r="CO44" s="5325"/>
      <c r="CP44" s="1216"/>
      <c r="CQ44" s="1210"/>
    </row>
    <row r="45" spans="1:95" ht="12" customHeight="1" x14ac:dyDescent="0.2">
      <c r="A45" s="1210"/>
      <c r="B45" s="2258"/>
      <c r="C45" s="5316" t="s">
        <v>4706</v>
      </c>
      <c r="D45" s="5317"/>
      <c r="E45" s="1235" t="e">
        <f>IF(C41=0,"",VLOOKUP(C41,'Tablas Magia'!$D$6:$Z$680,9,FALSE))</f>
        <v>#N/A</v>
      </c>
      <c r="F45" s="1235" t="e">
        <f>IF(C41=0,"",VLOOKUP(C41,'Tablas Magia'!$D$6:$Z$680,13,FALSE))</f>
        <v>#N/A</v>
      </c>
      <c r="G45" s="1236" t="e">
        <f>IF(C41=0,"",VLOOKUP(C41,'Tablas Magia'!$D$6:$Z$680,17,FALSE))</f>
        <v>#N/A</v>
      </c>
      <c r="H45" s="5318" t="e">
        <f>IF(C41=0,"",VLOOKUP(C41,'Tablas Magia'!$D$6:$Z$680,21,FALSE))</f>
        <v>#N/A</v>
      </c>
      <c r="I45" s="5319"/>
      <c r="J45" s="5319"/>
      <c r="K45" s="5319"/>
      <c r="L45" s="5319"/>
      <c r="M45" s="5319"/>
      <c r="N45" s="5319"/>
      <c r="O45" s="5319"/>
      <c r="P45" s="5319"/>
      <c r="Q45" s="5320"/>
      <c r="R45" s="1216"/>
      <c r="S45" s="1210"/>
      <c r="T45" s="1210"/>
      <c r="U45" s="2258"/>
      <c r="V45" s="5316" t="s">
        <v>4706</v>
      </c>
      <c r="W45" s="5317"/>
      <c r="X45" s="1235" t="e">
        <f>IF(V41=0,"",VLOOKUP(V41,'Tablas Magia'!$D$6:$Z$680,9,FALSE))</f>
        <v>#N/A</v>
      </c>
      <c r="Y45" s="1235" t="e">
        <f>IF(V41=0,"",VLOOKUP(V41,'Tablas Magia'!$D$6:$Z$680,13,FALSE))</f>
        <v>#N/A</v>
      </c>
      <c r="Z45" s="1236" t="e">
        <f>IF(V41=0,"",VLOOKUP(V41,'Tablas Magia'!$D$6:$Z$680,17,FALSE))</f>
        <v>#N/A</v>
      </c>
      <c r="AA45" s="5318" t="e">
        <f>IF(V41=0,"",VLOOKUP(V41,'Tablas Magia'!$D$6:$Z$680,21,FALSE))</f>
        <v>#N/A</v>
      </c>
      <c r="AB45" s="5319"/>
      <c r="AC45" s="5319"/>
      <c r="AD45" s="5319"/>
      <c r="AE45" s="5319"/>
      <c r="AF45" s="5319"/>
      <c r="AG45" s="5319"/>
      <c r="AH45" s="5319"/>
      <c r="AI45" s="5319"/>
      <c r="AJ45" s="5320"/>
      <c r="AK45" s="1216"/>
      <c r="AL45" s="1210"/>
      <c r="AM45" s="1210"/>
      <c r="AN45" s="2272"/>
      <c r="AO45" s="5316" t="s">
        <v>4706</v>
      </c>
      <c r="AP45" s="5317"/>
      <c r="AQ45" s="1235" t="e">
        <f>IF(AO41=0,"",VLOOKUP(AO41,'Tablas Magia'!$D$6:$Z$680,9,FALSE))</f>
        <v>#N/A</v>
      </c>
      <c r="AR45" s="1235" t="e">
        <f>IF(AO41=0,"",VLOOKUP(AO41,'Tablas Magia'!$D$6:$Z$680,13,FALSE))</f>
        <v>#N/A</v>
      </c>
      <c r="AS45" s="1236" t="e">
        <f>IF(AO41=0,"",VLOOKUP(AO41,'Tablas Magia'!$D$6:$Z$680,17,FALSE))</f>
        <v>#N/A</v>
      </c>
      <c r="AT45" s="5318" t="e">
        <f>IF(AO41=0,"",VLOOKUP(AO41,'Tablas Magia'!$D$6:$Z$680,21,FALSE))</f>
        <v>#N/A</v>
      </c>
      <c r="AU45" s="5319"/>
      <c r="AV45" s="5319"/>
      <c r="AW45" s="5319"/>
      <c r="AX45" s="5319"/>
      <c r="AY45" s="5319"/>
      <c r="AZ45" s="5319"/>
      <c r="BA45" s="5319"/>
      <c r="BB45" s="5319"/>
      <c r="BC45" s="5320"/>
      <c r="BD45" s="1216"/>
      <c r="BE45" s="1210"/>
      <c r="BF45" s="1210"/>
      <c r="BG45" s="2272"/>
      <c r="BH45" s="5316" t="s">
        <v>4706</v>
      </c>
      <c r="BI45" s="5317"/>
      <c r="BJ45" s="1235" t="e">
        <f>IF(BH41=0,"",VLOOKUP(BH41,'Tablas Magia'!$D$6:$Z$680,9,FALSE))</f>
        <v>#N/A</v>
      </c>
      <c r="BK45" s="1235" t="e">
        <f>IF(BH41=0,"",VLOOKUP(BH41,'Tablas Magia'!$D$6:$Z$680,13,FALSE))</f>
        <v>#N/A</v>
      </c>
      <c r="BL45" s="1236" t="e">
        <f>IF(BH41=0,"",VLOOKUP(BH41,'Tablas Magia'!$D$6:$Z$680,17,FALSE))</f>
        <v>#N/A</v>
      </c>
      <c r="BM45" s="5318" t="e">
        <f>IF(BH41=0,"",VLOOKUP(BH41,'Tablas Magia'!$D$6:$Z$680,21,FALSE))</f>
        <v>#N/A</v>
      </c>
      <c r="BN45" s="5319"/>
      <c r="BO45" s="5319"/>
      <c r="BP45" s="5319"/>
      <c r="BQ45" s="5319"/>
      <c r="BR45" s="5319"/>
      <c r="BS45" s="5319"/>
      <c r="BT45" s="5319"/>
      <c r="BU45" s="5319"/>
      <c r="BV45" s="5320"/>
      <c r="BW45" s="1216"/>
      <c r="BX45" s="1210"/>
      <c r="BY45" s="1210"/>
      <c r="BZ45" s="2272"/>
      <c r="CA45" s="5316" t="s">
        <v>4706</v>
      </c>
      <c r="CB45" s="5317"/>
      <c r="CC45" s="1235" t="e">
        <f>IF(CA41=0,"",VLOOKUP(CA41,'Tablas Magia'!$D$6:$Z$680,9,FALSE))</f>
        <v>#N/A</v>
      </c>
      <c r="CD45" s="1235" t="e">
        <f>IF(CA41=0,"",VLOOKUP(CA41,'Tablas Magia'!$D$6:$Z$680,13,FALSE))</f>
        <v>#N/A</v>
      </c>
      <c r="CE45" s="1236" t="e">
        <f>IF(CA41=0,"",VLOOKUP(CA41,'Tablas Magia'!$D$6:$Z$680,17,FALSE))</f>
        <v>#N/A</v>
      </c>
      <c r="CF45" s="5318" t="e">
        <f>IF(CA41=0,"",VLOOKUP(CA41,'Tablas Magia'!$D$6:$Z$680,21,FALSE))</f>
        <v>#N/A</v>
      </c>
      <c r="CG45" s="5319"/>
      <c r="CH45" s="5319"/>
      <c r="CI45" s="5319"/>
      <c r="CJ45" s="5319"/>
      <c r="CK45" s="5319"/>
      <c r="CL45" s="5319"/>
      <c r="CM45" s="5319"/>
      <c r="CN45" s="5319"/>
      <c r="CO45" s="5320"/>
      <c r="CP45" s="1216"/>
      <c r="CQ45" s="1210"/>
    </row>
    <row r="46" spans="1:95" ht="12" customHeight="1" thickBot="1" x14ac:dyDescent="0.25">
      <c r="A46" s="1210"/>
      <c r="B46" s="2258"/>
      <c r="C46" s="5326" t="s">
        <v>4707</v>
      </c>
      <c r="D46" s="5327"/>
      <c r="E46" s="1239" t="e">
        <f>IF(C41=0,"",VLOOKUP(C41,'Tablas Magia'!$D$6:$Z$680,10,FALSE))</f>
        <v>#N/A</v>
      </c>
      <c r="F46" s="1239" t="e">
        <f>IF(C41=0,"",VLOOKUP(C41,'Tablas Magia'!$D$6:$Z$680,14,FALSE))</f>
        <v>#N/A</v>
      </c>
      <c r="G46" s="1240" t="e">
        <f>IF(C41=0,"",VLOOKUP(C41,'Tablas Magia'!$D$6:$Z$680,18,FALSE))</f>
        <v>#N/A</v>
      </c>
      <c r="H46" s="5328" t="e">
        <f>IF(C41=0,"",VLOOKUP(C41,'Tablas Magia'!$D$6:$Z$680,22,FALSE))</f>
        <v>#N/A</v>
      </c>
      <c r="I46" s="5329"/>
      <c r="J46" s="5329"/>
      <c r="K46" s="5329"/>
      <c r="L46" s="5329"/>
      <c r="M46" s="5329"/>
      <c r="N46" s="5329"/>
      <c r="O46" s="5329"/>
      <c r="P46" s="5329"/>
      <c r="Q46" s="5330"/>
      <c r="R46" s="1216"/>
      <c r="S46" s="1210"/>
      <c r="T46" s="1210"/>
      <c r="U46" s="2258"/>
      <c r="V46" s="5326" t="s">
        <v>4707</v>
      </c>
      <c r="W46" s="5327"/>
      <c r="X46" s="1239" t="e">
        <f>IF(V41=0,"",VLOOKUP(V41,'Tablas Magia'!$D$6:$Z$680,10,FALSE))</f>
        <v>#N/A</v>
      </c>
      <c r="Y46" s="1239" t="e">
        <f>IF(V41=0,"",VLOOKUP(V41,'Tablas Magia'!$D$6:$Z$680,14,FALSE))</f>
        <v>#N/A</v>
      </c>
      <c r="Z46" s="1240" t="e">
        <f>IF(V41=0,"",VLOOKUP(V41,'Tablas Magia'!$D$6:$Z$680,18,FALSE))</f>
        <v>#N/A</v>
      </c>
      <c r="AA46" s="5328" t="e">
        <f>IF(V41=0,"",VLOOKUP(V41,'Tablas Magia'!$D$6:$Z$680,22,FALSE))</f>
        <v>#N/A</v>
      </c>
      <c r="AB46" s="5329"/>
      <c r="AC46" s="5329"/>
      <c r="AD46" s="5329"/>
      <c r="AE46" s="5329"/>
      <c r="AF46" s="5329"/>
      <c r="AG46" s="5329"/>
      <c r="AH46" s="5329"/>
      <c r="AI46" s="5329"/>
      <c r="AJ46" s="5330"/>
      <c r="AK46" s="1216"/>
      <c r="AL46" s="1210"/>
      <c r="AM46" s="1210"/>
      <c r="AN46" s="2272"/>
      <c r="AO46" s="5326" t="s">
        <v>4707</v>
      </c>
      <c r="AP46" s="5327"/>
      <c r="AQ46" s="1239" t="e">
        <f>IF(AO41=0,"",VLOOKUP(AO41,'Tablas Magia'!$D$6:$Z$680,10,FALSE))</f>
        <v>#N/A</v>
      </c>
      <c r="AR46" s="1239" t="e">
        <f>IF(AO41=0,"",VLOOKUP(AO41,'Tablas Magia'!$D$6:$Z$680,14,FALSE))</f>
        <v>#N/A</v>
      </c>
      <c r="AS46" s="1240" t="e">
        <f>IF(AO41=0,"",VLOOKUP(AO41,'Tablas Magia'!$D$6:$Z$680,18,FALSE))</f>
        <v>#N/A</v>
      </c>
      <c r="AT46" s="5328" t="e">
        <f>IF(AO41=0,"",VLOOKUP(AO41,'Tablas Magia'!$D$6:$Z$680,22,FALSE))</f>
        <v>#N/A</v>
      </c>
      <c r="AU46" s="5329"/>
      <c r="AV46" s="5329"/>
      <c r="AW46" s="5329"/>
      <c r="AX46" s="5329"/>
      <c r="AY46" s="5329"/>
      <c r="AZ46" s="5329"/>
      <c r="BA46" s="5329"/>
      <c r="BB46" s="5329"/>
      <c r="BC46" s="5330"/>
      <c r="BD46" s="1216"/>
      <c r="BE46" s="1210"/>
      <c r="BF46" s="1210"/>
      <c r="BG46" s="2272"/>
      <c r="BH46" s="5326" t="s">
        <v>4707</v>
      </c>
      <c r="BI46" s="5327"/>
      <c r="BJ46" s="1239" t="e">
        <f>IF(BH41=0,"",VLOOKUP(BH41,'Tablas Magia'!$D$6:$Z$680,10,FALSE))</f>
        <v>#N/A</v>
      </c>
      <c r="BK46" s="1239" t="e">
        <f>IF(BH41=0,"",VLOOKUP(BH41,'Tablas Magia'!$D$6:$Z$680,14,FALSE))</f>
        <v>#N/A</v>
      </c>
      <c r="BL46" s="1240" t="e">
        <f>IF(BH41=0,"",VLOOKUP(BH41,'Tablas Magia'!$D$6:$Z$680,18,FALSE))</f>
        <v>#N/A</v>
      </c>
      <c r="BM46" s="5328" t="e">
        <f>IF(BH41=0,"",VLOOKUP(BH41,'Tablas Magia'!$D$6:$Z$680,22,FALSE))</f>
        <v>#N/A</v>
      </c>
      <c r="BN46" s="5329"/>
      <c r="BO46" s="5329"/>
      <c r="BP46" s="5329"/>
      <c r="BQ46" s="5329"/>
      <c r="BR46" s="5329"/>
      <c r="BS46" s="5329"/>
      <c r="BT46" s="5329"/>
      <c r="BU46" s="5329"/>
      <c r="BV46" s="5330"/>
      <c r="BW46" s="1216"/>
      <c r="BX46" s="1210"/>
      <c r="BY46" s="1210"/>
      <c r="BZ46" s="2272"/>
      <c r="CA46" s="5326" t="s">
        <v>4707</v>
      </c>
      <c r="CB46" s="5327"/>
      <c r="CC46" s="1239" t="e">
        <f>IF(CA41=0,"",VLOOKUP(CA41,'Tablas Magia'!$D$6:$Z$680,10,FALSE))</f>
        <v>#N/A</v>
      </c>
      <c r="CD46" s="1239" t="e">
        <f>IF(CA41=0,"",VLOOKUP(CA41,'Tablas Magia'!$D$6:$Z$680,14,FALSE))</f>
        <v>#N/A</v>
      </c>
      <c r="CE46" s="1240" t="e">
        <f>IF(CA41=0,"",VLOOKUP(CA41,'Tablas Magia'!$D$6:$Z$680,18,FALSE))</f>
        <v>#N/A</v>
      </c>
      <c r="CF46" s="5328" t="e">
        <f>IF(CA41=0,"",VLOOKUP(CA41,'Tablas Magia'!$D$6:$Z$680,22,FALSE))</f>
        <v>#N/A</v>
      </c>
      <c r="CG46" s="5329"/>
      <c r="CH46" s="5329"/>
      <c r="CI46" s="5329"/>
      <c r="CJ46" s="5329"/>
      <c r="CK46" s="5329"/>
      <c r="CL46" s="5329"/>
      <c r="CM46" s="5329"/>
      <c r="CN46" s="5329"/>
      <c r="CO46" s="5330"/>
      <c r="CP46" s="1216"/>
      <c r="CQ46" s="1210"/>
    </row>
    <row r="47" spans="1:95" ht="12" customHeight="1" x14ac:dyDescent="0.2">
      <c r="A47" s="1210"/>
      <c r="B47" s="2258"/>
      <c r="C47" s="5331" t="e">
        <f>IF(C41=0,"",VLOOKUP(C41,'Tablas Magia'!$D$6:$Z$680,23,FALSE))</f>
        <v>#N/A</v>
      </c>
      <c r="D47" s="5332"/>
      <c r="E47" s="5332"/>
      <c r="F47" s="5332"/>
      <c r="G47" s="5332"/>
      <c r="H47" s="5332"/>
      <c r="I47" s="5332"/>
      <c r="J47" s="5332"/>
      <c r="K47" s="5332"/>
      <c r="L47" s="5332"/>
      <c r="M47" s="5332"/>
      <c r="N47" s="5332"/>
      <c r="O47" s="5332"/>
      <c r="P47" s="5332"/>
      <c r="Q47" s="5333"/>
      <c r="R47" s="1216"/>
      <c r="S47" s="1210"/>
      <c r="T47" s="1210"/>
      <c r="U47" s="2258"/>
      <c r="V47" s="5331" t="e">
        <f>IF(V41=0,"",VLOOKUP(V41,'Tablas Magia'!$D$6:$Z$680,23,FALSE))</f>
        <v>#N/A</v>
      </c>
      <c r="W47" s="5332"/>
      <c r="X47" s="5332"/>
      <c r="Y47" s="5332"/>
      <c r="Z47" s="5332"/>
      <c r="AA47" s="5332"/>
      <c r="AB47" s="5332"/>
      <c r="AC47" s="5332"/>
      <c r="AD47" s="5332"/>
      <c r="AE47" s="5332"/>
      <c r="AF47" s="5332"/>
      <c r="AG47" s="5332"/>
      <c r="AH47" s="5332"/>
      <c r="AI47" s="5332"/>
      <c r="AJ47" s="5333"/>
      <c r="AK47" s="1216"/>
      <c r="AL47" s="1210"/>
      <c r="AM47" s="1210"/>
      <c r="AN47" s="2272"/>
      <c r="AO47" s="5331" t="e">
        <f>IF(AO41=0,"",VLOOKUP(AO41,'Tablas Magia'!$D$6:$Z$680,23,FALSE))</f>
        <v>#N/A</v>
      </c>
      <c r="AP47" s="5332"/>
      <c r="AQ47" s="5332"/>
      <c r="AR47" s="5332"/>
      <c r="AS47" s="5332"/>
      <c r="AT47" s="5332"/>
      <c r="AU47" s="5332"/>
      <c r="AV47" s="5332"/>
      <c r="AW47" s="5332"/>
      <c r="AX47" s="5332"/>
      <c r="AY47" s="5332"/>
      <c r="AZ47" s="5332"/>
      <c r="BA47" s="5332"/>
      <c r="BB47" s="5332"/>
      <c r="BC47" s="5333"/>
      <c r="BD47" s="1216"/>
      <c r="BE47" s="1210"/>
      <c r="BF47" s="1210"/>
      <c r="BG47" s="2272"/>
      <c r="BH47" s="5331" t="e">
        <f>IF(BH41=0,"",VLOOKUP(BH41,'Tablas Magia'!$D$6:$Z$680,23,FALSE))</f>
        <v>#N/A</v>
      </c>
      <c r="BI47" s="5332"/>
      <c r="BJ47" s="5332"/>
      <c r="BK47" s="5332"/>
      <c r="BL47" s="5332"/>
      <c r="BM47" s="5332"/>
      <c r="BN47" s="5332"/>
      <c r="BO47" s="5332"/>
      <c r="BP47" s="5332"/>
      <c r="BQ47" s="5332"/>
      <c r="BR47" s="5332"/>
      <c r="BS47" s="5332"/>
      <c r="BT47" s="5332"/>
      <c r="BU47" s="5332"/>
      <c r="BV47" s="5333"/>
      <c r="BW47" s="1216"/>
      <c r="BX47" s="1210"/>
      <c r="BY47" s="1210"/>
      <c r="BZ47" s="2272"/>
      <c r="CA47" s="5331" t="e">
        <f>IF(CA41=0,"",VLOOKUP(CA41,'Tablas Magia'!$D$6:$Z$680,23,FALSE))</f>
        <v>#N/A</v>
      </c>
      <c r="CB47" s="5332"/>
      <c r="CC47" s="5332"/>
      <c r="CD47" s="5332"/>
      <c r="CE47" s="5332"/>
      <c r="CF47" s="5332"/>
      <c r="CG47" s="5332"/>
      <c r="CH47" s="5332"/>
      <c r="CI47" s="5332"/>
      <c r="CJ47" s="5332"/>
      <c r="CK47" s="5332"/>
      <c r="CL47" s="5332"/>
      <c r="CM47" s="5332"/>
      <c r="CN47" s="5332"/>
      <c r="CO47" s="5333"/>
      <c r="CP47" s="1216"/>
      <c r="CQ47" s="1210"/>
    </row>
    <row r="48" spans="1:95" ht="12" customHeight="1" x14ac:dyDescent="0.2">
      <c r="A48" s="1210"/>
      <c r="B48" s="2258"/>
      <c r="C48" s="5334"/>
      <c r="D48" s="5335"/>
      <c r="E48" s="5335"/>
      <c r="F48" s="5335"/>
      <c r="G48" s="5335"/>
      <c r="H48" s="5335"/>
      <c r="I48" s="5335"/>
      <c r="J48" s="5335"/>
      <c r="K48" s="5335"/>
      <c r="L48" s="5335"/>
      <c r="M48" s="5335"/>
      <c r="N48" s="5335"/>
      <c r="O48" s="5335"/>
      <c r="P48" s="5335"/>
      <c r="Q48" s="5336"/>
      <c r="R48" s="1216"/>
      <c r="S48" s="1210"/>
      <c r="T48" s="1210"/>
      <c r="U48" s="2258"/>
      <c r="V48" s="5334"/>
      <c r="W48" s="5335"/>
      <c r="X48" s="5335"/>
      <c r="Y48" s="5335"/>
      <c r="Z48" s="5335"/>
      <c r="AA48" s="5335"/>
      <c r="AB48" s="5335"/>
      <c r="AC48" s="5335"/>
      <c r="AD48" s="5335"/>
      <c r="AE48" s="5335"/>
      <c r="AF48" s="5335"/>
      <c r="AG48" s="5335"/>
      <c r="AH48" s="5335"/>
      <c r="AI48" s="5335"/>
      <c r="AJ48" s="5336"/>
      <c r="AK48" s="1216"/>
      <c r="AL48" s="1210"/>
      <c r="AM48" s="1210"/>
      <c r="AN48" s="2272"/>
      <c r="AO48" s="5334"/>
      <c r="AP48" s="5335"/>
      <c r="AQ48" s="5335"/>
      <c r="AR48" s="5335"/>
      <c r="AS48" s="5335"/>
      <c r="AT48" s="5335"/>
      <c r="AU48" s="5335"/>
      <c r="AV48" s="5335"/>
      <c r="AW48" s="5335"/>
      <c r="AX48" s="5335"/>
      <c r="AY48" s="5335"/>
      <c r="AZ48" s="5335"/>
      <c r="BA48" s="5335"/>
      <c r="BB48" s="5335"/>
      <c r="BC48" s="5336"/>
      <c r="BD48" s="1216"/>
      <c r="BE48" s="1210"/>
      <c r="BF48" s="1210"/>
      <c r="BG48" s="2272"/>
      <c r="BH48" s="5334"/>
      <c r="BI48" s="5335"/>
      <c r="BJ48" s="5335"/>
      <c r="BK48" s="5335"/>
      <c r="BL48" s="5335"/>
      <c r="BM48" s="5335"/>
      <c r="BN48" s="5335"/>
      <c r="BO48" s="5335"/>
      <c r="BP48" s="5335"/>
      <c r="BQ48" s="5335"/>
      <c r="BR48" s="5335"/>
      <c r="BS48" s="5335"/>
      <c r="BT48" s="5335"/>
      <c r="BU48" s="5335"/>
      <c r="BV48" s="5336"/>
      <c r="BW48" s="1216"/>
      <c r="BX48" s="1210"/>
      <c r="BY48" s="1210"/>
      <c r="BZ48" s="2272"/>
      <c r="CA48" s="5334"/>
      <c r="CB48" s="5335"/>
      <c r="CC48" s="5335"/>
      <c r="CD48" s="5335"/>
      <c r="CE48" s="5335"/>
      <c r="CF48" s="5335"/>
      <c r="CG48" s="5335"/>
      <c r="CH48" s="5335"/>
      <c r="CI48" s="5335"/>
      <c r="CJ48" s="5335"/>
      <c r="CK48" s="5335"/>
      <c r="CL48" s="5335"/>
      <c r="CM48" s="5335"/>
      <c r="CN48" s="5335"/>
      <c r="CO48" s="5336"/>
      <c r="CP48" s="1216"/>
      <c r="CQ48" s="1210"/>
    </row>
    <row r="49" spans="1:95" ht="12" customHeight="1" x14ac:dyDescent="0.2">
      <c r="A49" s="1210"/>
      <c r="B49" s="2258"/>
      <c r="C49" s="5334"/>
      <c r="D49" s="5335"/>
      <c r="E49" s="5335"/>
      <c r="F49" s="5335"/>
      <c r="G49" s="5335"/>
      <c r="H49" s="5335"/>
      <c r="I49" s="5335"/>
      <c r="J49" s="5335"/>
      <c r="K49" s="5335"/>
      <c r="L49" s="5335"/>
      <c r="M49" s="5335"/>
      <c r="N49" s="5335"/>
      <c r="O49" s="5335"/>
      <c r="P49" s="5335"/>
      <c r="Q49" s="5336"/>
      <c r="R49" s="1216"/>
      <c r="S49" s="1210"/>
      <c r="T49" s="1210"/>
      <c r="U49" s="2258"/>
      <c r="V49" s="5334"/>
      <c r="W49" s="5335"/>
      <c r="X49" s="5335"/>
      <c r="Y49" s="5335"/>
      <c r="Z49" s="5335"/>
      <c r="AA49" s="5335"/>
      <c r="AB49" s="5335"/>
      <c r="AC49" s="5335"/>
      <c r="AD49" s="5335"/>
      <c r="AE49" s="5335"/>
      <c r="AF49" s="5335"/>
      <c r="AG49" s="5335"/>
      <c r="AH49" s="5335"/>
      <c r="AI49" s="5335"/>
      <c r="AJ49" s="5336"/>
      <c r="AK49" s="1216"/>
      <c r="AL49" s="1210"/>
      <c r="AM49" s="1210"/>
      <c r="AN49" s="2272"/>
      <c r="AO49" s="5334"/>
      <c r="AP49" s="5335"/>
      <c r="AQ49" s="5335"/>
      <c r="AR49" s="5335"/>
      <c r="AS49" s="5335"/>
      <c r="AT49" s="5335"/>
      <c r="AU49" s="5335"/>
      <c r="AV49" s="5335"/>
      <c r="AW49" s="5335"/>
      <c r="AX49" s="5335"/>
      <c r="AY49" s="5335"/>
      <c r="AZ49" s="5335"/>
      <c r="BA49" s="5335"/>
      <c r="BB49" s="5335"/>
      <c r="BC49" s="5336"/>
      <c r="BD49" s="1216"/>
      <c r="BE49" s="1210"/>
      <c r="BF49" s="1210"/>
      <c r="BG49" s="2272"/>
      <c r="BH49" s="5334"/>
      <c r="BI49" s="5335"/>
      <c r="BJ49" s="5335"/>
      <c r="BK49" s="5335"/>
      <c r="BL49" s="5335"/>
      <c r="BM49" s="5335"/>
      <c r="BN49" s="5335"/>
      <c r="BO49" s="5335"/>
      <c r="BP49" s="5335"/>
      <c r="BQ49" s="5335"/>
      <c r="BR49" s="5335"/>
      <c r="BS49" s="5335"/>
      <c r="BT49" s="5335"/>
      <c r="BU49" s="5335"/>
      <c r="BV49" s="5336"/>
      <c r="BW49" s="1216"/>
      <c r="BX49" s="1210"/>
      <c r="BY49" s="1210"/>
      <c r="BZ49" s="2272"/>
      <c r="CA49" s="5334"/>
      <c r="CB49" s="5335"/>
      <c r="CC49" s="5335"/>
      <c r="CD49" s="5335"/>
      <c r="CE49" s="5335"/>
      <c r="CF49" s="5335"/>
      <c r="CG49" s="5335"/>
      <c r="CH49" s="5335"/>
      <c r="CI49" s="5335"/>
      <c r="CJ49" s="5335"/>
      <c r="CK49" s="5335"/>
      <c r="CL49" s="5335"/>
      <c r="CM49" s="5335"/>
      <c r="CN49" s="5335"/>
      <c r="CO49" s="5336"/>
      <c r="CP49" s="1216"/>
      <c r="CQ49" s="1210"/>
    </row>
    <row r="50" spans="1:95" ht="12" customHeight="1" thickBot="1" x14ac:dyDescent="0.25">
      <c r="A50" s="1210"/>
      <c r="B50" s="2258"/>
      <c r="C50" s="5337"/>
      <c r="D50" s="5338"/>
      <c r="E50" s="5338"/>
      <c r="F50" s="5338"/>
      <c r="G50" s="5338"/>
      <c r="H50" s="5338"/>
      <c r="I50" s="5338"/>
      <c r="J50" s="5338"/>
      <c r="K50" s="5338"/>
      <c r="L50" s="5338"/>
      <c r="M50" s="5338"/>
      <c r="N50" s="5338"/>
      <c r="O50" s="5338"/>
      <c r="P50" s="5338"/>
      <c r="Q50" s="5339"/>
      <c r="R50" s="1216"/>
      <c r="S50" s="1210"/>
      <c r="T50" s="1210"/>
      <c r="U50" s="2258"/>
      <c r="V50" s="5337"/>
      <c r="W50" s="5338"/>
      <c r="X50" s="5338"/>
      <c r="Y50" s="5338"/>
      <c r="Z50" s="5338"/>
      <c r="AA50" s="5338"/>
      <c r="AB50" s="5338"/>
      <c r="AC50" s="5338"/>
      <c r="AD50" s="5338"/>
      <c r="AE50" s="5338"/>
      <c r="AF50" s="5338"/>
      <c r="AG50" s="5338"/>
      <c r="AH50" s="5338"/>
      <c r="AI50" s="5338"/>
      <c r="AJ50" s="5339"/>
      <c r="AK50" s="1216"/>
      <c r="AL50" s="1210"/>
      <c r="AM50" s="1210"/>
      <c r="AN50" s="2272"/>
      <c r="AO50" s="5337"/>
      <c r="AP50" s="5338"/>
      <c r="AQ50" s="5338"/>
      <c r="AR50" s="5338"/>
      <c r="AS50" s="5338"/>
      <c r="AT50" s="5338"/>
      <c r="AU50" s="5338"/>
      <c r="AV50" s="5338"/>
      <c r="AW50" s="5338"/>
      <c r="AX50" s="5338"/>
      <c r="AY50" s="5338"/>
      <c r="AZ50" s="5338"/>
      <c r="BA50" s="5338"/>
      <c r="BB50" s="5338"/>
      <c r="BC50" s="5339"/>
      <c r="BD50" s="1216"/>
      <c r="BE50" s="1210"/>
      <c r="BF50" s="1210"/>
      <c r="BG50" s="2272"/>
      <c r="BH50" s="5337"/>
      <c r="BI50" s="5338"/>
      <c r="BJ50" s="5338"/>
      <c r="BK50" s="5338"/>
      <c r="BL50" s="5338"/>
      <c r="BM50" s="5338"/>
      <c r="BN50" s="5338"/>
      <c r="BO50" s="5338"/>
      <c r="BP50" s="5338"/>
      <c r="BQ50" s="5338"/>
      <c r="BR50" s="5338"/>
      <c r="BS50" s="5338"/>
      <c r="BT50" s="5338"/>
      <c r="BU50" s="5338"/>
      <c r="BV50" s="5339"/>
      <c r="BW50" s="1216"/>
      <c r="BX50" s="1210"/>
      <c r="BY50" s="1210"/>
      <c r="BZ50" s="2272"/>
      <c r="CA50" s="5337"/>
      <c r="CB50" s="5338"/>
      <c r="CC50" s="5338"/>
      <c r="CD50" s="5338"/>
      <c r="CE50" s="5338"/>
      <c r="CF50" s="5338"/>
      <c r="CG50" s="5338"/>
      <c r="CH50" s="5338"/>
      <c r="CI50" s="5338"/>
      <c r="CJ50" s="5338"/>
      <c r="CK50" s="5338"/>
      <c r="CL50" s="5338"/>
      <c r="CM50" s="5338"/>
      <c r="CN50" s="5338"/>
      <c r="CO50" s="5339"/>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56"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57"/>
      <c r="E52" s="5357"/>
      <c r="F52" s="5357"/>
      <c r="G52" s="5357"/>
      <c r="H52" s="1230" t="s">
        <v>1630</v>
      </c>
      <c r="I52" s="1231">
        <f>IF(C52=0,"",VLOOKUP(C52,'Tablas Magia'!$D$6:$Z$680,3,FALSE))</f>
        <v>10</v>
      </c>
      <c r="J52" s="5344" t="s">
        <v>8162</v>
      </c>
      <c r="K52" s="5344"/>
      <c r="L52" s="5344"/>
      <c r="M52" s="5345" t="str">
        <f>IF(C52=0,"",VLOOKUP(C52,'Tablas Magia'!$D$6:$Z$680,2,FALSE))</f>
        <v>Fuego</v>
      </c>
      <c r="N52" s="5345"/>
      <c r="O52" s="5345"/>
      <c r="P52" s="5345"/>
      <c r="Q52" s="5346"/>
      <c r="R52" s="1216"/>
      <c r="S52" s="1210"/>
      <c r="T52" s="1210"/>
      <c r="U52" s="2258">
        <f>U41+2</f>
        <v>30</v>
      </c>
      <c r="V52" s="5356"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57"/>
      <c r="X52" s="5357"/>
      <c r="Y52" s="5357"/>
      <c r="Z52" s="5357"/>
      <c r="AA52" s="1230" t="s">
        <v>1630</v>
      </c>
      <c r="AB52" s="1231">
        <f>IF(V52=0,"",VLOOKUP(V52,'Tablas Magia'!$D$6:$Z$680,3,FALSE))</f>
        <v>30</v>
      </c>
      <c r="AC52" s="5344" t="s">
        <v>8162</v>
      </c>
      <c r="AD52" s="5344"/>
      <c r="AE52" s="5344"/>
      <c r="AF52" s="5345" t="str">
        <f>IF(V52=0,"",VLOOKUP(V52,'Tablas Magia'!$D$6:$Z$680,2,FALSE))</f>
        <v>Fuego</v>
      </c>
      <c r="AG52" s="5345"/>
      <c r="AH52" s="5345"/>
      <c r="AI52" s="5345"/>
      <c r="AJ52" s="5346"/>
      <c r="AK52" s="1216"/>
      <c r="AL52" s="1210"/>
      <c r="AM52" s="1210"/>
      <c r="AN52" s="2272">
        <f>AN41+2</f>
        <v>50</v>
      </c>
      <c r="AO52" s="5356"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57"/>
      <c r="AQ52" s="5357"/>
      <c r="AR52" s="5357"/>
      <c r="AS52" s="5357"/>
      <c r="AT52" s="1230" t="s">
        <v>1630</v>
      </c>
      <c r="AU52" s="1231">
        <f>IF(AO52=0,"",VLOOKUP(AO52,'Tablas Magia'!$D$6:$Z$680,3,FALSE))</f>
        <v>50</v>
      </c>
      <c r="AV52" s="5344" t="s">
        <v>8162</v>
      </c>
      <c r="AW52" s="5344"/>
      <c r="AX52" s="5344"/>
      <c r="AY52" s="5345" t="str">
        <f>IF(AO52=0,"",VLOOKUP(AO52,'Tablas Magia'!$D$6:$Z$680,2,FALSE))</f>
        <v>Fuego</v>
      </c>
      <c r="AZ52" s="5345"/>
      <c r="BA52" s="5345"/>
      <c r="BB52" s="5345"/>
      <c r="BC52" s="5346"/>
      <c r="BD52" s="1216"/>
      <c r="BE52" s="1210"/>
      <c r="BF52" s="1210"/>
      <c r="BG52" s="2272">
        <f>BG41+2</f>
        <v>70</v>
      </c>
      <c r="BH52" s="5356"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57"/>
      <c r="BJ52" s="5357"/>
      <c r="BK52" s="5357"/>
      <c r="BL52" s="5357"/>
      <c r="BM52" s="1230" t="s">
        <v>1630</v>
      </c>
      <c r="BN52" s="1231">
        <f>IF(BH52=0,"",VLOOKUP(BH52,'Tablas Magia'!$D$6:$Z$680,3,FALSE))</f>
        <v>70</v>
      </c>
      <c r="BO52" s="5344" t="s">
        <v>8162</v>
      </c>
      <c r="BP52" s="5344"/>
      <c r="BQ52" s="5344"/>
      <c r="BR52" s="5345" t="str">
        <f>IF(BH52=0,"",VLOOKUP(BH52,'Tablas Magia'!$D$6:$Z$680,2,FALSE))</f>
        <v>Fuego</v>
      </c>
      <c r="BS52" s="5345"/>
      <c r="BT52" s="5345"/>
      <c r="BU52" s="5345"/>
      <c r="BV52" s="5346"/>
      <c r="BW52" s="1216"/>
      <c r="BX52" s="1210"/>
      <c r="BY52" s="1210"/>
      <c r="BZ52" s="2272">
        <f>BZ41+2</f>
        <v>90</v>
      </c>
      <c r="CA52" s="5356"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57"/>
      <c r="CC52" s="5357"/>
      <c r="CD52" s="5357"/>
      <c r="CE52" s="5357"/>
      <c r="CF52" s="1230" t="s">
        <v>1630</v>
      </c>
      <c r="CG52" s="1231">
        <f>IF(CA52=0,"",VLOOKUP(CA52,'Tablas Magia'!$D$6:$Z$680,3,FALSE))</f>
        <v>90</v>
      </c>
      <c r="CH52" s="5344" t="s">
        <v>8162</v>
      </c>
      <c r="CI52" s="5344"/>
      <c r="CJ52" s="5344"/>
      <c r="CK52" s="5345" t="str">
        <f>IF(CA52=0,"",VLOOKUP(CA52,'Tablas Magia'!$D$6:$Z$680,2,FALSE))</f>
        <v>Fuego</v>
      </c>
      <c r="CL52" s="5345"/>
      <c r="CM52" s="5345"/>
      <c r="CN52" s="5345"/>
      <c r="CO52" s="5346"/>
      <c r="CP52" s="1216"/>
      <c r="CQ52" s="1210"/>
    </row>
    <row r="53" spans="1:95" ht="12" customHeight="1" x14ac:dyDescent="0.2">
      <c r="A53" s="1210"/>
      <c r="B53" s="2258"/>
      <c r="C53" s="5340" t="s">
        <v>8163</v>
      </c>
      <c r="D53" s="5341"/>
      <c r="E53" s="1232" t="s">
        <v>8164</v>
      </c>
      <c r="F53" s="1232" t="s">
        <v>1824</v>
      </c>
      <c r="G53" s="1232" t="s">
        <v>3467</v>
      </c>
      <c r="H53" s="1233" t="s">
        <v>2175</v>
      </c>
      <c r="I53" s="5314" t="str">
        <f>IF(C52=0,"",VLOOKUP(C52,'Tablas Magia'!$D$6:$Z$680,5,FALSE))</f>
        <v>Efecto</v>
      </c>
      <c r="J53" s="5314"/>
      <c r="K53" s="5313" t="s">
        <v>8165</v>
      </c>
      <c r="L53" s="5313"/>
      <c r="M53" s="5314" t="str">
        <f>IF(C52=0,"",VLOOKUP(C52,'Tablas Magia'!$D$6:$Z$680,6,FALSE))</f>
        <v>Activa</v>
      </c>
      <c r="N53" s="5314"/>
      <c r="O53" s="5315" t="s">
        <v>8166</v>
      </c>
      <c r="P53" s="5315"/>
      <c r="Q53" s="1234" t="str">
        <f>IF(C52=0,"",VLOOKUP(C52,'Tablas Magia'!$D$6:$Z$680,4,FALSE))</f>
        <v>Si</v>
      </c>
      <c r="R53" s="1216"/>
      <c r="S53" s="1210"/>
      <c r="T53" s="1210"/>
      <c r="U53" s="2258"/>
      <c r="V53" s="5340" t="s">
        <v>8163</v>
      </c>
      <c r="W53" s="5341"/>
      <c r="X53" s="1232" t="s">
        <v>8164</v>
      </c>
      <c r="Y53" s="1232" t="s">
        <v>1824</v>
      </c>
      <c r="Z53" s="1232" t="s">
        <v>3467</v>
      </c>
      <c r="AA53" s="1233" t="s">
        <v>2175</v>
      </c>
      <c r="AB53" s="5314" t="str">
        <f>IF(V52=0,"",VLOOKUP(V52,'Tablas Magia'!$D$6:$Z$680,5,FALSE))</f>
        <v>Ataque</v>
      </c>
      <c r="AC53" s="5314"/>
      <c r="AD53" s="5313" t="s">
        <v>8165</v>
      </c>
      <c r="AE53" s="5313"/>
      <c r="AF53" s="5314" t="str">
        <f>IF(V52=0,"",VLOOKUP(V52,'Tablas Magia'!$D$6:$Z$680,6,FALSE))</f>
        <v>Activa</v>
      </c>
      <c r="AG53" s="5314"/>
      <c r="AH53" s="5315" t="s">
        <v>8166</v>
      </c>
      <c r="AI53" s="5315"/>
      <c r="AJ53" s="1234" t="str">
        <f>IF(V52=0,"",VLOOKUP(V52,'Tablas Magia'!$D$6:$Z$680,4,FALSE))</f>
        <v>No</v>
      </c>
      <c r="AK53" s="1216"/>
      <c r="AL53" s="1210"/>
      <c r="AM53" s="1210"/>
      <c r="AN53" s="2272"/>
      <c r="AO53" s="5340" t="s">
        <v>8163</v>
      </c>
      <c r="AP53" s="5341"/>
      <c r="AQ53" s="1232" t="s">
        <v>8164</v>
      </c>
      <c r="AR53" s="1232" t="s">
        <v>1824</v>
      </c>
      <c r="AS53" s="1232" t="s">
        <v>3467</v>
      </c>
      <c r="AT53" s="1233" t="s">
        <v>2175</v>
      </c>
      <c r="AU53" s="5314" t="str">
        <f>IF(AO52=0,"",VLOOKUP(AO52,'Tablas Magia'!$D$6:$Z$680,5,FALSE))</f>
        <v>Efecto</v>
      </c>
      <c r="AV53" s="5314"/>
      <c r="AW53" s="5313" t="s">
        <v>8165</v>
      </c>
      <c r="AX53" s="5313"/>
      <c r="AY53" s="5314" t="str">
        <f>IF(AO52=0,"",VLOOKUP(AO52,'Tablas Magia'!$D$6:$Z$680,6,FALSE))</f>
        <v>Activa</v>
      </c>
      <c r="AZ53" s="5314"/>
      <c r="BA53" s="5315" t="s">
        <v>8166</v>
      </c>
      <c r="BB53" s="5315"/>
      <c r="BC53" s="1234" t="str">
        <f>IF(AO52=0,"",VLOOKUP(AO52,'Tablas Magia'!$D$6:$Z$680,4,FALSE))</f>
        <v>No</v>
      </c>
      <c r="BD53" s="1216"/>
      <c r="BE53" s="1210"/>
      <c r="BF53" s="1210"/>
      <c r="BG53" s="2272"/>
      <c r="BH53" s="5340" t="s">
        <v>8163</v>
      </c>
      <c r="BI53" s="5341"/>
      <c r="BJ53" s="1232" t="s">
        <v>8164</v>
      </c>
      <c r="BK53" s="1232" t="s">
        <v>1824</v>
      </c>
      <c r="BL53" s="1232" t="s">
        <v>3467</v>
      </c>
      <c r="BM53" s="1233" t="s">
        <v>2175</v>
      </c>
      <c r="BN53" s="5314" t="str">
        <f>IF(BH52=0,"",VLOOKUP(BH52,'Tablas Magia'!$D$6:$Z$680,5,FALSE))</f>
        <v>Anímico</v>
      </c>
      <c r="BO53" s="5314"/>
      <c r="BP53" s="5313" t="s">
        <v>8165</v>
      </c>
      <c r="BQ53" s="5313"/>
      <c r="BR53" s="5314" t="str">
        <f>IF(BH52=0,"",VLOOKUP(BH52,'Tablas Magia'!$D$6:$Z$680,6,FALSE))</f>
        <v>Activa</v>
      </c>
      <c r="BS53" s="5314"/>
      <c r="BT53" s="5315" t="s">
        <v>8166</v>
      </c>
      <c r="BU53" s="5315"/>
      <c r="BV53" s="1234" t="str">
        <f>IF(BH52=0,"",VLOOKUP(BH52,'Tablas Magia'!$D$6:$Z$680,4,FALSE))</f>
        <v>No</v>
      </c>
      <c r="BW53" s="1216"/>
      <c r="BX53" s="1210"/>
      <c r="BY53" s="1210"/>
      <c r="BZ53" s="2272"/>
      <c r="CA53" s="5340" t="s">
        <v>8163</v>
      </c>
      <c r="CB53" s="5341"/>
      <c r="CC53" s="1232" t="s">
        <v>8164</v>
      </c>
      <c r="CD53" s="1232" t="s">
        <v>1824</v>
      </c>
      <c r="CE53" s="1232" t="s">
        <v>3467</v>
      </c>
      <c r="CF53" s="1233" t="s">
        <v>2175</v>
      </c>
      <c r="CG53" s="5314" t="str">
        <f>IF(CA52=0,"",VLOOKUP(CA52,'Tablas Magia'!$D$6:$Z$680,5,FALSE))</f>
        <v>Ataque</v>
      </c>
      <c r="CH53" s="5314"/>
      <c r="CI53" s="5313" t="s">
        <v>8165</v>
      </c>
      <c r="CJ53" s="5313"/>
      <c r="CK53" s="5314" t="str">
        <f>IF(CA52=0,"",VLOOKUP(CA52,'Tablas Magia'!$D$6:$Z$680,6,FALSE))</f>
        <v>Activa</v>
      </c>
      <c r="CL53" s="5314"/>
      <c r="CM53" s="5315" t="s">
        <v>8166</v>
      </c>
      <c r="CN53" s="5315"/>
      <c r="CO53" s="1234" t="str">
        <f>IF(CA52=0,"",VLOOKUP(CA52,'Tablas Magia'!$D$6:$Z$680,4,FALSE))</f>
        <v>No</v>
      </c>
      <c r="CP53" s="1216"/>
      <c r="CQ53" s="1210"/>
    </row>
    <row r="54" spans="1:95" ht="12" customHeight="1" x14ac:dyDescent="0.2">
      <c r="A54" s="1210"/>
      <c r="B54" s="2258"/>
      <c r="C54" s="5316" t="s">
        <v>1677</v>
      </c>
      <c r="D54" s="5317"/>
      <c r="E54" s="1235">
        <f>IF(C52=0,"",VLOOKUP(C52,'Tablas Magia'!$D$6:$Z$680,7,FALSE))</f>
        <v>6</v>
      </c>
      <c r="F54" s="1235">
        <f>IF(C52=0,"",VLOOKUP(C52,'Tablas Magia'!$D$6:$Z$680,11,FALSE))</f>
        <v>50</v>
      </c>
      <c r="G54" s="1236">
        <f>IF(C52=0,"",VLOOKUP(C52,'Tablas Magia'!$D$6:$Z$680,15,FALSE))</f>
        <v>5</v>
      </c>
      <c r="H54" s="5318" t="str">
        <f>IF(C52=0,"",VLOOKUP(C52,'Tablas Magia'!$D$6:$Z$680,19,FALSE))</f>
        <v>5 Intensidades de calor</v>
      </c>
      <c r="I54" s="5319"/>
      <c r="J54" s="5319"/>
      <c r="K54" s="5319"/>
      <c r="L54" s="5319"/>
      <c r="M54" s="5319"/>
      <c r="N54" s="5319"/>
      <c r="O54" s="5319"/>
      <c r="P54" s="5319"/>
      <c r="Q54" s="5320"/>
      <c r="R54" s="1216"/>
      <c r="S54" s="1210"/>
      <c r="T54" s="1210"/>
      <c r="U54" s="2258"/>
      <c r="V54" s="5316" t="s">
        <v>1677</v>
      </c>
      <c r="W54" s="5317"/>
      <c r="X54" s="1235">
        <f>IF(V52=0,"",VLOOKUP(V52,'Tablas Magia'!$D$6:$Z$680,7,FALSE))</f>
        <v>6</v>
      </c>
      <c r="Y54" s="1235">
        <f>IF(V52=0,"",VLOOKUP(V52,'Tablas Magia'!$D$6:$Z$680,11,FALSE))</f>
        <v>60</v>
      </c>
      <c r="Z54" s="1236" t="str">
        <f>IF(V52=0,"",VLOOKUP(V52,'Tablas Magia'!$D$6:$Z$680,15,FALSE))</f>
        <v>No</v>
      </c>
      <c r="AA54" s="5318" t="str">
        <f>IF(V52=0,"",VLOOKUP(V52,'Tablas Magia'!$D$6:$Z$680,19,FALSE))</f>
        <v>Daño 50</v>
      </c>
      <c r="AB54" s="5319"/>
      <c r="AC54" s="5319"/>
      <c r="AD54" s="5319"/>
      <c r="AE54" s="5319"/>
      <c r="AF54" s="5319"/>
      <c r="AG54" s="5319"/>
      <c r="AH54" s="5319"/>
      <c r="AI54" s="5319"/>
      <c r="AJ54" s="5320"/>
      <c r="AK54" s="1216"/>
      <c r="AL54" s="1210"/>
      <c r="AM54" s="1210"/>
      <c r="AN54" s="2272"/>
      <c r="AO54" s="5316" t="s">
        <v>1677</v>
      </c>
      <c r="AP54" s="5317"/>
      <c r="AQ54" s="1235">
        <f>IF(AO52=0,"",VLOOKUP(AO52,'Tablas Magia'!$D$6:$Z$680,7,FALSE))</f>
        <v>8</v>
      </c>
      <c r="AR54" s="1235">
        <f>IF(AO52=0,"",VLOOKUP(AO52,'Tablas Magia'!$D$6:$Z$680,11,FALSE))</f>
        <v>80</v>
      </c>
      <c r="AS54" s="1236">
        <f>IF(AO52=0,"",VLOOKUP(AO52,'Tablas Magia'!$D$6:$Z$680,15,FALSE))</f>
        <v>10</v>
      </c>
      <c r="AT54" s="5318" t="str">
        <f>IF(AO52=0,"",VLOOKUP(AO52,'Tablas Magia'!$D$6:$Z$680,19,FALSE))</f>
        <v>10 metros de radio/ RF 80</v>
      </c>
      <c r="AU54" s="5319"/>
      <c r="AV54" s="5319"/>
      <c r="AW54" s="5319"/>
      <c r="AX54" s="5319"/>
      <c r="AY54" s="5319"/>
      <c r="AZ54" s="5319"/>
      <c r="BA54" s="5319"/>
      <c r="BB54" s="5319"/>
      <c r="BC54" s="5320"/>
      <c r="BD54" s="1216"/>
      <c r="BE54" s="1210"/>
      <c r="BF54" s="1210"/>
      <c r="BG54" s="2272"/>
      <c r="BH54" s="5316" t="s">
        <v>1677</v>
      </c>
      <c r="BI54" s="5317"/>
      <c r="BJ54" s="1235">
        <f>IF(BH52=0,"",VLOOKUP(BH52,'Tablas Magia'!$D$6:$Z$680,7,FALSE))</f>
        <v>9</v>
      </c>
      <c r="BK54" s="1235">
        <f>IF(BH52=0,"",VLOOKUP(BH52,'Tablas Magia'!$D$6:$Z$680,11,FALSE))</f>
        <v>100</v>
      </c>
      <c r="BL54" s="1236" t="str">
        <f>IF(BH52=0,"",VLOOKUP(BH52,'Tablas Magia'!$D$6:$Z$680,15,FALSE))</f>
        <v>No</v>
      </c>
      <c r="BM54" s="5318" t="str">
        <f>IF(BH52=0,"",VLOOKUP(BH52,'Tablas Magia'!$D$6:$Z$680,19,FALSE))</f>
        <v>Crítico 120/ RM 140</v>
      </c>
      <c r="BN54" s="5319"/>
      <c r="BO54" s="5319"/>
      <c r="BP54" s="5319"/>
      <c r="BQ54" s="5319"/>
      <c r="BR54" s="5319"/>
      <c r="BS54" s="5319"/>
      <c r="BT54" s="5319"/>
      <c r="BU54" s="5319"/>
      <c r="BV54" s="5320"/>
      <c r="BW54" s="1216"/>
      <c r="BX54" s="1210"/>
      <c r="BY54" s="1210"/>
      <c r="BZ54" s="2272"/>
      <c r="CA54" s="5316" t="s">
        <v>1677</v>
      </c>
      <c r="CB54" s="5317"/>
      <c r="CC54" s="1235">
        <f>IF(CA52=0,"",VLOOKUP(CA52,'Tablas Magia'!$D$6:$Z$680,7,FALSE))</f>
        <v>10</v>
      </c>
      <c r="CD54" s="1235">
        <f>IF(CA52=0,"",VLOOKUP(CA52,'Tablas Magia'!$D$6:$Z$680,11,FALSE))</f>
        <v>200</v>
      </c>
      <c r="CE54" s="1236" t="str">
        <f>IF(CA52=0,"",VLOOKUP(CA52,'Tablas Magia'!$D$6:$Z$680,15,FALSE))</f>
        <v>No</v>
      </c>
      <c r="CF54" s="5318" t="str">
        <f>IF(CA52=0,"",VLOOKUP(CA52,'Tablas Magia'!$D$6:$Z$680,19,FALSE))</f>
        <v>1 km de radio</v>
      </c>
      <c r="CG54" s="5319"/>
      <c r="CH54" s="5319"/>
      <c r="CI54" s="5319"/>
      <c r="CJ54" s="5319"/>
      <c r="CK54" s="5319"/>
      <c r="CL54" s="5319"/>
      <c r="CM54" s="5319"/>
      <c r="CN54" s="5319"/>
      <c r="CO54" s="5320"/>
      <c r="CP54" s="1216"/>
      <c r="CQ54" s="1210"/>
    </row>
    <row r="55" spans="1:95" ht="12" customHeight="1" x14ac:dyDescent="0.2">
      <c r="A55" s="1210"/>
      <c r="B55" s="2258"/>
      <c r="C55" s="5321" t="s">
        <v>4705</v>
      </c>
      <c r="D55" s="5322"/>
      <c r="E55" s="1237">
        <f>IF(C52=0,"",VLOOKUP(C52,'Tablas Magia'!$D$6:$Z$680,8,FALSE))</f>
        <v>8</v>
      </c>
      <c r="F55" s="1237">
        <f>IF(C52=0,"",VLOOKUP(C52,'Tablas Magia'!$D$6:$Z$680,12,FALSE))</f>
        <v>140</v>
      </c>
      <c r="G55" s="1238">
        <f>IF(C52=0,"",VLOOKUP(C52,'Tablas Magia'!$D$6:$Z$680,16,FALSE))</f>
        <v>10</v>
      </c>
      <c r="H55" s="5323" t="str">
        <f>IF(C52=0,"",VLOOKUP(C52,'Tablas Magia'!$D$6:$Z$680,20,FALSE))</f>
        <v>12 Intensidades de calor</v>
      </c>
      <c r="I55" s="5324"/>
      <c r="J55" s="5324"/>
      <c r="K55" s="5324"/>
      <c r="L55" s="5324"/>
      <c r="M55" s="5324"/>
      <c r="N55" s="5324"/>
      <c r="O55" s="5324"/>
      <c r="P55" s="5324"/>
      <c r="Q55" s="5325"/>
      <c r="R55" s="1216"/>
      <c r="S55" s="1210"/>
      <c r="T55" s="1210"/>
      <c r="U55" s="2258"/>
      <c r="V55" s="5321" t="s">
        <v>4705</v>
      </c>
      <c r="W55" s="5322"/>
      <c r="X55" s="1237">
        <f>IF(V52=0,"",VLOOKUP(V52,'Tablas Magia'!$D$6:$Z$680,8,FALSE))</f>
        <v>9</v>
      </c>
      <c r="Y55" s="1237">
        <f>IF(V52=0,"",VLOOKUP(V52,'Tablas Magia'!$D$6:$Z$680,12,FALSE))</f>
        <v>90</v>
      </c>
      <c r="Z55" s="1238" t="str">
        <f>IF(V52=0,"",VLOOKUP(V52,'Tablas Magia'!$D$6:$Z$680,16,FALSE))</f>
        <v>No</v>
      </c>
      <c r="AA55" s="5323" t="str">
        <f>IF(V52=0,"",VLOOKUP(V52,'Tablas Magia'!$D$6:$Z$680,20,FALSE))</f>
        <v>Daño 70</v>
      </c>
      <c r="AB55" s="5324"/>
      <c r="AC55" s="5324"/>
      <c r="AD55" s="5324"/>
      <c r="AE55" s="5324"/>
      <c r="AF55" s="5324"/>
      <c r="AG55" s="5324"/>
      <c r="AH55" s="5324"/>
      <c r="AI55" s="5324"/>
      <c r="AJ55" s="5325"/>
      <c r="AK55" s="1216"/>
      <c r="AL55" s="1210"/>
      <c r="AM55" s="1210"/>
      <c r="AN55" s="2272"/>
      <c r="AO55" s="5321" t="s">
        <v>4705</v>
      </c>
      <c r="AP55" s="5322"/>
      <c r="AQ55" s="1237">
        <f>IF(AO52=0,"",VLOOKUP(AO52,'Tablas Magia'!$D$6:$Z$680,8,FALSE))</f>
        <v>10</v>
      </c>
      <c r="AR55" s="1237">
        <f>IF(AO52=0,"",VLOOKUP(AO52,'Tablas Magia'!$D$6:$Z$680,12,FALSE))</f>
        <v>120</v>
      </c>
      <c r="AS55" s="1238">
        <f>IF(AO52=0,"",VLOOKUP(AO52,'Tablas Magia'!$D$6:$Z$680,16,FALSE))</f>
        <v>10</v>
      </c>
      <c r="AT55" s="5323" t="str">
        <f>IF(AO52=0,"",VLOOKUP(AO52,'Tablas Magia'!$D$6:$Z$680,20,FALSE))</f>
        <v>50 metros de radio / RF 100</v>
      </c>
      <c r="AU55" s="5324"/>
      <c r="AV55" s="5324"/>
      <c r="AW55" s="5324"/>
      <c r="AX55" s="5324"/>
      <c r="AY55" s="5324"/>
      <c r="AZ55" s="5324"/>
      <c r="BA55" s="5324"/>
      <c r="BB55" s="5324"/>
      <c r="BC55" s="5325"/>
      <c r="BD55" s="1216"/>
      <c r="BE55" s="1210"/>
      <c r="BF55" s="1210"/>
      <c r="BG55" s="2272"/>
      <c r="BH55" s="5321" t="s">
        <v>4705</v>
      </c>
      <c r="BI55" s="5322"/>
      <c r="BJ55" s="1237">
        <f>IF(BH52=0,"",VLOOKUP(BH52,'Tablas Magia'!$D$6:$Z$680,8,FALSE))</f>
        <v>11</v>
      </c>
      <c r="BK55" s="1237">
        <f>IF(BH52=0,"",VLOOKUP(BH52,'Tablas Magia'!$D$6:$Z$680,12,FALSE))</f>
        <v>140</v>
      </c>
      <c r="BL55" s="1238" t="str">
        <f>IF(BH52=0,"",VLOOKUP(BH52,'Tablas Magia'!$D$6:$Z$680,16,FALSE))</f>
        <v>No</v>
      </c>
      <c r="BM55" s="5323" t="str">
        <f>IF(BH52=0,"",VLOOKUP(BH52,'Tablas Magia'!$D$6:$Z$680,20,FALSE))</f>
        <v>Crítico 140/ RM 160</v>
      </c>
      <c r="BN55" s="5324"/>
      <c r="BO55" s="5324"/>
      <c r="BP55" s="5324"/>
      <c r="BQ55" s="5324"/>
      <c r="BR55" s="5324"/>
      <c r="BS55" s="5324"/>
      <c r="BT55" s="5324"/>
      <c r="BU55" s="5324"/>
      <c r="BV55" s="5325"/>
      <c r="BW55" s="1216"/>
      <c r="BX55" s="1210"/>
      <c r="BY55" s="1210"/>
      <c r="BZ55" s="2272"/>
      <c r="CA55" s="5321" t="s">
        <v>4705</v>
      </c>
      <c r="CB55" s="5322"/>
      <c r="CC55" s="1237">
        <f>IF(CA52=0,"",VLOOKUP(CA52,'Tablas Magia'!$D$6:$Z$680,8,FALSE))</f>
        <v>13</v>
      </c>
      <c r="CD55" s="1237">
        <f>IF(CA52=0,"",VLOOKUP(CA52,'Tablas Magia'!$D$6:$Z$680,12,FALSE))</f>
        <v>300</v>
      </c>
      <c r="CE55" s="1238" t="str">
        <f>IF(CA52=0,"",VLOOKUP(CA52,'Tablas Magia'!$D$6:$Z$680,16,FALSE))</f>
        <v>No</v>
      </c>
      <c r="CF55" s="5323" t="str">
        <f>IF(CA52=0,"",VLOOKUP(CA52,'Tablas Magia'!$D$6:$Z$680,20,FALSE))</f>
        <v>5 km de radio</v>
      </c>
      <c r="CG55" s="5324"/>
      <c r="CH55" s="5324"/>
      <c r="CI55" s="5324"/>
      <c r="CJ55" s="5324"/>
      <c r="CK55" s="5324"/>
      <c r="CL55" s="5324"/>
      <c r="CM55" s="5324"/>
      <c r="CN55" s="5324"/>
      <c r="CO55" s="5325"/>
      <c r="CP55" s="1216"/>
      <c r="CQ55" s="1210"/>
    </row>
    <row r="56" spans="1:95" ht="12" customHeight="1" x14ac:dyDescent="0.2">
      <c r="A56" s="1210"/>
      <c r="B56" s="2258"/>
      <c r="C56" s="5316" t="s">
        <v>4706</v>
      </c>
      <c r="D56" s="5317"/>
      <c r="E56" s="1235">
        <f>IF(C52=0,"",VLOOKUP(C52,'Tablas Magia'!$D$6:$Z$680,9,FALSE))</f>
        <v>10</v>
      </c>
      <c r="F56" s="1235">
        <f>IF(C52=0,"",VLOOKUP(C52,'Tablas Magia'!$D$6:$Z$680,13,FALSE))</f>
        <v>200</v>
      </c>
      <c r="G56" s="1236">
        <f>IF(C52=0,"",VLOOKUP(C52,'Tablas Magia'!$D$6:$Z$680,17,FALSE))</f>
        <v>10</v>
      </c>
      <c r="H56" s="5318" t="str">
        <f>IF(C52=0,"",VLOOKUP(C52,'Tablas Magia'!$D$6:$Z$680,21,FALSE))</f>
        <v>20 Intensidades de fuego</v>
      </c>
      <c r="I56" s="5319"/>
      <c r="J56" s="5319"/>
      <c r="K56" s="5319"/>
      <c r="L56" s="5319"/>
      <c r="M56" s="5319"/>
      <c r="N56" s="5319"/>
      <c r="O56" s="5319"/>
      <c r="P56" s="5319"/>
      <c r="Q56" s="5320"/>
      <c r="R56" s="1216"/>
      <c r="S56" s="1210"/>
      <c r="T56" s="1210"/>
      <c r="U56" s="2258"/>
      <c r="V56" s="5316" t="s">
        <v>4706</v>
      </c>
      <c r="W56" s="5317"/>
      <c r="X56" s="1235">
        <f>IF(V52=0,"",VLOOKUP(V52,'Tablas Magia'!$D$6:$Z$680,9,FALSE))</f>
        <v>12</v>
      </c>
      <c r="Y56" s="1235">
        <f>IF(V52=0,"",VLOOKUP(V52,'Tablas Magia'!$D$6:$Z$680,13,FALSE))</f>
        <v>120</v>
      </c>
      <c r="Z56" s="1236" t="str">
        <f>IF(V52=0,"",VLOOKUP(V52,'Tablas Magia'!$D$6:$Z$680,17,FALSE))</f>
        <v>No</v>
      </c>
      <c r="AA56" s="5318" t="str">
        <f>IF(V52=0,"",VLOOKUP(V52,'Tablas Magia'!$D$6:$Z$680,21,FALSE))</f>
        <v>Daño 90</v>
      </c>
      <c r="AB56" s="5319"/>
      <c r="AC56" s="5319"/>
      <c r="AD56" s="5319"/>
      <c r="AE56" s="5319"/>
      <c r="AF56" s="5319"/>
      <c r="AG56" s="5319"/>
      <c r="AH56" s="5319"/>
      <c r="AI56" s="5319"/>
      <c r="AJ56" s="5320"/>
      <c r="AK56" s="1216"/>
      <c r="AL56" s="1210"/>
      <c r="AM56" s="1210"/>
      <c r="AN56" s="2272"/>
      <c r="AO56" s="5316" t="s">
        <v>4706</v>
      </c>
      <c r="AP56" s="5317"/>
      <c r="AQ56" s="1235">
        <f>IF(AO52=0,"",VLOOKUP(AO52,'Tablas Magia'!$D$6:$Z$680,9,FALSE))</f>
        <v>12</v>
      </c>
      <c r="AR56" s="1235">
        <f>IF(AO52=0,"",VLOOKUP(AO52,'Tablas Magia'!$D$6:$Z$680,13,FALSE))</f>
        <v>180</v>
      </c>
      <c r="AS56" s="1236">
        <f>IF(AO52=0,"",VLOOKUP(AO52,'Tablas Magia'!$D$6:$Z$680,17,FALSE))</f>
        <v>15</v>
      </c>
      <c r="AT56" s="5318" t="str">
        <f>IF(AO52=0,"",VLOOKUP(AO52,'Tablas Magia'!$D$6:$Z$680,21,FALSE))</f>
        <v>100 metros de radio / RF 120</v>
      </c>
      <c r="AU56" s="5319"/>
      <c r="AV56" s="5319"/>
      <c r="AW56" s="5319"/>
      <c r="AX56" s="5319"/>
      <c r="AY56" s="5319"/>
      <c r="AZ56" s="5319"/>
      <c r="BA56" s="5319"/>
      <c r="BB56" s="5319"/>
      <c r="BC56" s="5320"/>
      <c r="BD56" s="1216"/>
      <c r="BE56" s="1210"/>
      <c r="BF56" s="1210"/>
      <c r="BG56" s="2272"/>
      <c r="BH56" s="5316" t="s">
        <v>4706</v>
      </c>
      <c r="BI56" s="5317"/>
      <c r="BJ56" s="1235">
        <f>IF(BH52=0,"",VLOOKUP(BH52,'Tablas Magia'!$D$6:$Z$680,9,FALSE))</f>
        <v>13</v>
      </c>
      <c r="BK56" s="1235">
        <f>IF(BH52=0,"",VLOOKUP(BH52,'Tablas Magia'!$D$6:$Z$680,13,FALSE))</f>
        <v>200</v>
      </c>
      <c r="BL56" s="1236" t="str">
        <f>IF(BH52=0,"",VLOOKUP(BH52,'Tablas Magia'!$D$6:$Z$680,17,FALSE))</f>
        <v>No</v>
      </c>
      <c r="BM56" s="5318" t="str">
        <f>IF(BH52=0,"",VLOOKUP(BH52,'Tablas Magia'!$D$6:$Z$680,21,FALSE))</f>
        <v>Crítico 180/ RM 180</v>
      </c>
      <c r="BN56" s="5319"/>
      <c r="BO56" s="5319"/>
      <c r="BP56" s="5319"/>
      <c r="BQ56" s="5319"/>
      <c r="BR56" s="5319"/>
      <c r="BS56" s="5319"/>
      <c r="BT56" s="5319"/>
      <c r="BU56" s="5319"/>
      <c r="BV56" s="5320"/>
      <c r="BW56" s="1216"/>
      <c r="BX56" s="1210"/>
      <c r="BY56" s="1210"/>
      <c r="BZ56" s="2272"/>
      <c r="CA56" s="5316" t="s">
        <v>4706</v>
      </c>
      <c r="CB56" s="5317"/>
      <c r="CC56" s="1235">
        <f>IF(CA52=0,"",VLOOKUP(CA52,'Tablas Magia'!$D$6:$Z$680,9,FALSE))</f>
        <v>16</v>
      </c>
      <c r="CD56" s="1235">
        <f>IF(CA52=0,"",VLOOKUP(CA52,'Tablas Magia'!$D$6:$Z$680,13,FALSE))</f>
        <v>400</v>
      </c>
      <c r="CE56" s="1236" t="str">
        <f>IF(CA52=0,"",VLOOKUP(CA52,'Tablas Magia'!$D$6:$Z$680,17,FALSE))</f>
        <v>No</v>
      </c>
      <c r="CF56" s="5318" t="str">
        <f>IF(CA52=0,"",VLOOKUP(CA52,'Tablas Magia'!$D$6:$Z$680,21,FALSE))</f>
        <v>10 km de radio</v>
      </c>
      <c r="CG56" s="5319"/>
      <c r="CH56" s="5319"/>
      <c r="CI56" s="5319"/>
      <c r="CJ56" s="5319"/>
      <c r="CK56" s="5319"/>
      <c r="CL56" s="5319"/>
      <c r="CM56" s="5319"/>
      <c r="CN56" s="5319"/>
      <c r="CO56" s="5320"/>
      <c r="CP56" s="1216"/>
      <c r="CQ56" s="1210"/>
    </row>
    <row r="57" spans="1:95" ht="12" customHeight="1" thickBot="1" x14ac:dyDescent="0.25">
      <c r="A57" s="1210"/>
      <c r="B57" s="2258"/>
      <c r="C57" s="5326" t="s">
        <v>4707</v>
      </c>
      <c r="D57" s="5327"/>
      <c r="E57" s="1239">
        <f>IF(C52=0,"",VLOOKUP(C52,'Tablas Magia'!$D$6:$Z$680,10,FALSE))</f>
        <v>13</v>
      </c>
      <c r="F57" s="1239">
        <f>IF(C52=0,"",VLOOKUP(C52,'Tablas Magia'!$D$6:$Z$680,14,FALSE))</f>
        <v>300</v>
      </c>
      <c r="G57" s="1240">
        <f>IF(C52=0,"",VLOOKUP(C52,'Tablas Magia'!$D$6:$Z$680,18,FALSE))</f>
        <v>15</v>
      </c>
      <c r="H57" s="5328" t="str">
        <f>IF(C52=0,"",VLOOKUP(C52,'Tablas Magia'!$D$6:$Z$680,22,FALSE))</f>
        <v>30 Intensidades de fuego</v>
      </c>
      <c r="I57" s="5329"/>
      <c r="J57" s="5329"/>
      <c r="K57" s="5329"/>
      <c r="L57" s="5329"/>
      <c r="M57" s="5329"/>
      <c r="N57" s="5329"/>
      <c r="O57" s="5329"/>
      <c r="P57" s="5329"/>
      <c r="Q57" s="5330"/>
      <c r="R57" s="1216"/>
      <c r="S57" s="1210"/>
      <c r="T57" s="1210"/>
      <c r="U57" s="2258"/>
      <c r="V57" s="5326" t="s">
        <v>4707</v>
      </c>
      <c r="W57" s="5327"/>
      <c r="X57" s="1239">
        <f>IF(V52=0,"",VLOOKUP(V52,'Tablas Magia'!$D$6:$Z$680,10,FALSE))</f>
        <v>15</v>
      </c>
      <c r="Y57" s="1239">
        <f>IF(V52=0,"",VLOOKUP(V52,'Tablas Magia'!$D$6:$Z$680,14,FALSE))</f>
        <v>150</v>
      </c>
      <c r="Z57" s="1240" t="str">
        <f>IF(V52=0,"",VLOOKUP(V52,'Tablas Magia'!$D$6:$Z$680,18,FALSE))</f>
        <v>No</v>
      </c>
      <c r="AA57" s="5328" t="str">
        <f>IF(V52=0,"",VLOOKUP(V52,'Tablas Magia'!$D$6:$Z$680,22,FALSE))</f>
        <v>Daño 110</v>
      </c>
      <c r="AB57" s="5329"/>
      <c r="AC57" s="5329"/>
      <c r="AD57" s="5329"/>
      <c r="AE57" s="5329"/>
      <c r="AF57" s="5329"/>
      <c r="AG57" s="5329"/>
      <c r="AH57" s="5329"/>
      <c r="AI57" s="5329"/>
      <c r="AJ57" s="5330"/>
      <c r="AK57" s="1216"/>
      <c r="AL57" s="1210"/>
      <c r="AM57" s="1210"/>
      <c r="AN57" s="2272"/>
      <c r="AO57" s="5326" t="s">
        <v>4707</v>
      </c>
      <c r="AP57" s="5327"/>
      <c r="AQ57" s="1239">
        <f>IF(AO52=0,"",VLOOKUP(AO52,'Tablas Magia'!$D$6:$Z$680,10,FALSE))</f>
        <v>14</v>
      </c>
      <c r="AR57" s="1239">
        <f>IF(AO52=0,"",VLOOKUP(AO52,'Tablas Magia'!$D$6:$Z$680,14,FALSE))</f>
        <v>240</v>
      </c>
      <c r="AS57" s="1240">
        <f>IF(AO52=0,"",VLOOKUP(AO52,'Tablas Magia'!$D$6:$Z$680,18,FALSE))</f>
        <v>15</v>
      </c>
      <c r="AT57" s="5328" t="str">
        <f>IF(AO52=0,"",VLOOKUP(AO52,'Tablas Magia'!$D$6:$Z$680,22,FALSE))</f>
        <v>150 metros de radio / RF 140</v>
      </c>
      <c r="AU57" s="5329"/>
      <c r="AV57" s="5329"/>
      <c r="AW57" s="5329"/>
      <c r="AX57" s="5329"/>
      <c r="AY57" s="5329"/>
      <c r="AZ57" s="5329"/>
      <c r="BA57" s="5329"/>
      <c r="BB57" s="5329"/>
      <c r="BC57" s="5330"/>
      <c r="BD57" s="1216"/>
      <c r="BE57" s="1210"/>
      <c r="BF57" s="1210"/>
      <c r="BG57" s="2272"/>
      <c r="BH57" s="5326" t="s">
        <v>4707</v>
      </c>
      <c r="BI57" s="5327"/>
      <c r="BJ57" s="1239">
        <f>IF(BH52=0,"",VLOOKUP(BH52,'Tablas Magia'!$D$6:$Z$680,10,FALSE))</f>
        <v>16</v>
      </c>
      <c r="BK57" s="1239">
        <f>IF(BH52=0,"",VLOOKUP(BH52,'Tablas Magia'!$D$6:$Z$680,14,FALSE))</f>
        <v>280</v>
      </c>
      <c r="BL57" s="1240" t="str">
        <f>IF(BH52=0,"",VLOOKUP(BH52,'Tablas Magia'!$D$6:$Z$680,18,FALSE))</f>
        <v>No</v>
      </c>
      <c r="BM57" s="5328" t="str">
        <f>IF(BH52=0,"",VLOOKUP(BH52,'Tablas Magia'!$D$6:$Z$680,22,FALSE))</f>
        <v>Crítico 220/ RM 200</v>
      </c>
      <c r="BN57" s="5329"/>
      <c r="BO57" s="5329"/>
      <c r="BP57" s="5329"/>
      <c r="BQ57" s="5329"/>
      <c r="BR57" s="5329"/>
      <c r="BS57" s="5329"/>
      <c r="BT57" s="5329"/>
      <c r="BU57" s="5329"/>
      <c r="BV57" s="5330"/>
      <c r="BW57" s="1216"/>
      <c r="BX57" s="1210"/>
      <c r="BY57" s="1210"/>
      <c r="BZ57" s="2272"/>
      <c r="CA57" s="5326" t="s">
        <v>4707</v>
      </c>
      <c r="CB57" s="5327"/>
      <c r="CC57" s="1239">
        <f>IF(CA52=0,"",VLOOKUP(CA52,'Tablas Magia'!$D$6:$Z$680,10,FALSE))</f>
        <v>18</v>
      </c>
      <c r="CD57" s="1239">
        <f>IF(CA52=0,"",VLOOKUP(CA52,'Tablas Magia'!$D$6:$Z$680,14,FALSE))</f>
        <v>500</v>
      </c>
      <c r="CE57" s="1240" t="str">
        <f>IF(CA52=0,"",VLOOKUP(CA52,'Tablas Magia'!$D$6:$Z$680,18,FALSE))</f>
        <v>No</v>
      </c>
      <c r="CF57" s="5328" t="str">
        <f>IF(CA52=0,"",VLOOKUP(CA52,'Tablas Magia'!$D$6:$Z$680,22,FALSE))</f>
        <v>15 km de radio</v>
      </c>
      <c r="CG57" s="5329"/>
      <c r="CH57" s="5329"/>
      <c r="CI57" s="5329"/>
      <c r="CJ57" s="5329"/>
      <c r="CK57" s="5329"/>
      <c r="CL57" s="5329"/>
      <c r="CM57" s="5329"/>
      <c r="CN57" s="5329"/>
      <c r="CO57" s="5330"/>
      <c r="CP57" s="1216"/>
      <c r="CQ57" s="1210"/>
    </row>
    <row r="58" spans="1:95" ht="12" customHeight="1" x14ac:dyDescent="0.2">
      <c r="A58" s="1210"/>
      <c r="B58" s="2258"/>
      <c r="C58" s="5331"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32"/>
      <c r="E58" s="5332"/>
      <c r="F58" s="5332"/>
      <c r="G58" s="5332"/>
      <c r="H58" s="5332"/>
      <c r="I58" s="5332"/>
      <c r="J58" s="5332"/>
      <c r="K58" s="5332"/>
      <c r="L58" s="5332"/>
      <c r="M58" s="5332"/>
      <c r="N58" s="5332"/>
      <c r="O58" s="5332"/>
      <c r="P58" s="5332"/>
      <c r="Q58" s="5333"/>
      <c r="R58" s="1216"/>
      <c r="S58" s="1210"/>
      <c r="T58" s="1210"/>
      <c r="U58" s="2258"/>
      <c r="V58" s="5331"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32"/>
      <c r="X58" s="5332"/>
      <c r="Y58" s="5332"/>
      <c r="Z58" s="5332"/>
      <c r="AA58" s="5332"/>
      <c r="AB58" s="5332"/>
      <c r="AC58" s="5332"/>
      <c r="AD58" s="5332"/>
      <c r="AE58" s="5332"/>
      <c r="AF58" s="5332"/>
      <c r="AG58" s="5332"/>
      <c r="AH58" s="5332"/>
      <c r="AI58" s="5332"/>
      <c r="AJ58" s="5333"/>
      <c r="AK58" s="1216"/>
      <c r="AL58" s="1210"/>
      <c r="AM58" s="1210"/>
      <c r="AN58" s="2272"/>
      <c r="AO58" s="5331"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32"/>
      <c r="AQ58" s="5332"/>
      <c r="AR58" s="5332"/>
      <c r="AS58" s="5332"/>
      <c r="AT58" s="5332"/>
      <c r="AU58" s="5332"/>
      <c r="AV58" s="5332"/>
      <c r="AW58" s="5332"/>
      <c r="AX58" s="5332"/>
      <c r="AY58" s="5332"/>
      <c r="AZ58" s="5332"/>
      <c r="BA58" s="5332"/>
      <c r="BB58" s="5332"/>
      <c r="BC58" s="5333"/>
      <c r="BD58" s="1216"/>
      <c r="BE58" s="1210"/>
      <c r="BF58" s="1210"/>
      <c r="BG58" s="2272"/>
      <c r="BH58" s="5331"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32"/>
      <c r="BJ58" s="5332"/>
      <c r="BK58" s="5332"/>
      <c r="BL58" s="5332"/>
      <c r="BM58" s="5332"/>
      <c r="BN58" s="5332"/>
      <c r="BO58" s="5332"/>
      <c r="BP58" s="5332"/>
      <c r="BQ58" s="5332"/>
      <c r="BR58" s="5332"/>
      <c r="BS58" s="5332"/>
      <c r="BT58" s="5332"/>
      <c r="BU58" s="5332"/>
      <c r="BV58" s="5333"/>
      <c r="BW58" s="1216"/>
      <c r="BX58" s="1210"/>
      <c r="BY58" s="1210"/>
      <c r="BZ58" s="2272"/>
      <c r="CA58" s="5331" t="str">
        <f>IF(CA52=0,"",VLOOKUP(CA52,'Tablas Magia'!$D$6:$Z$680,23,FALSE))</f>
        <v>Proyecta una explosión ígnea, que ataca en área con un daño base de 200 puntos. Ataca en la TA de calor, aunque es capaz de dañar energía. No es posible designar blancos en el interior del conjuro.</v>
      </c>
      <c r="CB58" s="5332"/>
      <c r="CC58" s="5332"/>
      <c r="CD58" s="5332"/>
      <c r="CE58" s="5332"/>
      <c r="CF58" s="5332"/>
      <c r="CG58" s="5332"/>
      <c r="CH58" s="5332"/>
      <c r="CI58" s="5332"/>
      <c r="CJ58" s="5332"/>
      <c r="CK58" s="5332"/>
      <c r="CL58" s="5332"/>
      <c r="CM58" s="5332"/>
      <c r="CN58" s="5332"/>
      <c r="CO58" s="5333"/>
      <c r="CP58" s="1216"/>
      <c r="CQ58" s="1210"/>
    </row>
    <row r="59" spans="1:95" ht="12" customHeight="1" x14ac:dyDescent="0.2">
      <c r="A59" s="1210"/>
      <c r="B59" s="2258"/>
      <c r="C59" s="5334"/>
      <c r="D59" s="5335"/>
      <c r="E59" s="5335"/>
      <c r="F59" s="5335"/>
      <c r="G59" s="5335"/>
      <c r="H59" s="5335"/>
      <c r="I59" s="5335"/>
      <c r="J59" s="5335"/>
      <c r="K59" s="5335"/>
      <c r="L59" s="5335"/>
      <c r="M59" s="5335"/>
      <c r="N59" s="5335"/>
      <c r="O59" s="5335"/>
      <c r="P59" s="5335"/>
      <c r="Q59" s="5336"/>
      <c r="R59" s="1216"/>
      <c r="S59" s="1210"/>
      <c r="T59" s="1210"/>
      <c r="U59" s="2258"/>
      <c r="V59" s="5334"/>
      <c r="W59" s="5335"/>
      <c r="X59" s="5335"/>
      <c r="Y59" s="5335"/>
      <c r="Z59" s="5335"/>
      <c r="AA59" s="5335"/>
      <c r="AB59" s="5335"/>
      <c r="AC59" s="5335"/>
      <c r="AD59" s="5335"/>
      <c r="AE59" s="5335"/>
      <c r="AF59" s="5335"/>
      <c r="AG59" s="5335"/>
      <c r="AH59" s="5335"/>
      <c r="AI59" s="5335"/>
      <c r="AJ59" s="5336"/>
      <c r="AK59" s="1216"/>
      <c r="AL59" s="1210"/>
      <c r="AM59" s="1210"/>
      <c r="AN59" s="2272"/>
      <c r="AO59" s="5334"/>
      <c r="AP59" s="5335"/>
      <c r="AQ59" s="5335"/>
      <c r="AR59" s="5335"/>
      <c r="AS59" s="5335"/>
      <c r="AT59" s="5335"/>
      <c r="AU59" s="5335"/>
      <c r="AV59" s="5335"/>
      <c r="AW59" s="5335"/>
      <c r="AX59" s="5335"/>
      <c r="AY59" s="5335"/>
      <c r="AZ59" s="5335"/>
      <c r="BA59" s="5335"/>
      <c r="BB59" s="5335"/>
      <c r="BC59" s="5336"/>
      <c r="BD59" s="1216"/>
      <c r="BE59" s="1210"/>
      <c r="BF59" s="1210"/>
      <c r="BG59" s="2272"/>
      <c r="BH59" s="5334"/>
      <c r="BI59" s="5335"/>
      <c r="BJ59" s="5335"/>
      <c r="BK59" s="5335"/>
      <c r="BL59" s="5335"/>
      <c r="BM59" s="5335"/>
      <c r="BN59" s="5335"/>
      <c r="BO59" s="5335"/>
      <c r="BP59" s="5335"/>
      <c r="BQ59" s="5335"/>
      <c r="BR59" s="5335"/>
      <c r="BS59" s="5335"/>
      <c r="BT59" s="5335"/>
      <c r="BU59" s="5335"/>
      <c r="BV59" s="5336"/>
      <c r="BW59" s="1216"/>
      <c r="BX59" s="1210"/>
      <c r="BY59" s="1210"/>
      <c r="BZ59" s="2272"/>
      <c r="CA59" s="5334"/>
      <c r="CB59" s="5335"/>
      <c r="CC59" s="5335"/>
      <c r="CD59" s="5335"/>
      <c r="CE59" s="5335"/>
      <c r="CF59" s="5335"/>
      <c r="CG59" s="5335"/>
      <c r="CH59" s="5335"/>
      <c r="CI59" s="5335"/>
      <c r="CJ59" s="5335"/>
      <c r="CK59" s="5335"/>
      <c r="CL59" s="5335"/>
      <c r="CM59" s="5335"/>
      <c r="CN59" s="5335"/>
      <c r="CO59" s="5336"/>
      <c r="CP59" s="1216"/>
      <c r="CQ59" s="1210"/>
    </row>
    <row r="60" spans="1:95" ht="12" customHeight="1" x14ac:dyDescent="0.2">
      <c r="A60" s="1210"/>
      <c r="B60" s="2258"/>
      <c r="C60" s="5334"/>
      <c r="D60" s="5335"/>
      <c r="E60" s="5335"/>
      <c r="F60" s="5335"/>
      <c r="G60" s="5335"/>
      <c r="H60" s="5335"/>
      <c r="I60" s="5335"/>
      <c r="J60" s="5335"/>
      <c r="K60" s="5335"/>
      <c r="L60" s="5335"/>
      <c r="M60" s="5335"/>
      <c r="N60" s="5335"/>
      <c r="O60" s="5335"/>
      <c r="P60" s="5335"/>
      <c r="Q60" s="5336"/>
      <c r="R60" s="1216"/>
      <c r="S60" s="1210"/>
      <c r="T60" s="1210"/>
      <c r="U60" s="2258"/>
      <c r="V60" s="5334"/>
      <c r="W60" s="5335"/>
      <c r="X60" s="5335"/>
      <c r="Y60" s="5335"/>
      <c r="Z60" s="5335"/>
      <c r="AA60" s="5335"/>
      <c r="AB60" s="5335"/>
      <c r="AC60" s="5335"/>
      <c r="AD60" s="5335"/>
      <c r="AE60" s="5335"/>
      <c r="AF60" s="5335"/>
      <c r="AG60" s="5335"/>
      <c r="AH60" s="5335"/>
      <c r="AI60" s="5335"/>
      <c r="AJ60" s="5336"/>
      <c r="AK60" s="1216"/>
      <c r="AL60" s="1210"/>
      <c r="AM60" s="1210"/>
      <c r="AN60" s="2272"/>
      <c r="AO60" s="5334"/>
      <c r="AP60" s="5335"/>
      <c r="AQ60" s="5335"/>
      <c r="AR60" s="5335"/>
      <c r="AS60" s="5335"/>
      <c r="AT60" s="5335"/>
      <c r="AU60" s="5335"/>
      <c r="AV60" s="5335"/>
      <c r="AW60" s="5335"/>
      <c r="AX60" s="5335"/>
      <c r="AY60" s="5335"/>
      <c r="AZ60" s="5335"/>
      <c r="BA60" s="5335"/>
      <c r="BB60" s="5335"/>
      <c r="BC60" s="5336"/>
      <c r="BD60" s="1216"/>
      <c r="BE60" s="1210"/>
      <c r="BF60" s="1210"/>
      <c r="BG60" s="2272"/>
      <c r="BH60" s="5334"/>
      <c r="BI60" s="5335"/>
      <c r="BJ60" s="5335"/>
      <c r="BK60" s="5335"/>
      <c r="BL60" s="5335"/>
      <c r="BM60" s="5335"/>
      <c r="BN60" s="5335"/>
      <c r="BO60" s="5335"/>
      <c r="BP60" s="5335"/>
      <c r="BQ60" s="5335"/>
      <c r="BR60" s="5335"/>
      <c r="BS60" s="5335"/>
      <c r="BT60" s="5335"/>
      <c r="BU60" s="5335"/>
      <c r="BV60" s="5336"/>
      <c r="BW60" s="1216"/>
      <c r="BX60" s="1210"/>
      <c r="BY60" s="1210"/>
      <c r="BZ60" s="2272"/>
      <c r="CA60" s="5334"/>
      <c r="CB60" s="5335"/>
      <c r="CC60" s="5335"/>
      <c r="CD60" s="5335"/>
      <c r="CE60" s="5335"/>
      <c r="CF60" s="5335"/>
      <c r="CG60" s="5335"/>
      <c r="CH60" s="5335"/>
      <c r="CI60" s="5335"/>
      <c r="CJ60" s="5335"/>
      <c r="CK60" s="5335"/>
      <c r="CL60" s="5335"/>
      <c r="CM60" s="5335"/>
      <c r="CN60" s="5335"/>
      <c r="CO60" s="5336"/>
      <c r="CP60" s="1216"/>
      <c r="CQ60" s="1210"/>
    </row>
    <row r="61" spans="1:95" ht="12" customHeight="1" thickBot="1" x14ac:dyDescent="0.25">
      <c r="A61" s="1210"/>
      <c r="B61" s="2258"/>
      <c r="C61" s="5337"/>
      <c r="D61" s="5338"/>
      <c r="E61" s="5338"/>
      <c r="F61" s="5338"/>
      <c r="G61" s="5338"/>
      <c r="H61" s="5338"/>
      <c r="I61" s="5338"/>
      <c r="J61" s="5338"/>
      <c r="K61" s="5338"/>
      <c r="L61" s="5338"/>
      <c r="M61" s="5338"/>
      <c r="N61" s="5338"/>
      <c r="O61" s="5338"/>
      <c r="P61" s="5338"/>
      <c r="Q61" s="5339"/>
      <c r="R61" s="1216"/>
      <c r="S61" s="1210"/>
      <c r="T61" s="1210"/>
      <c r="U61" s="2258"/>
      <c r="V61" s="5337"/>
      <c r="W61" s="5338"/>
      <c r="X61" s="5338"/>
      <c r="Y61" s="5338"/>
      <c r="Z61" s="5338"/>
      <c r="AA61" s="5338"/>
      <c r="AB61" s="5338"/>
      <c r="AC61" s="5338"/>
      <c r="AD61" s="5338"/>
      <c r="AE61" s="5338"/>
      <c r="AF61" s="5338"/>
      <c r="AG61" s="5338"/>
      <c r="AH61" s="5338"/>
      <c r="AI61" s="5338"/>
      <c r="AJ61" s="5339"/>
      <c r="AK61" s="1216"/>
      <c r="AL61" s="1210"/>
      <c r="AM61" s="1210"/>
      <c r="AN61" s="2272"/>
      <c r="AO61" s="5337"/>
      <c r="AP61" s="5338"/>
      <c r="AQ61" s="5338"/>
      <c r="AR61" s="5338"/>
      <c r="AS61" s="5338"/>
      <c r="AT61" s="5338"/>
      <c r="AU61" s="5338"/>
      <c r="AV61" s="5338"/>
      <c r="AW61" s="5338"/>
      <c r="AX61" s="5338"/>
      <c r="AY61" s="5338"/>
      <c r="AZ61" s="5338"/>
      <c r="BA61" s="5338"/>
      <c r="BB61" s="5338"/>
      <c r="BC61" s="5339"/>
      <c r="BD61" s="1216"/>
      <c r="BE61" s="1210"/>
      <c r="BF61" s="1210"/>
      <c r="BG61" s="2272"/>
      <c r="BH61" s="5337"/>
      <c r="BI61" s="5338"/>
      <c r="BJ61" s="5338"/>
      <c r="BK61" s="5338"/>
      <c r="BL61" s="5338"/>
      <c r="BM61" s="5338"/>
      <c r="BN61" s="5338"/>
      <c r="BO61" s="5338"/>
      <c r="BP61" s="5338"/>
      <c r="BQ61" s="5338"/>
      <c r="BR61" s="5338"/>
      <c r="BS61" s="5338"/>
      <c r="BT61" s="5338"/>
      <c r="BU61" s="5338"/>
      <c r="BV61" s="5339"/>
      <c r="BW61" s="1216"/>
      <c r="BX61" s="1210"/>
      <c r="BY61" s="1210"/>
      <c r="BZ61" s="2272"/>
      <c r="CA61" s="5337"/>
      <c r="CB61" s="5338"/>
      <c r="CC61" s="5338"/>
      <c r="CD61" s="5338"/>
      <c r="CE61" s="5338"/>
      <c r="CF61" s="5338"/>
      <c r="CG61" s="5338"/>
      <c r="CH61" s="5338"/>
      <c r="CI61" s="5338"/>
      <c r="CJ61" s="5338"/>
      <c r="CK61" s="5338"/>
      <c r="CL61" s="5338"/>
      <c r="CM61" s="5338"/>
      <c r="CN61" s="5338"/>
      <c r="CO61" s="5339"/>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3" t="str">
        <f>B64&amp;"-"&amp;B108</f>
        <v>12-20</v>
      </c>
      <c r="D63" s="5353"/>
      <c r="E63" s="5353"/>
      <c r="F63" s="5353"/>
      <c r="G63" s="5353"/>
      <c r="H63" s="5353"/>
      <c r="I63" s="5353"/>
      <c r="J63" s="5353"/>
      <c r="K63" s="5353"/>
      <c r="L63" s="5353"/>
      <c r="M63" s="5353"/>
      <c r="N63" s="5353"/>
      <c r="O63" s="5353"/>
      <c r="P63" s="5353"/>
      <c r="Q63" s="5353"/>
      <c r="R63" s="2271"/>
      <c r="S63" s="1210"/>
      <c r="T63" s="1210"/>
      <c r="U63" s="2275"/>
      <c r="V63" s="5353" t="str">
        <f>U64&amp;"-"&amp;U108</f>
        <v>32-40</v>
      </c>
      <c r="W63" s="5353"/>
      <c r="X63" s="5353"/>
      <c r="Y63" s="5353"/>
      <c r="Z63" s="5353"/>
      <c r="AA63" s="5353"/>
      <c r="AB63" s="5353"/>
      <c r="AC63" s="5353"/>
      <c r="AD63" s="5353"/>
      <c r="AE63" s="5353"/>
      <c r="AF63" s="5353"/>
      <c r="AG63" s="5353"/>
      <c r="AH63" s="5353"/>
      <c r="AI63" s="5353"/>
      <c r="AJ63" s="5353"/>
      <c r="AK63" s="2270"/>
      <c r="AL63" s="1210"/>
      <c r="AM63" s="2273"/>
      <c r="AN63" s="2269"/>
      <c r="AO63" s="5353" t="str">
        <f>AN64&amp;"-"&amp;AN108</f>
        <v>52-60</v>
      </c>
      <c r="AP63" s="5353"/>
      <c r="AQ63" s="5353"/>
      <c r="AR63" s="5353"/>
      <c r="AS63" s="5353"/>
      <c r="AT63" s="5353"/>
      <c r="AU63" s="5353"/>
      <c r="AV63" s="5353"/>
      <c r="AW63" s="5353"/>
      <c r="AX63" s="5353"/>
      <c r="AY63" s="5353"/>
      <c r="AZ63" s="5353"/>
      <c r="BA63" s="5353"/>
      <c r="BB63" s="5353"/>
      <c r="BC63" s="5353"/>
      <c r="BD63" s="2270"/>
      <c r="BE63" s="1210"/>
      <c r="BF63" s="1210"/>
      <c r="BG63" s="2269"/>
      <c r="BH63" s="5353" t="str">
        <f>BG64&amp;"-"&amp;BG108</f>
        <v>72-80</v>
      </c>
      <c r="BI63" s="5353"/>
      <c r="BJ63" s="5353"/>
      <c r="BK63" s="5353"/>
      <c r="BL63" s="5353"/>
      <c r="BM63" s="5353"/>
      <c r="BN63" s="5353"/>
      <c r="BO63" s="5353"/>
      <c r="BP63" s="5353"/>
      <c r="BQ63" s="5353"/>
      <c r="BR63" s="5353"/>
      <c r="BS63" s="5353"/>
      <c r="BT63" s="5353"/>
      <c r="BU63" s="5353"/>
      <c r="BV63" s="5353"/>
      <c r="BW63" s="2270"/>
      <c r="BX63" s="1210"/>
      <c r="BY63" s="1210"/>
      <c r="BZ63" s="2269"/>
      <c r="CA63" s="5353" t="str">
        <f>BZ64&amp;"-"&amp;BZ108</f>
        <v>92-100</v>
      </c>
      <c r="CB63" s="5353"/>
      <c r="CC63" s="5353"/>
      <c r="CD63" s="5353"/>
      <c r="CE63" s="5353"/>
      <c r="CF63" s="5353"/>
      <c r="CG63" s="5353"/>
      <c r="CH63" s="5353"/>
      <c r="CI63" s="5353"/>
      <c r="CJ63" s="5353"/>
      <c r="CK63" s="5353"/>
      <c r="CL63" s="5353"/>
      <c r="CM63" s="5353"/>
      <c r="CN63" s="5353"/>
      <c r="CO63" s="5353"/>
      <c r="CP63" s="2270"/>
      <c r="CQ63" s="1210"/>
    </row>
    <row r="64" spans="1:95" ht="12" customHeight="1" x14ac:dyDescent="0.2">
      <c r="A64" s="1210"/>
      <c r="B64" s="2258">
        <f>B52+2</f>
        <v>12</v>
      </c>
      <c r="C64" s="5356"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57"/>
      <c r="E64" s="5357"/>
      <c r="F64" s="5357"/>
      <c r="G64" s="5357"/>
      <c r="H64" s="1230" t="s">
        <v>1630</v>
      </c>
      <c r="I64" s="1231">
        <f>IF(C64=0,"",VLOOKUP(C64,'Tablas Magia'!$D$6:$Z$680,3,FALSE))</f>
        <v>12</v>
      </c>
      <c r="J64" s="5344" t="s">
        <v>8162</v>
      </c>
      <c r="K64" s="5344"/>
      <c r="L64" s="5344"/>
      <c r="M64" s="5345" t="str">
        <f>IF(C64=0,"",VLOOKUP(C64,'Tablas Magia'!$D$6:$Z$680,2,FALSE))</f>
        <v>Fuego</v>
      </c>
      <c r="N64" s="5345"/>
      <c r="O64" s="5345"/>
      <c r="P64" s="5345"/>
      <c r="Q64" s="5346"/>
      <c r="R64" s="1216"/>
      <c r="S64" s="1210"/>
      <c r="T64" s="1210"/>
      <c r="U64" s="2258">
        <f>U52+2</f>
        <v>32</v>
      </c>
      <c r="V64" s="5356"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57"/>
      <c r="X64" s="5357"/>
      <c r="Y64" s="5357"/>
      <c r="Z64" s="5357"/>
      <c r="AA64" s="1230" t="s">
        <v>1630</v>
      </c>
      <c r="AB64" s="1231">
        <f>IF(V64=0,"",VLOOKUP(V64,'Tablas Magia'!$D$6:$Z$680,3,FALSE))</f>
        <v>32</v>
      </c>
      <c r="AC64" s="5344" t="s">
        <v>8162</v>
      </c>
      <c r="AD64" s="5344"/>
      <c r="AE64" s="5344"/>
      <c r="AF64" s="5345" t="str">
        <f>IF(V64=0,"",VLOOKUP(V64,'Tablas Magia'!$D$6:$Z$680,2,FALSE))</f>
        <v>Fuego</v>
      </c>
      <c r="AG64" s="5345"/>
      <c r="AH64" s="5345"/>
      <c r="AI64" s="5345"/>
      <c r="AJ64" s="5346"/>
      <c r="AK64" s="1216"/>
      <c r="AL64" s="1210"/>
      <c r="AM64" s="1210"/>
      <c r="AN64" s="2272">
        <f>AN52+2</f>
        <v>52</v>
      </c>
      <c r="AO64" s="5356"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57"/>
      <c r="AQ64" s="5357"/>
      <c r="AR64" s="5357"/>
      <c r="AS64" s="5357"/>
      <c r="AT64" s="1230" t="s">
        <v>1630</v>
      </c>
      <c r="AU64" s="1231">
        <f>IF(AO64=0,"",VLOOKUP(AO64,'Tablas Magia'!$D$6:$Z$680,3,FALSE))</f>
        <v>52</v>
      </c>
      <c r="AV64" s="5344" t="s">
        <v>8162</v>
      </c>
      <c r="AW64" s="5344"/>
      <c r="AX64" s="5344"/>
      <c r="AY64" s="5345" t="str">
        <f>IF(AO64=0,"",VLOOKUP(AO64,'Tablas Magia'!$D$6:$Z$680,2,FALSE))</f>
        <v>Fuego</v>
      </c>
      <c r="AZ64" s="5345"/>
      <c r="BA64" s="5345"/>
      <c r="BB64" s="5345"/>
      <c r="BC64" s="5346"/>
      <c r="BD64" s="1216"/>
      <c r="BE64" s="1210"/>
      <c r="BF64" s="1210"/>
      <c r="BG64" s="2272">
        <f>BG52+2</f>
        <v>72</v>
      </c>
      <c r="BH64" s="5356"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57"/>
      <c r="BJ64" s="5357"/>
      <c r="BK64" s="5357"/>
      <c r="BL64" s="5357"/>
      <c r="BM64" s="1230" t="s">
        <v>1630</v>
      </c>
      <c r="BN64" s="1231">
        <f>IF(BH64=0,"",VLOOKUP(BH64,'Tablas Magia'!$D$6:$Z$680,3,FALSE))</f>
        <v>72</v>
      </c>
      <c r="BO64" s="5344" t="s">
        <v>8162</v>
      </c>
      <c r="BP64" s="5344"/>
      <c r="BQ64" s="5344"/>
      <c r="BR64" s="5345" t="str">
        <f>IF(BH64=0,"",VLOOKUP(BH64,'Tablas Magia'!$D$6:$Z$680,2,FALSE))</f>
        <v>Fuego</v>
      </c>
      <c r="BS64" s="5345"/>
      <c r="BT64" s="5345"/>
      <c r="BU64" s="5345"/>
      <c r="BV64" s="5346"/>
      <c r="BW64" s="1216"/>
      <c r="BX64" s="1210"/>
      <c r="BY64" s="1210"/>
      <c r="BZ64" s="2272">
        <f>BZ52+2</f>
        <v>92</v>
      </c>
      <c r="CA64" s="5356"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57"/>
      <c r="CC64" s="5357"/>
      <c r="CD64" s="5357"/>
      <c r="CE64" s="5357"/>
      <c r="CF64" s="1230" t="s">
        <v>1630</v>
      </c>
      <c r="CG64" s="1231">
        <f>IF(CA64=0,"",VLOOKUP(CA64,'Tablas Magia'!$D$6:$Z$680,3,FALSE))</f>
        <v>92</v>
      </c>
      <c r="CH64" s="5344" t="s">
        <v>8162</v>
      </c>
      <c r="CI64" s="5344"/>
      <c r="CJ64" s="5344"/>
      <c r="CK64" s="5345" t="str">
        <f>IF(CA64=0,"",VLOOKUP(CA64,'Tablas Magia'!$D$6:$Z$680,2,FALSE))</f>
        <v>Fuego</v>
      </c>
      <c r="CL64" s="5345"/>
      <c r="CM64" s="5345"/>
      <c r="CN64" s="5345"/>
      <c r="CO64" s="5346"/>
      <c r="CP64" s="1216"/>
      <c r="CQ64" s="1210"/>
    </row>
    <row r="65" spans="1:95" ht="12" customHeight="1" x14ac:dyDescent="0.2">
      <c r="A65" s="1210"/>
      <c r="B65" s="2258"/>
      <c r="C65" s="5340" t="s">
        <v>8163</v>
      </c>
      <c r="D65" s="5341"/>
      <c r="E65" s="1232" t="s">
        <v>8164</v>
      </c>
      <c r="F65" s="1232" t="s">
        <v>1824</v>
      </c>
      <c r="G65" s="1232" t="s">
        <v>3467</v>
      </c>
      <c r="H65" s="1233" t="s">
        <v>2175</v>
      </c>
      <c r="I65" s="5314" t="str">
        <f>IF(C64=0,"",VLOOKUP(C64,'Tablas Magia'!$D$6:$Z$680,5,FALSE))</f>
        <v>Detección</v>
      </c>
      <c r="J65" s="5314"/>
      <c r="K65" s="5313" t="s">
        <v>8165</v>
      </c>
      <c r="L65" s="5313"/>
      <c r="M65" s="5314" t="str">
        <f>IF(C64=0,"",VLOOKUP(C64,'Tablas Magia'!$D$6:$Z$680,6,FALSE))</f>
        <v>Activa</v>
      </c>
      <c r="N65" s="5314"/>
      <c r="O65" s="5315" t="s">
        <v>8166</v>
      </c>
      <c r="P65" s="5315"/>
      <c r="Q65" s="1234" t="str">
        <f>IF(C64=0,"",VLOOKUP(C64,'Tablas Magia'!$D$6:$Z$680,4,FALSE))</f>
        <v>No</v>
      </c>
      <c r="R65" s="1216"/>
      <c r="S65" s="1210"/>
      <c r="T65" s="1210"/>
      <c r="U65" s="2258"/>
      <c r="V65" s="5340" t="s">
        <v>8163</v>
      </c>
      <c r="W65" s="5341"/>
      <c r="X65" s="1232" t="s">
        <v>8164</v>
      </c>
      <c r="Y65" s="1232" t="s">
        <v>1824</v>
      </c>
      <c r="Z65" s="1232" t="s">
        <v>3467</v>
      </c>
      <c r="AA65" s="1233" t="s">
        <v>2175</v>
      </c>
      <c r="AB65" s="5314" t="str">
        <f>IF(V64=0,"",VLOOKUP(V64,'Tablas Magia'!$D$6:$Z$680,5,FALSE))</f>
        <v>Efecto</v>
      </c>
      <c r="AC65" s="5314"/>
      <c r="AD65" s="5313" t="s">
        <v>8165</v>
      </c>
      <c r="AE65" s="5313"/>
      <c r="AF65" s="5314" t="str">
        <f>IF(V64=0,"",VLOOKUP(V64,'Tablas Magia'!$D$6:$Z$680,6,FALSE))</f>
        <v>Activa</v>
      </c>
      <c r="AG65" s="5314"/>
      <c r="AH65" s="5315" t="s">
        <v>8166</v>
      </c>
      <c r="AI65" s="5315"/>
      <c r="AJ65" s="1234" t="str">
        <f>IF(V64=0,"",VLOOKUP(V64,'Tablas Magia'!$D$6:$Z$680,4,FALSE))</f>
        <v>No</v>
      </c>
      <c r="AK65" s="1216"/>
      <c r="AL65" s="1210"/>
      <c r="AM65" s="1210"/>
      <c r="AN65" s="2272"/>
      <c r="AO65" s="5340" t="s">
        <v>8163</v>
      </c>
      <c r="AP65" s="5341"/>
      <c r="AQ65" s="1232" t="s">
        <v>8164</v>
      </c>
      <c r="AR65" s="1232" t="s">
        <v>1824</v>
      </c>
      <c r="AS65" s="1232" t="s">
        <v>3467</v>
      </c>
      <c r="AT65" s="1233" t="s">
        <v>2175</v>
      </c>
      <c r="AU65" s="5314" t="str">
        <f>IF(AO64=0,"",VLOOKUP(AO64,'Tablas Magia'!$D$6:$Z$680,5,FALSE))</f>
        <v>Efecto</v>
      </c>
      <c r="AV65" s="5314"/>
      <c r="AW65" s="5313" t="s">
        <v>8165</v>
      </c>
      <c r="AX65" s="5313"/>
      <c r="AY65" s="5314" t="str">
        <f>IF(AO64=0,"",VLOOKUP(AO64,'Tablas Magia'!$D$6:$Z$680,6,FALSE))</f>
        <v>Activa</v>
      </c>
      <c r="AZ65" s="5314"/>
      <c r="BA65" s="5315" t="s">
        <v>8166</v>
      </c>
      <c r="BB65" s="5315"/>
      <c r="BC65" s="1234" t="str">
        <f>IF(AO64=0,"",VLOOKUP(AO64,'Tablas Magia'!$D$6:$Z$680,4,FALSE))</f>
        <v>No</v>
      </c>
      <c r="BD65" s="1216"/>
      <c r="BE65" s="1210"/>
      <c r="BF65" s="1210"/>
      <c r="BG65" s="2272"/>
      <c r="BH65" s="5340" t="s">
        <v>8163</v>
      </c>
      <c r="BI65" s="5341"/>
      <c r="BJ65" s="1232" t="s">
        <v>8164</v>
      </c>
      <c r="BK65" s="1232" t="s">
        <v>1824</v>
      </c>
      <c r="BL65" s="1232" t="s">
        <v>3467</v>
      </c>
      <c r="BM65" s="1233" t="s">
        <v>2175</v>
      </c>
      <c r="BN65" s="5314" t="str">
        <f>IF(BH64=0,"",VLOOKUP(BH64,'Tablas Magia'!$D$6:$Z$680,5,FALSE))</f>
        <v>Efecto</v>
      </c>
      <c r="BO65" s="5314"/>
      <c r="BP65" s="5313" t="s">
        <v>8165</v>
      </c>
      <c r="BQ65" s="5313"/>
      <c r="BR65" s="5314" t="str">
        <f>IF(BH64=0,"",VLOOKUP(BH64,'Tablas Magia'!$D$6:$Z$680,6,FALSE))</f>
        <v>Activa</v>
      </c>
      <c r="BS65" s="5314"/>
      <c r="BT65" s="5315" t="s">
        <v>8166</v>
      </c>
      <c r="BU65" s="5315"/>
      <c r="BV65" s="1234" t="str">
        <f>IF(BH64=0,"",VLOOKUP(BH64,'Tablas Magia'!$D$6:$Z$680,4,FALSE))</f>
        <v>Si</v>
      </c>
      <c r="BW65" s="1216"/>
      <c r="BX65" s="1210"/>
      <c r="BY65" s="1210"/>
      <c r="BZ65" s="2272"/>
      <c r="CA65" s="5340" t="s">
        <v>8163</v>
      </c>
      <c r="CB65" s="5341"/>
      <c r="CC65" s="1232" t="s">
        <v>8164</v>
      </c>
      <c r="CD65" s="1232" t="s">
        <v>1824</v>
      </c>
      <c r="CE65" s="1232" t="s">
        <v>3467</v>
      </c>
      <c r="CF65" s="1233" t="s">
        <v>2175</v>
      </c>
      <c r="CG65" s="5314" t="str">
        <f>IF(CA64=0,"",VLOOKUP(CA64,'Tablas Magia'!$D$6:$Z$680,5,FALSE))</f>
        <v>Efecto</v>
      </c>
      <c r="CH65" s="5314"/>
      <c r="CI65" s="5313" t="s">
        <v>8165</v>
      </c>
      <c r="CJ65" s="5313"/>
      <c r="CK65" s="5314" t="str">
        <f>IF(CA64=0,"",VLOOKUP(CA64,'Tablas Magia'!$D$6:$Z$680,6,FALSE))</f>
        <v>Activa</v>
      </c>
      <c r="CL65" s="5314"/>
      <c r="CM65" s="5315" t="s">
        <v>8166</v>
      </c>
      <c r="CN65" s="5315"/>
      <c r="CO65" s="1234" t="str">
        <f>IF(CA64=0,"",VLOOKUP(CA64,'Tablas Magia'!$D$6:$Z$680,4,FALSE))</f>
        <v>Si</v>
      </c>
      <c r="CP65" s="1216"/>
      <c r="CQ65" s="1210"/>
    </row>
    <row r="66" spans="1:95" ht="12" customHeight="1" x14ac:dyDescent="0.2">
      <c r="A66" s="1210"/>
      <c r="B66" s="2258"/>
      <c r="C66" s="5316" t="s">
        <v>1677</v>
      </c>
      <c r="D66" s="5317"/>
      <c r="E66" s="1235">
        <f>IF(C64=0,"",VLOOKUP(C64,'Tablas Magia'!$D$6:$Z$680,7,FALSE))</f>
        <v>6</v>
      </c>
      <c r="F66" s="1235">
        <f>IF(C64=0,"",VLOOKUP(C64,'Tablas Magia'!$D$6:$Z$680,11,FALSE))</f>
        <v>60</v>
      </c>
      <c r="G66" s="1236">
        <f>IF(C64=0,"",VLOOKUP(C64,'Tablas Magia'!$D$6:$Z$680,15,FALSE))</f>
        <v>10</v>
      </c>
      <c r="H66" s="5318" t="str">
        <f>IF(C64=0,"",VLOOKUP(C64,'Tablas Magia'!$D$6:$Z$680,19,FALSE))</f>
        <v>25 metros / RM 120</v>
      </c>
      <c r="I66" s="5319"/>
      <c r="J66" s="5319"/>
      <c r="K66" s="5319"/>
      <c r="L66" s="5319"/>
      <c r="M66" s="5319"/>
      <c r="N66" s="5319"/>
      <c r="O66" s="5319"/>
      <c r="P66" s="5319"/>
      <c r="Q66" s="5320"/>
      <c r="R66" s="1216"/>
      <c r="S66" s="1210"/>
      <c r="T66" s="1210"/>
      <c r="U66" s="2258"/>
      <c r="V66" s="5316" t="s">
        <v>1677</v>
      </c>
      <c r="W66" s="5317"/>
      <c r="X66" s="1235">
        <f>IF(V64=0,"",VLOOKUP(V64,'Tablas Magia'!$D$6:$Z$680,7,FALSE))</f>
        <v>6</v>
      </c>
      <c r="Y66" s="1235">
        <f>IF(V64=0,"",VLOOKUP(V64,'Tablas Magia'!$D$6:$Z$680,11,FALSE))</f>
        <v>60</v>
      </c>
      <c r="Z66" s="1236" t="str">
        <f>IF(V64=0,"",VLOOKUP(V64,'Tablas Magia'!$D$6:$Z$680,15,FALSE))</f>
        <v>No</v>
      </c>
      <c r="AA66" s="5318" t="str">
        <f>IF(V64=0,"",VLOOKUP(V64,'Tablas Magia'!$D$6:$Z$680,19,FALSE))</f>
        <v>Retrocede una hora</v>
      </c>
      <c r="AB66" s="5319"/>
      <c r="AC66" s="5319"/>
      <c r="AD66" s="5319"/>
      <c r="AE66" s="5319"/>
      <c r="AF66" s="5319"/>
      <c r="AG66" s="5319"/>
      <c r="AH66" s="5319"/>
      <c r="AI66" s="5319"/>
      <c r="AJ66" s="5320"/>
      <c r="AK66" s="1216"/>
      <c r="AL66" s="1210"/>
      <c r="AM66" s="1210"/>
      <c r="AN66" s="2272"/>
      <c r="AO66" s="5316" t="s">
        <v>1677</v>
      </c>
      <c r="AP66" s="5317"/>
      <c r="AQ66" s="1235">
        <f>IF(AO64=0,"",VLOOKUP(AO64,'Tablas Magia'!$D$6:$Z$680,7,FALSE))</f>
        <v>8</v>
      </c>
      <c r="AR66" s="1235">
        <f>IF(AO64=0,"",VLOOKUP(AO64,'Tablas Magia'!$D$6:$Z$680,11,FALSE))</f>
        <v>100</v>
      </c>
      <c r="AS66" s="1236">
        <f>IF(AO64=0,"",VLOOKUP(AO64,'Tablas Magia'!$D$6:$Z$680,15,FALSE))</f>
        <v>10</v>
      </c>
      <c r="AT66" s="5318" t="str">
        <f>IF(AO64=0,"",VLOOKUP(AO64,'Tablas Magia'!$D$6:$Z$680,19,FALSE))</f>
        <v>Las habilidades descritas</v>
      </c>
      <c r="AU66" s="5319"/>
      <c r="AV66" s="5319"/>
      <c r="AW66" s="5319"/>
      <c r="AX66" s="5319"/>
      <c r="AY66" s="5319"/>
      <c r="AZ66" s="5319"/>
      <c r="BA66" s="5319"/>
      <c r="BB66" s="5319"/>
      <c r="BC66" s="5320"/>
      <c r="BD66" s="1216"/>
      <c r="BE66" s="1210"/>
      <c r="BF66" s="1210"/>
      <c r="BG66" s="2272"/>
      <c r="BH66" s="5316" t="s">
        <v>1677</v>
      </c>
      <c r="BI66" s="5317"/>
      <c r="BJ66" s="1235">
        <f>IF(BH64=0,"",VLOOKUP(BH64,'Tablas Magia'!$D$6:$Z$680,7,FALSE))</f>
        <v>6</v>
      </c>
      <c r="BK66" s="1235">
        <f>IF(BH64=0,"",VLOOKUP(BH64,'Tablas Magia'!$D$6:$Z$680,11,FALSE))</f>
        <v>120</v>
      </c>
      <c r="BL66" s="1236">
        <f>IF(BH64=0,"",VLOOKUP(BH64,'Tablas Magia'!$D$6:$Z$680,15,FALSE))</f>
        <v>10</v>
      </c>
      <c r="BM66" s="5318" t="str">
        <f>IF(BH64=0,"",VLOOKUP(BH64,'Tablas Magia'!$D$6:$Z$680,19,FALSE))</f>
        <v>50 puntos de Zeon por asalto</v>
      </c>
      <c r="BN66" s="5319"/>
      <c r="BO66" s="5319"/>
      <c r="BP66" s="5319"/>
      <c r="BQ66" s="5319"/>
      <c r="BR66" s="5319"/>
      <c r="BS66" s="5319"/>
      <c r="BT66" s="5319"/>
      <c r="BU66" s="5319"/>
      <c r="BV66" s="5320"/>
      <c r="BW66" s="1216"/>
      <c r="BX66" s="1210"/>
      <c r="BY66" s="1210"/>
      <c r="BZ66" s="2272"/>
      <c r="CA66" s="5316" t="s">
        <v>1677</v>
      </c>
      <c r="CB66" s="5317"/>
      <c r="CC66" s="1235">
        <f>IF(CA64=0,"",VLOOKUP(CA64,'Tablas Magia'!$D$6:$Z$680,7,FALSE))</f>
        <v>13</v>
      </c>
      <c r="CD66" s="1235">
        <f>IF(CA64=0,"",VLOOKUP(CA64,'Tablas Magia'!$D$6:$Z$680,11,FALSE))</f>
        <v>250</v>
      </c>
      <c r="CE66" s="1236">
        <f>IF(CA64=0,"",VLOOKUP(CA64,'Tablas Magia'!$D$6:$Z$680,15,FALSE))</f>
        <v>50</v>
      </c>
      <c r="CF66" s="5318" t="str">
        <f>IF(CA64=0,"",VLOOKUP(CA64,'Tablas Magia'!$D$6:$Z$680,19,FALSE))</f>
        <v>RM 120/ 1 km de area</v>
      </c>
      <c r="CG66" s="5319"/>
      <c r="CH66" s="5319"/>
      <c r="CI66" s="5319"/>
      <c r="CJ66" s="5319"/>
      <c r="CK66" s="5319"/>
      <c r="CL66" s="5319"/>
      <c r="CM66" s="5319"/>
      <c r="CN66" s="5319"/>
      <c r="CO66" s="5320"/>
      <c r="CP66" s="1216"/>
      <c r="CQ66" s="1210"/>
    </row>
    <row r="67" spans="1:95" ht="12" customHeight="1" x14ac:dyDescent="0.2">
      <c r="A67" s="1210"/>
      <c r="B67" s="2258"/>
      <c r="C67" s="5321" t="s">
        <v>4705</v>
      </c>
      <c r="D67" s="5322"/>
      <c r="E67" s="1237">
        <f>IF(C64=0,"",VLOOKUP(C64,'Tablas Magia'!$D$6:$Z$680,8,FALSE))</f>
        <v>9</v>
      </c>
      <c r="F67" s="1237">
        <f>IF(C64=0,"",VLOOKUP(C64,'Tablas Magia'!$D$6:$Z$680,12,FALSE))</f>
        <v>100</v>
      </c>
      <c r="G67" s="1238">
        <f>IF(C64=0,"",VLOOKUP(C64,'Tablas Magia'!$D$6:$Z$680,16,FALSE))</f>
        <v>10</v>
      </c>
      <c r="H67" s="5323" t="str">
        <f>IF(C64=0,"",VLOOKUP(C64,'Tablas Magia'!$D$6:$Z$680,20,FALSE))</f>
        <v>50 metros / RM 150</v>
      </c>
      <c r="I67" s="5324"/>
      <c r="J67" s="5324"/>
      <c r="K67" s="5324"/>
      <c r="L67" s="5324"/>
      <c r="M67" s="5324"/>
      <c r="N67" s="5324"/>
      <c r="O67" s="5324"/>
      <c r="P67" s="5324"/>
      <c r="Q67" s="5325"/>
      <c r="R67" s="1216"/>
      <c r="S67" s="1210"/>
      <c r="T67" s="1210"/>
      <c r="U67" s="2258"/>
      <c r="V67" s="5321" t="s">
        <v>4705</v>
      </c>
      <c r="W67" s="5322"/>
      <c r="X67" s="1237">
        <f>IF(V64=0,"",VLOOKUP(V64,'Tablas Magia'!$D$6:$Z$680,8,FALSE))</f>
        <v>10</v>
      </c>
      <c r="Y67" s="1237">
        <f>IF(V64=0,"",VLOOKUP(V64,'Tablas Magia'!$D$6:$Z$680,12,FALSE))</f>
        <v>140</v>
      </c>
      <c r="Z67" s="1238" t="str">
        <f>IF(V64=0,"",VLOOKUP(V64,'Tablas Magia'!$D$6:$Z$680,16,FALSE))</f>
        <v>No</v>
      </c>
      <c r="AA67" s="5323" t="str">
        <f>IF(V64=0,"",VLOOKUP(V64,'Tablas Magia'!$D$6:$Z$680,20,FALSE))</f>
        <v>Retrocede un día</v>
      </c>
      <c r="AB67" s="5324"/>
      <c r="AC67" s="5324"/>
      <c r="AD67" s="5324"/>
      <c r="AE67" s="5324"/>
      <c r="AF67" s="5324"/>
      <c r="AG67" s="5324"/>
      <c r="AH67" s="5324"/>
      <c r="AI67" s="5324"/>
      <c r="AJ67" s="5325"/>
      <c r="AK67" s="1216"/>
      <c r="AL67" s="1210"/>
      <c r="AM67" s="1210"/>
      <c r="AN67" s="2272"/>
      <c r="AO67" s="5321" t="s">
        <v>4705</v>
      </c>
      <c r="AP67" s="5322"/>
      <c r="AQ67" s="1237">
        <f>IF(AO64=0,"",VLOOKUP(AO64,'Tablas Magia'!$D$6:$Z$680,8,FALSE))</f>
        <v>11</v>
      </c>
      <c r="AR67" s="1237">
        <f>IF(AO64=0,"",VLOOKUP(AO64,'Tablas Magia'!$D$6:$Z$680,12,FALSE))</f>
        <v>120</v>
      </c>
      <c r="AS67" s="1238">
        <f>IF(AO64=0,"",VLOOKUP(AO64,'Tablas Magia'!$D$6:$Z$680,16,FALSE))</f>
        <v>15</v>
      </c>
      <c r="AT67" s="5323" t="str">
        <f>IF(AO64=0,"",VLOOKUP(AO64,'Tablas Magia'!$D$6:$Z$680,20,FALSE))</f>
        <v>Se gana +30 a sus Resistencias contra efectos basados en calor</v>
      </c>
      <c r="AU67" s="5324"/>
      <c r="AV67" s="5324"/>
      <c r="AW67" s="5324"/>
      <c r="AX67" s="5324"/>
      <c r="AY67" s="5324"/>
      <c r="AZ67" s="5324"/>
      <c r="BA67" s="5324"/>
      <c r="BB67" s="5324"/>
      <c r="BC67" s="5325"/>
      <c r="BD67" s="1216"/>
      <c r="BE67" s="1210"/>
      <c r="BF67" s="1210"/>
      <c r="BG67" s="2272"/>
      <c r="BH67" s="5321" t="s">
        <v>4705</v>
      </c>
      <c r="BI67" s="5322"/>
      <c r="BJ67" s="1237">
        <f>IF(BH64=0,"",VLOOKUP(BH64,'Tablas Magia'!$D$6:$Z$680,8,FALSE))</f>
        <v>9</v>
      </c>
      <c r="BK67" s="1237">
        <f>IF(BH64=0,"",VLOOKUP(BH64,'Tablas Magia'!$D$6:$Z$680,12,FALSE))</f>
        <v>180</v>
      </c>
      <c r="BL67" s="1238">
        <f>IF(BH64=0,"",VLOOKUP(BH64,'Tablas Magia'!$D$6:$Z$680,16,FALSE))</f>
        <v>10</v>
      </c>
      <c r="BM67" s="5323" t="str">
        <f>IF(BH64=0,"",VLOOKUP(BH64,'Tablas Magia'!$D$6:$Z$680,20,FALSE))</f>
        <v>100 puntos de Zeon por asalto</v>
      </c>
      <c r="BN67" s="5324"/>
      <c r="BO67" s="5324"/>
      <c r="BP67" s="5324"/>
      <c r="BQ67" s="5324"/>
      <c r="BR67" s="5324"/>
      <c r="BS67" s="5324"/>
      <c r="BT67" s="5324"/>
      <c r="BU67" s="5324"/>
      <c r="BV67" s="5325"/>
      <c r="BW67" s="1216"/>
      <c r="BX67" s="1210"/>
      <c r="BY67" s="1210"/>
      <c r="BZ67" s="2272"/>
      <c r="CA67" s="5321" t="s">
        <v>4705</v>
      </c>
      <c r="CB67" s="5322"/>
      <c r="CC67" s="1237">
        <f>IF(CA64=0,"",VLOOKUP(CA64,'Tablas Magia'!$D$6:$Z$680,8,FALSE))</f>
        <v>15</v>
      </c>
      <c r="CD67" s="1237">
        <f>IF(CA64=0,"",VLOOKUP(CA64,'Tablas Magia'!$D$6:$Z$680,12,FALSE))</f>
        <v>350</v>
      </c>
      <c r="CE67" s="1238">
        <f>IF(CA64=0,"",VLOOKUP(CA64,'Tablas Magia'!$D$6:$Z$680,16,FALSE))</f>
        <v>70</v>
      </c>
      <c r="CF67" s="5323" t="str">
        <f>IF(CA64=0,"",VLOOKUP(CA64,'Tablas Magia'!$D$6:$Z$680,20,FALSE))</f>
        <v>RM 140/ 2km de area</v>
      </c>
      <c r="CG67" s="5324"/>
      <c r="CH67" s="5324"/>
      <c r="CI67" s="5324"/>
      <c r="CJ67" s="5324"/>
      <c r="CK67" s="5324"/>
      <c r="CL67" s="5324"/>
      <c r="CM67" s="5324"/>
      <c r="CN67" s="5324"/>
      <c r="CO67" s="5325"/>
      <c r="CP67" s="1216"/>
      <c r="CQ67" s="1210"/>
    </row>
    <row r="68" spans="1:95" ht="12" customHeight="1" x14ac:dyDescent="0.2">
      <c r="A68" s="1210"/>
      <c r="B68" s="2258"/>
      <c r="C68" s="5316" t="s">
        <v>4706</v>
      </c>
      <c r="D68" s="5317"/>
      <c r="E68" s="1235">
        <f>IF(C64=0,"",VLOOKUP(C64,'Tablas Magia'!$D$6:$Z$680,9,FALSE))</f>
        <v>12</v>
      </c>
      <c r="F68" s="1235">
        <f>IF(C64=0,"",VLOOKUP(C64,'Tablas Magia'!$D$6:$Z$680,13,FALSE))</f>
        <v>140</v>
      </c>
      <c r="G68" s="1236">
        <f>IF(C64=0,"",VLOOKUP(C64,'Tablas Magia'!$D$6:$Z$680,17,FALSE))</f>
        <v>15</v>
      </c>
      <c r="H68" s="5318" t="str">
        <f>IF(C64=0,"",VLOOKUP(C64,'Tablas Magia'!$D$6:$Z$680,21,FALSE))</f>
        <v>100 metros / RM 180</v>
      </c>
      <c r="I68" s="5319"/>
      <c r="J68" s="5319"/>
      <c r="K68" s="5319"/>
      <c r="L68" s="5319"/>
      <c r="M68" s="5319"/>
      <c r="N68" s="5319"/>
      <c r="O68" s="5319"/>
      <c r="P68" s="5319"/>
      <c r="Q68" s="5320"/>
      <c r="R68" s="1216"/>
      <c r="S68" s="1210"/>
      <c r="T68" s="1210"/>
      <c r="U68" s="2258"/>
      <c r="V68" s="5316" t="s">
        <v>4706</v>
      </c>
      <c r="W68" s="5317"/>
      <c r="X68" s="1235">
        <f>IF(V64=0,"",VLOOKUP(V64,'Tablas Magia'!$D$6:$Z$680,9,FALSE))</f>
        <v>13</v>
      </c>
      <c r="Y68" s="1235">
        <f>IF(V64=0,"",VLOOKUP(V64,'Tablas Magia'!$D$6:$Z$680,13,FALSE))</f>
        <v>220</v>
      </c>
      <c r="Z68" s="1236" t="str">
        <f>IF(V64=0,"",VLOOKUP(V64,'Tablas Magia'!$D$6:$Z$680,17,FALSE))</f>
        <v>No</v>
      </c>
      <c r="AA68" s="5318" t="str">
        <f>IF(V64=0,"",VLOOKUP(V64,'Tablas Magia'!$D$6:$Z$680,21,FALSE))</f>
        <v>Retrocede un mes</v>
      </c>
      <c r="AB68" s="5319"/>
      <c r="AC68" s="5319"/>
      <c r="AD68" s="5319"/>
      <c r="AE68" s="5319"/>
      <c r="AF68" s="5319"/>
      <c r="AG68" s="5319"/>
      <c r="AH68" s="5319"/>
      <c r="AI68" s="5319"/>
      <c r="AJ68" s="5320"/>
      <c r="AK68" s="1216"/>
      <c r="AL68" s="1210"/>
      <c r="AM68" s="1210"/>
      <c r="AN68" s="2272"/>
      <c r="AO68" s="5316" t="s">
        <v>4706</v>
      </c>
      <c r="AP68" s="5317"/>
      <c r="AQ68" s="1235">
        <f>IF(AO64=0,"",VLOOKUP(AO64,'Tablas Magia'!$D$6:$Z$680,9,FALSE))</f>
        <v>12</v>
      </c>
      <c r="AR68" s="1235">
        <f>IF(AO64=0,"",VLOOKUP(AO64,'Tablas Magia'!$D$6:$Z$680,13,FALSE))</f>
        <v>140</v>
      </c>
      <c r="AS68" s="1236">
        <f>IF(AO64=0,"",VLOOKUP(AO64,'Tablas Magia'!$D$6:$Z$680,17,FALSE))</f>
        <v>15</v>
      </c>
      <c r="AT68" s="5318" t="str">
        <f>IF(AO64=0,"",VLOOKUP(AO64,'Tablas Magia'!$D$6:$Z$680,21,FALSE))</f>
        <v>Idem arriba, el sujeto puede pasar por donde pueda pasar el fuego</v>
      </c>
      <c r="AU68" s="5319"/>
      <c r="AV68" s="5319"/>
      <c r="AW68" s="5319"/>
      <c r="AX68" s="5319"/>
      <c r="AY68" s="5319"/>
      <c r="AZ68" s="5319"/>
      <c r="BA68" s="5319"/>
      <c r="BB68" s="5319"/>
      <c r="BC68" s="5320"/>
      <c r="BD68" s="1216"/>
      <c r="BE68" s="1210"/>
      <c r="BF68" s="1210"/>
      <c r="BG68" s="2272"/>
      <c r="BH68" s="5316" t="s">
        <v>4706</v>
      </c>
      <c r="BI68" s="5317"/>
      <c r="BJ68" s="1235">
        <f>IF(BH64=0,"",VLOOKUP(BH64,'Tablas Magia'!$D$6:$Z$680,9,FALSE))</f>
        <v>13</v>
      </c>
      <c r="BK68" s="1235">
        <f>IF(BH64=0,"",VLOOKUP(BH64,'Tablas Magia'!$D$6:$Z$680,13,FALSE))</f>
        <v>240</v>
      </c>
      <c r="BL68" s="1236">
        <f>IF(BH64=0,"",VLOOKUP(BH64,'Tablas Magia'!$D$6:$Z$680,17,FALSE))</f>
        <v>15</v>
      </c>
      <c r="BM68" s="5318" t="str">
        <f>IF(BH64=0,"",VLOOKUP(BH64,'Tablas Magia'!$D$6:$Z$680,21,FALSE))</f>
        <v>150 puntos de Zeon por asalto</v>
      </c>
      <c r="BN68" s="5319"/>
      <c r="BO68" s="5319"/>
      <c r="BP68" s="5319"/>
      <c r="BQ68" s="5319"/>
      <c r="BR68" s="5319"/>
      <c r="BS68" s="5319"/>
      <c r="BT68" s="5319"/>
      <c r="BU68" s="5319"/>
      <c r="BV68" s="5320"/>
      <c r="BW68" s="1216"/>
      <c r="BX68" s="1210"/>
      <c r="BY68" s="1210"/>
      <c r="BZ68" s="2272"/>
      <c r="CA68" s="5316" t="s">
        <v>4706</v>
      </c>
      <c r="CB68" s="5317"/>
      <c r="CC68" s="1235">
        <f>IF(CA64=0,"",VLOOKUP(CA64,'Tablas Magia'!$D$6:$Z$680,9,FALSE))</f>
        <v>17</v>
      </c>
      <c r="CD68" s="1235">
        <f>IF(CA64=0,"",VLOOKUP(CA64,'Tablas Magia'!$D$6:$Z$680,13,FALSE))</f>
        <v>500</v>
      </c>
      <c r="CE68" s="1236">
        <f>IF(CA64=0,"",VLOOKUP(CA64,'Tablas Magia'!$D$6:$Z$680,17,FALSE))</f>
        <v>100</v>
      </c>
      <c r="CF68" s="5318" t="str">
        <f>IF(CA64=0,"",VLOOKUP(CA64,'Tablas Magia'!$D$6:$Z$680,21,FALSE))</f>
        <v>RM 160/ 3km de area</v>
      </c>
      <c r="CG68" s="5319"/>
      <c r="CH68" s="5319"/>
      <c r="CI68" s="5319"/>
      <c r="CJ68" s="5319"/>
      <c r="CK68" s="5319"/>
      <c r="CL68" s="5319"/>
      <c r="CM68" s="5319"/>
      <c r="CN68" s="5319"/>
      <c r="CO68" s="5320"/>
      <c r="CP68" s="1216"/>
      <c r="CQ68" s="1210"/>
    </row>
    <row r="69" spans="1:95" ht="12" customHeight="1" thickBot="1" x14ac:dyDescent="0.25">
      <c r="A69" s="1210"/>
      <c r="B69" s="2258"/>
      <c r="C69" s="5326" t="s">
        <v>4707</v>
      </c>
      <c r="D69" s="5327"/>
      <c r="E69" s="1239">
        <f>IF(C64=0,"",VLOOKUP(C64,'Tablas Magia'!$D$6:$Z$680,10,FALSE))</f>
        <v>15</v>
      </c>
      <c r="F69" s="1239">
        <f>IF(C64=0,"",VLOOKUP(C64,'Tablas Magia'!$D$6:$Z$680,14,FALSE))</f>
        <v>200</v>
      </c>
      <c r="G69" s="1240">
        <f>IF(C64=0,"",VLOOKUP(C64,'Tablas Magia'!$D$6:$Z$680,18,FALSE))</f>
        <v>15</v>
      </c>
      <c r="H69" s="5328" t="str">
        <f>IF(C64=0,"",VLOOKUP(C64,'Tablas Magia'!$D$6:$Z$680,22,FALSE))</f>
        <v>250 metros / RM 220</v>
      </c>
      <c r="I69" s="5329"/>
      <c r="J69" s="5329"/>
      <c r="K69" s="5329"/>
      <c r="L69" s="5329"/>
      <c r="M69" s="5329"/>
      <c r="N69" s="5329"/>
      <c r="O69" s="5329"/>
      <c r="P69" s="5329"/>
      <c r="Q69" s="5330"/>
      <c r="R69" s="1216"/>
      <c r="S69" s="1210"/>
      <c r="T69" s="1210"/>
      <c r="U69" s="2258"/>
      <c r="V69" s="5326" t="s">
        <v>4707</v>
      </c>
      <c r="W69" s="5327"/>
      <c r="X69" s="1239">
        <f>IF(V64=0,"",VLOOKUP(V64,'Tablas Magia'!$D$6:$Z$680,10,FALSE))</f>
        <v>15</v>
      </c>
      <c r="Y69" s="1239">
        <f>IF(V64=0,"",VLOOKUP(V64,'Tablas Magia'!$D$6:$Z$680,14,FALSE))</f>
        <v>340</v>
      </c>
      <c r="Z69" s="1240" t="str">
        <f>IF(V64=0,"",VLOOKUP(V64,'Tablas Magia'!$D$6:$Z$680,18,FALSE))</f>
        <v>No</v>
      </c>
      <c r="AA69" s="5328" t="str">
        <f>IF(V64=0,"",VLOOKUP(V64,'Tablas Magia'!$D$6:$Z$680,22,FALSE))</f>
        <v>Retrocede un año</v>
      </c>
      <c r="AB69" s="5329"/>
      <c r="AC69" s="5329"/>
      <c r="AD69" s="5329"/>
      <c r="AE69" s="5329"/>
      <c r="AF69" s="5329"/>
      <c r="AG69" s="5329"/>
      <c r="AH69" s="5329"/>
      <c r="AI69" s="5329"/>
      <c r="AJ69" s="5330"/>
      <c r="AK69" s="1216"/>
      <c r="AL69" s="1210"/>
      <c r="AM69" s="1210"/>
      <c r="AN69" s="2272"/>
      <c r="AO69" s="5326" t="s">
        <v>4707</v>
      </c>
      <c r="AP69" s="5327"/>
      <c r="AQ69" s="1239">
        <f>IF(AO64=0,"",VLOOKUP(AO64,'Tablas Magia'!$D$6:$Z$680,10,FALSE))</f>
        <v>16</v>
      </c>
      <c r="AR69" s="1239">
        <f>IF(AO64=0,"",VLOOKUP(AO64,'Tablas Magia'!$D$6:$Z$680,14,FALSE))</f>
        <v>160</v>
      </c>
      <c r="AS69" s="1240">
        <f>IF(AO64=0,"",VLOOKUP(AO64,'Tablas Magia'!$D$6:$Z$680,18,FALSE))</f>
        <v>20</v>
      </c>
      <c r="AT69" s="5328" t="str">
        <f>IF(AO64=0,"",VLOOKUP(AO64,'Tablas Magia'!$D$6:$Z$680,22,FALSE))</f>
        <v>Idem arriba, los ataques de frío o agua no sobrenatural no causan daño</v>
      </c>
      <c r="AU69" s="5329"/>
      <c r="AV69" s="5329"/>
      <c r="AW69" s="5329"/>
      <c r="AX69" s="5329"/>
      <c r="AY69" s="5329"/>
      <c r="AZ69" s="5329"/>
      <c r="BA69" s="5329"/>
      <c r="BB69" s="5329"/>
      <c r="BC69" s="5330"/>
      <c r="BD69" s="1216"/>
      <c r="BE69" s="1210"/>
      <c r="BF69" s="1210"/>
      <c r="BG69" s="2272"/>
      <c r="BH69" s="5326" t="s">
        <v>4707</v>
      </c>
      <c r="BI69" s="5327"/>
      <c r="BJ69" s="1239">
        <f>IF(BH64=0,"",VLOOKUP(BH64,'Tablas Magia'!$D$6:$Z$680,10,FALSE))</f>
        <v>15</v>
      </c>
      <c r="BK69" s="1239">
        <f>IF(BH64=0,"",VLOOKUP(BH64,'Tablas Magia'!$D$6:$Z$680,14,FALSE))</f>
        <v>300</v>
      </c>
      <c r="BL69" s="1240">
        <f>IF(BH64=0,"",VLOOKUP(BH64,'Tablas Magia'!$D$6:$Z$680,18,FALSE))</f>
        <v>15</v>
      </c>
      <c r="BM69" s="5328" t="str">
        <f>IF(BH64=0,"",VLOOKUP(BH64,'Tablas Magia'!$D$6:$Z$680,22,FALSE))</f>
        <v>200 puntos de Zeon por asalto</v>
      </c>
      <c r="BN69" s="5329"/>
      <c r="BO69" s="5329"/>
      <c r="BP69" s="5329"/>
      <c r="BQ69" s="5329"/>
      <c r="BR69" s="5329"/>
      <c r="BS69" s="5329"/>
      <c r="BT69" s="5329"/>
      <c r="BU69" s="5329"/>
      <c r="BV69" s="5330"/>
      <c r="BW69" s="1216"/>
      <c r="BX69" s="1210"/>
      <c r="BY69" s="1210"/>
      <c r="BZ69" s="2272"/>
      <c r="CA69" s="5326" t="s">
        <v>4707</v>
      </c>
      <c r="CB69" s="5327"/>
      <c r="CC69" s="1239">
        <f>IF(CA64=0,"",VLOOKUP(CA64,'Tablas Magia'!$D$6:$Z$680,10,FALSE))</f>
        <v>19</v>
      </c>
      <c r="CD69" s="1239">
        <f>IF(CA64=0,"",VLOOKUP(CA64,'Tablas Magia'!$D$6:$Z$680,14,FALSE))</f>
        <v>750</v>
      </c>
      <c r="CE69" s="1240">
        <f>IF(CA64=0,"",VLOOKUP(CA64,'Tablas Magia'!$D$6:$Z$680,18,FALSE))</f>
        <v>150</v>
      </c>
      <c r="CF69" s="5328" t="str">
        <f>IF(CA64=0,"",VLOOKUP(CA64,'Tablas Magia'!$D$6:$Z$680,22,FALSE))</f>
        <v>RM 180/ 5 km de area</v>
      </c>
      <c r="CG69" s="5329"/>
      <c r="CH69" s="5329"/>
      <c r="CI69" s="5329"/>
      <c r="CJ69" s="5329"/>
      <c r="CK69" s="5329"/>
      <c r="CL69" s="5329"/>
      <c r="CM69" s="5329"/>
      <c r="CN69" s="5329"/>
      <c r="CO69" s="5330"/>
      <c r="CP69" s="1216"/>
      <c r="CQ69" s="1210"/>
    </row>
    <row r="70" spans="1:95" ht="12" customHeight="1" x14ac:dyDescent="0.2">
      <c r="A70" s="1210"/>
      <c r="B70" s="2258"/>
      <c r="C70" s="5331"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32"/>
      <c r="E70" s="5332"/>
      <c r="F70" s="5332"/>
      <c r="G70" s="5332"/>
      <c r="H70" s="5332"/>
      <c r="I70" s="5332"/>
      <c r="J70" s="5332"/>
      <c r="K70" s="5332"/>
      <c r="L70" s="5332"/>
      <c r="M70" s="5332"/>
      <c r="N70" s="5332"/>
      <c r="O70" s="5332"/>
      <c r="P70" s="5332"/>
      <c r="Q70" s="5333"/>
      <c r="R70" s="1216"/>
      <c r="S70" s="1210"/>
      <c r="T70" s="1210"/>
      <c r="U70" s="2258"/>
      <c r="V70" s="5331"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32"/>
      <c r="X70" s="5332"/>
      <c r="Y70" s="5332"/>
      <c r="Z70" s="5332"/>
      <c r="AA70" s="5332"/>
      <c r="AB70" s="5332"/>
      <c r="AC70" s="5332"/>
      <c r="AD70" s="5332"/>
      <c r="AE70" s="5332"/>
      <c r="AF70" s="5332"/>
      <c r="AG70" s="5332"/>
      <c r="AH70" s="5332"/>
      <c r="AI70" s="5332"/>
      <c r="AJ70" s="5333"/>
      <c r="AK70" s="1216"/>
      <c r="AL70" s="1210"/>
      <c r="AM70" s="1210"/>
      <c r="AN70" s="2272"/>
      <c r="AO70" s="5331"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32"/>
      <c r="AQ70" s="5332"/>
      <c r="AR70" s="5332"/>
      <c r="AS70" s="5332"/>
      <c r="AT70" s="5332"/>
      <c r="AU70" s="5332"/>
      <c r="AV70" s="5332"/>
      <c r="AW70" s="5332"/>
      <c r="AX70" s="5332"/>
      <c r="AY70" s="5332"/>
      <c r="AZ70" s="5332"/>
      <c r="BA70" s="5332"/>
      <c r="BB70" s="5332"/>
      <c r="BC70" s="5333"/>
      <c r="BD70" s="1216"/>
      <c r="BE70" s="1210"/>
      <c r="BF70" s="1210"/>
      <c r="BG70" s="2272"/>
      <c r="BH70" s="5331"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32"/>
      <c r="BJ70" s="5332"/>
      <c r="BK70" s="5332"/>
      <c r="BL70" s="5332"/>
      <c r="BM70" s="5332"/>
      <c r="BN70" s="5332"/>
      <c r="BO70" s="5332"/>
      <c r="BP70" s="5332"/>
      <c r="BQ70" s="5332"/>
      <c r="BR70" s="5332"/>
      <c r="BS70" s="5332"/>
      <c r="BT70" s="5332"/>
      <c r="BU70" s="5332"/>
      <c r="BV70" s="5333"/>
      <c r="BW70" s="1216"/>
      <c r="BX70" s="1210"/>
      <c r="BY70" s="1210"/>
      <c r="BZ70" s="2272"/>
      <c r="CA70" s="5331"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32"/>
      <c r="CC70" s="5332"/>
      <c r="CD70" s="5332"/>
      <c r="CE70" s="5332"/>
      <c r="CF70" s="5332"/>
      <c r="CG70" s="5332"/>
      <c r="CH70" s="5332"/>
      <c r="CI70" s="5332"/>
      <c r="CJ70" s="5332"/>
      <c r="CK70" s="5332"/>
      <c r="CL70" s="5332"/>
      <c r="CM70" s="5332"/>
      <c r="CN70" s="5332"/>
      <c r="CO70" s="5333"/>
      <c r="CP70" s="1216"/>
      <c r="CQ70" s="1210"/>
    </row>
    <row r="71" spans="1:95" ht="12" customHeight="1" x14ac:dyDescent="0.2">
      <c r="A71" s="1210"/>
      <c r="B71" s="2258"/>
      <c r="C71" s="5334"/>
      <c r="D71" s="5335"/>
      <c r="E71" s="5335"/>
      <c r="F71" s="5335"/>
      <c r="G71" s="5335"/>
      <c r="H71" s="5335"/>
      <c r="I71" s="5335"/>
      <c r="J71" s="5335"/>
      <c r="K71" s="5335"/>
      <c r="L71" s="5335"/>
      <c r="M71" s="5335"/>
      <c r="N71" s="5335"/>
      <c r="O71" s="5335"/>
      <c r="P71" s="5335"/>
      <c r="Q71" s="5336"/>
      <c r="R71" s="1216"/>
      <c r="S71" s="1210"/>
      <c r="T71" s="1210"/>
      <c r="U71" s="2258"/>
      <c r="V71" s="5334"/>
      <c r="W71" s="5335"/>
      <c r="X71" s="5335"/>
      <c r="Y71" s="5335"/>
      <c r="Z71" s="5335"/>
      <c r="AA71" s="5335"/>
      <c r="AB71" s="5335"/>
      <c r="AC71" s="5335"/>
      <c r="AD71" s="5335"/>
      <c r="AE71" s="5335"/>
      <c r="AF71" s="5335"/>
      <c r="AG71" s="5335"/>
      <c r="AH71" s="5335"/>
      <c r="AI71" s="5335"/>
      <c r="AJ71" s="5336"/>
      <c r="AK71" s="1216"/>
      <c r="AL71" s="1210"/>
      <c r="AM71" s="1210"/>
      <c r="AN71" s="2272"/>
      <c r="AO71" s="5334"/>
      <c r="AP71" s="5335"/>
      <c r="AQ71" s="5335"/>
      <c r="AR71" s="5335"/>
      <c r="AS71" s="5335"/>
      <c r="AT71" s="5335"/>
      <c r="AU71" s="5335"/>
      <c r="AV71" s="5335"/>
      <c r="AW71" s="5335"/>
      <c r="AX71" s="5335"/>
      <c r="AY71" s="5335"/>
      <c r="AZ71" s="5335"/>
      <c r="BA71" s="5335"/>
      <c r="BB71" s="5335"/>
      <c r="BC71" s="5336"/>
      <c r="BD71" s="1216"/>
      <c r="BE71" s="1210"/>
      <c r="BF71" s="1210"/>
      <c r="BG71" s="2272"/>
      <c r="BH71" s="5334"/>
      <c r="BI71" s="5335"/>
      <c r="BJ71" s="5335"/>
      <c r="BK71" s="5335"/>
      <c r="BL71" s="5335"/>
      <c r="BM71" s="5335"/>
      <c r="BN71" s="5335"/>
      <c r="BO71" s="5335"/>
      <c r="BP71" s="5335"/>
      <c r="BQ71" s="5335"/>
      <c r="BR71" s="5335"/>
      <c r="BS71" s="5335"/>
      <c r="BT71" s="5335"/>
      <c r="BU71" s="5335"/>
      <c r="BV71" s="5336"/>
      <c r="BW71" s="1216"/>
      <c r="BX71" s="1210"/>
      <c r="BY71" s="1210"/>
      <c r="BZ71" s="2272"/>
      <c r="CA71" s="5334"/>
      <c r="CB71" s="5335"/>
      <c r="CC71" s="5335"/>
      <c r="CD71" s="5335"/>
      <c r="CE71" s="5335"/>
      <c r="CF71" s="5335"/>
      <c r="CG71" s="5335"/>
      <c r="CH71" s="5335"/>
      <c r="CI71" s="5335"/>
      <c r="CJ71" s="5335"/>
      <c r="CK71" s="5335"/>
      <c r="CL71" s="5335"/>
      <c r="CM71" s="5335"/>
      <c r="CN71" s="5335"/>
      <c r="CO71" s="5336"/>
      <c r="CP71" s="1216"/>
      <c r="CQ71" s="1210"/>
    </row>
    <row r="72" spans="1:95" ht="12" customHeight="1" x14ac:dyDescent="0.2">
      <c r="A72" s="1210"/>
      <c r="B72" s="2258"/>
      <c r="C72" s="5334"/>
      <c r="D72" s="5335"/>
      <c r="E72" s="5335"/>
      <c r="F72" s="5335"/>
      <c r="G72" s="5335"/>
      <c r="H72" s="5335"/>
      <c r="I72" s="5335"/>
      <c r="J72" s="5335"/>
      <c r="K72" s="5335"/>
      <c r="L72" s="5335"/>
      <c r="M72" s="5335"/>
      <c r="N72" s="5335"/>
      <c r="O72" s="5335"/>
      <c r="P72" s="5335"/>
      <c r="Q72" s="5336"/>
      <c r="R72" s="1216"/>
      <c r="S72" s="1210"/>
      <c r="T72" s="1210"/>
      <c r="U72" s="2258"/>
      <c r="V72" s="5334"/>
      <c r="W72" s="5335"/>
      <c r="X72" s="5335"/>
      <c r="Y72" s="5335"/>
      <c r="Z72" s="5335"/>
      <c r="AA72" s="5335"/>
      <c r="AB72" s="5335"/>
      <c r="AC72" s="5335"/>
      <c r="AD72" s="5335"/>
      <c r="AE72" s="5335"/>
      <c r="AF72" s="5335"/>
      <c r="AG72" s="5335"/>
      <c r="AH72" s="5335"/>
      <c r="AI72" s="5335"/>
      <c r="AJ72" s="5336"/>
      <c r="AK72" s="1216"/>
      <c r="AL72" s="1210"/>
      <c r="AM72" s="1210"/>
      <c r="AN72" s="2272"/>
      <c r="AO72" s="5334"/>
      <c r="AP72" s="5335"/>
      <c r="AQ72" s="5335"/>
      <c r="AR72" s="5335"/>
      <c r="AS72" s="5335"/>
      <c r="AT72" s="5335"/>
      <c r="AU72" s="5335"/>
      <c r="AV72" s="5335"/>
      <c r="AW72" s="5335"/>
      <c r="AX72" s="5335"/>
      <c r="AY72" s="5335"/>
      <c r="AZ72" s="5335"/>
      <c r="BA72" s="5335"/>
      <c r="BB72" s="5335"/>
      <c r="BC72" s="5336"/>
      <c r="BD72" s="1216"/>
      <c r="BE72" s="1210"/>
      <c r="BF72" s="1210"/>
      <c r="BG72" s="2272"/>
      <c r="BH72" s="5334"/>
      <c r="BI72" s="5335"/>
      <c r="BJ72" s="5335"/>
      <c r="BK72" s="5335"/>
      <c r="BL72" s="5335"/>
      <c r="BM72" s="5335"/>
      <c r="BN72" s="5335"/>
      <c r="BO72" s="5335"/>
      <c r="BP72" s="5335"/>
      <c r="BQ72" s="5335"/>
      <c r="BR72" s="5335"/>
      <c r="BS72" s="5335"/>
      <c r="BT72" s="5335"/>
      <c r="BU72" s="5335"/>
      <c r="BV72" s="5336"/>
      <c r="BW72" s="1216"/>
      <c r="BX72" s="1210"/>
      <c r="BY72" s="1210"/>
      <c r="BZ72" s="2272"/>
      <c r="CA72" s="5334"/>
      <c r="CB72" s="5335"/>
      <c r="CC72" s="5335"/>
      <c r="CD72" s="5335"/>
      <c r="CE72" s="5335"/>
      <c r="CF72" s="5335"/>
      <c r="CG72" s="5335"/>
      <c r="CH72" s="5335"/>
      <c r="CI72" s="5335"/>
      <c r="CJ72" s="5335"/>
      <c r="CK72" s="5335"/>
      <c r="CL72" s="5335"/>
      <c r="CM72" s="5335"/>
      <c r="CN72" s="5335"/>
      <c r="CO72" s="5336"/>
      <c r="CP72" s="1216"/>
      <c r="CQ72" s="1210"/>
    </row>
    <row r="73" spans="1:95" ht="12" customHeight="1" thickBot="1" x14ac:dyDescent="0.25">
      <c r="A73" s="1210"/>
      <c r="B73" s="2258"/>
      <c r="C73" s="5337"/>
      <c r="D73" s="5338"/>
      <c r="E73" s="5338"/>
      <c r="F73" s="5338"/>
      <c r="G73" s="5338"/>
      <c r="H73" s="5338"/>
      <c r="I73" s="5338"/>
      <c r="J73" s="5338"/>
      <c r="K73" s="5338"/>
      <c r="L73" s="5338"/>
      <c r="M73" s="5338"/>
      <c r="N73" s="5338"/>
      <c r="O73" s="5338"/>
      <c r="P73" s="5338"/>
      <c r="Q73" s="5339"/>
      <c r="R73" s="1216"/>
      <c r="S73" s="1210"/>
      <c r="T73" s="1210"/>
      <c r="U73" s="2258"/>
      <c r="V73" s="5337"/>
      <c r="W73" s="5338"/>
      <c r="X73" s="5338"/>
      <c r="Y73" s="5338"/>
      <c r="Z73" s="5338"/>
      <c r="AA73" s="5338"/>
      <c r="AB73" s="5338"/>
      <c r="AC73" s="5338"/>
      <c r="AD73" s="5338"/>
      <c r="AE73" s="5338"/>
      <c r="AF73" s="5338"/>
      <c r="AG73" s="5338"/>
      <c r="AH73" s="5338"/>
      <c r="AI73" s="5338"/>
      <c r="AJ73" s="5339"/>
      <c r="AK73" s="1216"/>
      <c r="AL73" s="1210"/>
      <c r="AM73" s="1210"/>
      <c r="AN73" s="2272"/>
      <c r="AO73" s="5337"/>
      <c r="AP73" s="5338"/>
      <c r="AQ73" s="5338"/>
      <c r="AR73" s="5338"/>
      <c r="AS73" s="5338"/>
      <c r="AT73" s="5338"/>
      <c r="AU73" s="5338"/>
      <c r="AV73" s="5338"/>
      <c r="AW73" s="5338"/>
      <c r="AX73" s="5338"/>
      <c r="AY73" s="5338"/>
      <c r="AZ73" s="5338"/>
      <c r="BA73" s="5338"/>
      <c r="BB73" s="5338"/>
      <c r="BC73" s="5339"/>
      <c r="BD73" s="1216"/>
      <c r="BE73" s="1210"/>
      <c r="BF73" s="1210"/>
      <c r="BG73" s="2272"/>
      <c r="BH73" s="5337"/>
      <c r="BI73" s="5338"/>
      <c r="BJ73" s="5338"/>
      <c r="BK73" s="5338"/>
      <c r="BL73" s="5338"/>
      <c r="BM73" s="5338"/>
      <c r="BN73" s="5338"/>
      <c r="BO73" s="5338"/>
      <c r="BP73" s="5338"/>
      <c r="BQ73" s="5338"/>
      <c r="BR73" s="5338"/>
      <c r="BS73" s="5338"/>
      <c r="BT73" s="5338"/>
      <c r="BU73" s="5338"/>
      <c r="BV73" s="5339"/>
      <c r="BW73" s="1216"/>
      <c r="BX73" s="1210"/>
      <c r="BY73" s="1210"/>
      <c r="BZ73" s="2272"/>
      <c r="CA73" s="5337"/>
      <c r="CB73" s="5338"/>
      <c r="CC73" s="5338"/>
      <c r="CD73" s="5338"/>
      <c r="CE73" s="5338"/>
      <c r="CF73" s="5338"/>
      <c r="CG73" s="5338"/>
      <c r="CH73" s="5338"/>
      <c r="CI73" s="5338"/>
      <c r="CJ73" s="5338"/>
      <c r="CK73" s="5338"/>
      <c r="CL73" s="5338"/>
      <c r="CM73" s="5338"/>
      <c r="CN73" s="5338"/>
      <c r="CO73" s="5339"/>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56"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57"/>
      <c r="E75" s="5357"/>
      <c r="F75" s="5357"/>
      <c r="G75" s="5357"/>
      <c r="H75" s="1230" t="s">
        <v>1630</v>
      </c>
      <c r="I75" s="1231" t="e">
        <f>IF(C75=0,"",VLOOKUP(C75,'Tablas Magia'!$D$6:$Z$680,3,FALSE))</f>
        <v>#N/A</v>
      </c>
      <c r="J75" s="5344" t="s">
        <v>8162</v>
      </c>
      <c r="K75" s="5344"/>
      <c r="L75" s="5344"/>
      <c r="M75" s="5345" t="e">
        <f>IF(C75=0,"",VLOOKUP(C75,'Tablas Magia'!$D$6:$Z$680,2,FALSE))</f>
        <v>#N/A</v>
      </c>
      <c r="N75" s="5345"/>
      <c r="O75" s="5345"/>
      <c r="P75" s="5345"/>
      <c r="Q75" s="5346"/>
      <c r="R75" s="1216"/>
      <c r="S75" s="1210"/>
      <c r="T75" s="1210"/>
      <c r="U75" s="2258">
        <f>U64+2</f>
        <v>34</v>
      </c>
      <c r="V75" s="5356"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57"/>
      <c r="X75" s="5357"/>
      <c r="Y75" s="5357"/>
      <c r="Z75" s="5357"/>
      <c r="AA75" s="1230" t="s">
        <v>1630</v>
      </c>
      <c r="AB75" s="1231" t="e">
        <f>IF(V75=0,"",VLOOKUP(V75,'Tablas Magia'!$D$6:$Z$680,3,FALSE))</f>
        <v>#N/A</v>
      </c>
      <c r="AC75" s="5344" t="s">
        <v>8162</v>
      </c>
      <c r="AD75" s="5344"/>
      <c r="AE75" s="5344"/>
      <c r="AF75" s="5345" t="e">
        <f>IF(V75=0,"",VLOOKUP(V75,'Tablas Magia'!$D$6:$Z$680,2,FALSE))</f>
        <v>#N/A</v>
      </c>
      <c r="AG75" s="5345"/>
      <c r="AH75" s="5345"/>
      <c r="AI75" s="5345"/>
      <c r="AJ75" s="5346"/>
      <c r="AK75" s="1216"/>
      <c r="AL75" s="1210"/>
      <c r="AM75" s="1210"/>
      <c r="AN75" s="2272">
        <f>AN64+2</f>
        <v>54</v>
      </c>
      <c r="AO75" s="5356"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57"/>
      <c r="AQ75" s="5357"/>
      <c r="AR75" s="5357"/>
      <c r="AS75" s="5357"/>
      <c r="AT75" s="1230" t="s">
        <v>1630</v>
      </c>
      <c r="AU75" s="1231" t="e">
        <f>IF(AO75=0,"",VLOOKUP(AO75,'Tablas Magia'!$D$6:$Z$680,3,FALSE))</f>
        <v>#N/A</v>
      </c>
      <c r="AV75" s="5344" t="s">
        <v>8162</v>
      </c>
      <c r="AW75" s="5344"/>
      <c r="AX75" s="5344"/>
      <c r="AY75" s="5345" t="e">
        <f>IF(AO75=0,"",VLOOKUP(AO75,'Tablas Magia'!$D$6:$Z$680,2,FALSE))</f>
        <v>#N/A</v>
      </c>
      <c r="AZ75" s="5345"/>
      <c r="BA75" s="5345"/>
      <c r="BB75" s="5345"/>
      <c r="BC75" s="5346"/>
      <c r="BD75" s="1216"/>
      <c r="BE75" s="1210"/>
      <c r="BF75" s="1210"/>
      <c r="BG75" s="2272">
        <f>BG64+2</f>
        <v>74</v>
      </c>
      <c r="BH75" s="5356"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57"/>
      <c r="BJ75" s="5357"/>
      <c r="BK75" s="5357"/>
      <c r="BL75" s="5357"/>
      <c r="BM75" s="1230" t="s">
        <v>1630</v>
      </c>
      <c r="BN75" s="1231" t="e">
        <f>IF(BH75=0,"",VLOOKUP(BH75,'Tablas Magia'!$D$6:$Z$680,3,FALSE))</f>
        <v>#N/A</v>
      </c>
      <c r="BO75" s="5344" t="s">
        <v>8162</v>
      </c>
      <c r="BP75" s="5344"/>
      <c r="BQ75" s="5344"/>
      <c r="BR75" s="5345" t="e">
        <f>IF(BH75=0,"",VLOOKUP(BH75,'Tablas Magia'!$D$6:$Z$680,2,FALSE))</f>
        <v>#N/A</v>
      </c>
      <c r="BS75" s="5345"/>
      <c r="BT75" s="5345"/>
      <c r="BU75" s="5345"/>
      <c r="BV75" s="5346"/>
      <c r="BW75" s="1216"/>
      <c r="BX75" s="1210"/>
      <c r="BY75" s="1210"/>
      <c r="BZ75" s="2272">
        <f>BZ64+2</f>
        <v>94</v>
      </c>
      <c r="CA75" s="5356"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57"/>
      <c r="CC75" s="5357"/>
      <c r="CD75" s="5357"/>
      <c r="CE75" s="5357"/>
      <c r="CF75" s="1230" t="s">
        <v>1630</v>
      </c>
      <c r="CG75" s="1231" t="e">
        <f>IF(CA75=0,"",VLOOKUP(CA75,'Tablas Magia'!$D$6:$Z$680,3,FALSE))</f>
        <v>#N/A</v>
      </c>
      <c r="CH75" s="5344" t="s">
        <v>8162</v>
      </c>
      <c r="CI75" s="5344"/>
      <c r="CJ75" s="5344"/>
      <c r="CK75" s="5345" t="e">
        <f>IF(CA75=0,"",VLOOKUP(CA75,'Tablas Magia'!$D$6:$Z$680,2,FALSE))</f>
        <v>#N/A</v>
      </c>
      <c r="CL75" s="5345"/>
      <c r="CM75" s="5345"/>
      <c r="CN75" s="5345"/>
      <c r="CO75" s="5346"/>
      <c r="CP75" s="1216"/>
      <c r="CQ75" s="1210"/>
    </row>
    <row r="76" spans="1:95" ht="12" customHeight="1" x14ac:dyDescent="0.2">
      <c r="A76" s="1210"/>
      <c r="B76" s="2258"/>
      <c r="C76" s="5340" t="s">
        <v>8163</v>
      </c>
      <c r="D76" s="5341"/>
      <c r="E76" s="1232" t="s">
        <v>8164</v>
      </c>
      <c r="F76" s="1232" t="s">
        <v>1824</v>
      </c>
      <c r="G76" s="1232" t="s">
        <v>3467</v>
      </c>
      <c r="H76" s="1233" t="s">
        <v>2175</v>
      </c>
      <c r="I76" s="5314" t="e">
        <f>IF(C75=0,"",VLOOKUP(C75,'Tablas Magia'!$D$6:$Z$680,5,FALSE))</f>
        <v>#N/A</v>
      </c>
      <c r="J76" s="5314"/>
      <c r="K76" s="5313" t="s">
        <v>8165</v>
      </c>
      <c r="L76" s="5313"/>
      <c r="M76" s="5314" t="e">
        <f>IF(C75=0,"",VLOOKUP(C75,'Tablas Magia'!$D$6:$Z$680,6,FALSE))</f>
        <v>#N/A</v>
      </c>
      <c r="N76" s="5314"/>
      <c r="O76" s="5315" t="s">
        <v>8166</v>
      </c>
      <c r="P76" s="5315"/>
      <c r="Q76" s="1234" t="e">
        <f>IF(C75=0,"",VLOOKUP(C75,'Tablas Magia'!$D$6:$Z$680,4,FALSE))</f>
        <v>#N/A</v>
      </c>
      <c r="R76" s="1216"/>
      <c r="S76" s="1210"/>
      <c r="T76" s="1210"/>
      <c r="U76" s="2258"/>
      <c r="V76" s="5340" t="s">
        <v>8163</v>
      </c>
      <c r="W76" s="5341"/>
      <c r="X76" s="1232" t="s">
        <v>8164</v>
      </c>
      <c r="Y76" s="1232" t="s">
        <v>1824</v>
      </c>
      <c r="Z76" s="1232" t="s">
        <v>3467</v>
      </c>
      <c r="AA76" s="1233" t="s">
        <v>2175</v>
      </c>
      <c r="AB76" s="5314" t="e">
        <f>IF(V75=0,"",VLOOKUP(V75,'Tablas Magia'!$D$6:$Z$680,5,FALSE))</f>
        <v>#N/A</v>
      </c>
      <c r="AC76" s="5314"/>
      <c r="AD76" s="5313" t="s">
        <v>8165</v>
      </c>
      <c r="AE76" s="5313"/>
      <c r="AF76" s="5314" t="e">
        <f>IF(V75=0,"",VLOOKUP(V75,'Tablas Magia'!$D$6:$Z$680,6,FALSE))</f>
        <v>#N/A</v>
      </c>
      <c r="AG76" s="5314"/>
      <c r="AH76" s="5315" t="s">
        <v>8166</v>
      </c>
      <c r="AI76" s="5315"/>
      <c r="AJ76" s="1234" t="e">
        <f>IF(V75=0,"",VLOOKUP(V75,'Tablas Magia'!$D$6:$Z$680,4,FALSE))</f>
        <v>#N/A</v>
      </c>
      <c r="AK76" s="1216"/>
      <c r="AL76" s="1210"/>
      <c r="AM76" s="1210"/>
      <c r="AN76" s="2272"/>
      <c r="AO76" s="5340" t="s">
        <v>8163</v>
      </c>
      <c r="AP76" s="5341"/>
      <c r="AQ76" s="1232" t="s">
        <v>8164</v>
      </c>
      <c r="AR76" s="1232" t="s">
        <v>1824</v>
      </c>
      <c r="AS76" s="1232" t="s">
        <v>3467</v>
      </c>
      <c r="AT76" s="1233" t="s">
        <v>2175</v>
      </c>
      <c r="AU76" s="5314" t="e">
        <f>IF(AO75=0,"",VLOOKUP(AO75,'Tablas Magia'!$D$6:$Z$680,5,FALSE))</f>
        <v>#N/A</v>
      </c>
      <c r="AV76" s="5314"/>
      <c r="AW76" s="5313" t="s">
        <v>8165</v>
      </c>
      <c r="AX76" s="5313"/>
      <c r="AY76" s="5314" t="e">
        <f>IF(AO75=0,"",VLOOKUP(AO75,'Tablas Magia'!$D$6:$Z$680,6,FALSE))</f>
        <v>#N/A</v>
      </c>
      <c r="AZ76" s="5314"/>
      <c r="BA76" s="5315" t="s">
        <v>8166</v>
      </c>
      <c r="BB76" s="5315"/>
      <c r="BC76" s="1234" t="e">
        <f>IF(AO75=0,"",VLOOKUP(AO75,'Tablas Magia'!$D$6:$Z$680,4,FALSE))</f>
        <v>#N/A</v>
      </c>
      <c r="BD76" s="1216"/>
      <c r="BE76" s="1210"/>
      <c r="BF76" s="1210"/>
      <c r="BG76" s="2272"/>
      <c r="BH76" s="5340" t="s">
        <v>8163</v>
      </c>
      <c r="BI76" s="5341"/>
      <c r="BJ76" s="1232" t="s">
        <v>8164</v>
      </c>
      <c r="BK76" s="1232" t="s">
        <v>1824</v>
      </c>
      <c r="BL76" s="1232" t="s">
        <v>3467</v>
      </c>
      <c r="BM76" s="1233" t="s">
        <v>2175</v>
      </c>
      <c r="BN76" s="5314" t="e">
        <f>IF(BH75=0,"",VLOOKUP(BH75,'Tablas Magia'!$D$6:$Z$680,5,FALSE))</f>
        <v>#N/A</v>
      </c>
      <c r="BO76" s="5314"/>
      <c r="BP76" s="5313" t="s">
        <v>8165</v>
      </c>
      <c r="BQ76" s="5313"/>
      <c r="BR76" s="5314" t="e">
        <f>IF(BH75=0,"",VLOOKUP(BH75,'Tablas Magia'!$D$6:$Z$680,6,FALSE))</f>
        <v>#N/A</v>
      </c>
      <c r="BS76" s="5314"/>
      <c r="BT76" s="5315" t="s">
        <v>8166</v>
      </c>
      <c r="BU76" s="5315"/>
      <c r="BV76" s="1234" t="e">
        <f>IF(BH75=0,"",VLOOKUP(BH75,'Tablas Magia'!$D$6:$Z$680,4,FALSE))</f>
        <v>#N/A</v>
      </c>
      <c r="BW76" s="1216"/>
      <c r="BX76" s="1210"/>
      <c r="BY76" s="1210"/>
      <c r="BZ76" s="2272"/>
      <c r="CA76" s="5340" t="s">
        <v>8163</v>
      </c>
      <c r="CB76" s="5341"/>
      <c r="CC76" s="1232" t="s">
        <v>8164</v>
      </c>
      <c r="CD76" s="1232" t="s">
        <v>1824</v>
      </c>
      <c r="CE76" s="1232" t="s">
        <v>3467</v>
      </c>
      <c r="CF76" s="1233" t="s">
        <v>2175</v>
      </c>
      <c r="CG76" s="5314" t="e">
        <f>IF(CA75=0,"",VLOOKUP(CA75,'Tablas Magia'!$D$6:$Z$680,5,FALSE))</f>
        <v>#N/A</v>
      </c>
      <c r="CH76" s="5314"/>
      <c r="CI76" s="5313" t="s">
        <v>8165</v>
      </c>
      <c r="CJ76" s="5313"/>
      <c r="CK76" s="5314" t="e">
        <f>IF(CA75=0,"",VLOOKUP(CA75,'Tablas Magia'!$D$6:$Z$680,6,FALSE))</f>
        <v>#N/A</v>
      </c>
      <c r="CL76" s="5314"/>
      <c r="CM76" s="5315" t="s">
        <v>8166</v>
      </c>
      <c r="CN76" s="5315"/>
      <c r="CO76" s="1234" t="e">
        <f>IF(CA75=0,"",VLOOKUP(CA75,'Tablas Magia'!$D$6:$Z$680,4,FALSE))</f>
        <v>#N/A</v>
      </c>
      <c r="CP76" s="1216"/>
      <c r="CQ76" s="1210"/>
    </row>
    <row r="77" spans="1:95" ht="12" customHeight="1" x14ac:dyDescent="0.2">
      <c r="A77" s="1210"/>
      <c r="B77" s="2258"/>
      <c r="C77" s="5316" t="s">
        <v>1677</v>
      </c>
      <c r="D77" s="5317"/>
      <c r="E77" s="1235" t="e">
        <f>IF(C75=0,"",VLOOKUP(C75,'Tablas Magia'!$D$6:$Z$680,7,FALSE))</f>
        <v>#N/A</v>
      </c>
      <c r="F77" s="1235" t="e">
        <f>IF(C75=0,"",VLOOKUP(C75,'Tablas Magia'!$D$6:$Z$680,11,FALSE))</f>
        <v>#N/A</v>
      </c>
      <c r="G77" s="1236" t="e">
        <f>IF(C75=0,"",VLOOKUP(C75,'Tablas Magia'!$D$6:$Z$680,15,FALSE))</f>
        <v>#N/A</v>
      </c>
      <c r="H77" s="5318" t="e">
        <f>IF(C75=0,"",VLOOKUP(C75,'Tablas Magia'!$D$6:$Z$680,19,FALSE))</f>
        <v>#N/A</v>
      </c>
      <c r="I77" s="5319"/>
      <c r="J77" s="5319"/>
      <c r="K77" s="5319"/>
      <c r="L77" s="5319"/>
      <c r="M77" s="5319"/>
      <c r="N77" s="5319"/>
      <c r="O77" s="5319"/>
      <c r="P77" s="5319"/>
      <c r="Q77" s="5320"/>
      <c r="R77" s="1216"/>
      <c r="S77" s="1210"/>
      <c r="T77" s="1210"/>
      <c r="U77" s="2258"/>
      <c r="V77" s="5316" t="s">
        <v>1677</v>
      </c>
      <c r="W77" s="5317"/>
      <c r="X77" s="1235" t="e">
        <f>IF(V75=0,"",VLOOKUP(V75,'Tablas Magia'!$D$6:$Z$680,7,FALSE))</f>
        <v>#N/A</v>
      </c>
      <c r="Y77" s="1235" t="e">
        <f>IF(V75=0,"",VLOOKUP(V75,'Tablas Magia'!$D$6:$Z$680,11,FALSE))</f>
        <v>#N/A</v>
      </c>
      <c r="Z77" s="1236" t="e">
        <f>IF(V75=0,"",VLOOKUP(V75,'Tablas Magia'!$D$6:$Z$680,15,FALSE))</f>
        <v>#N/A</v>
      </c>
      <c r="AA77" s="5318" t="e">
        <f>IF(V75=0,"",VLOOKUP(V75,'Tablas Magia'!$D$6:$Z$680,19,FALSE))</f>
        <v>#N/A</v>
      </c>
      <c r="AB77" s="5319"/>
      <c r="AC77" s="5319"/>
      <c r="AD77" s="5319"/>
      <c r="AE77" s="5319"/>
      <c r="AF77" s="5319"/>
      <c r="AG77" s="5319"/>
      <c r="AH77" s="5319"/>
      <c r="AI77" s="5319"/>
      <c r="AJ77" s="5320"/>
      <c r="AK77" s="1216"/>
      <c r="AL77" s="1210"/>
      <c r="AM77" s="1210"/>
      <c r="AN77" s="2272"/>
      <c r="AO77" s="5316" t="s">
        <v>1677</v>
      </c>
      <c r="AP77" s="5317"/>
      <c r="AQ77" s="1235" t="e">
        <f>IF(AO75=0,"",VLOOKUP(AO75,'Tablas Magia'!$D$6:$Z$680,7,FALSE))</f>
        <v>#N/A</v>
      </c>
      <c r="AR77" s="1235" t="e">
        <f>IF(AO75=0,"",VLOOKUP(AO75,'Tablas Magia'!$D$6:$Z$680,11,FALSE))</f>
        <v>#N/A</v>
      </c>
      <c r="AS77" s="1236" t="e">
        <f>IF(AO75=0,"",VLOOKUP(AO75,'Tablas Magia'!$D$6:$Z$680,15,FALSE))</f>
        <v>#N/A</v>
      </c>
      <c r="AT77" s="5318" t="e">
        <f>IF(AO75=0,"",VLOOKUP(AO75,'Tablas Magia'!$D$6:$Z$680,19,FALSE))</f>
        <v>#N/A</v>
      </c>
      <c r="AU77" s="5319"/>
      <c r="AV77" s="5319"/>
      <c r="AW77" s="5319"/>
      <c r="AX77" s="5319"/>
      <c r="AY77" s="5319"/>
      <c r="AZ77" s="5319"/>
      <c r="BA77" s="5319"/>
      <c r="BB77" s="5319"/>
      <c r="BC77" s="5320"/>
      <c r="BD77" s="1216"/>
      <c r="BE77" s="1210"/>
      <c r="BF77" s="1210"/>
      <c r="BG77" s="2272"/>
      <c r="BH77" s="5316" t="s">
        <v>1677</v>
      </c>
      <c r="BI77" s="5317"/>
      <c r="BJ77" s="1235" t="e">
        <f>IF(BH75=0,"",VLOOKUP(BH75,'Tablas Magia'!$D$6:$Z$680,7,FALSE))</f>
        <v>#N/A</v>
      </c>
      <c r="BK77" s="1235" t="e">
        <f>IF(BH75=0,"",VLOOKUP(BH75,'Tablas Magia'!$D$6:$Z$680,11,FALSE))</f>
        <v>#N/A</v>
      </c>
      <c r="BL77" s="1236" t="e">
        <f>IF(BH75=0,"",VLOOKUP(BH75,'Tablas Magia'!$D$6:$Z$680,15,FALSE))</f>
        <v>#N/A</v>
      </c>
      <c r="BM77" s="5318" t="e">
        <f>IF(BH75=0,"",VLOOKUP(BH75,'Tablas Magia'!$D$6:$Z$680,19,FALSE))</f>
        <v>#N/A</v>
      </c>
      <c r="BN77" s="5319"/>
      <c r="BO77" s="5319"/>
      <c r="BP77" s="5319"/>
      <c r="BQ77" s="5319"/>
      <c r="BR77" s="5319"/>
      <c r="BS77" s="5319"/>
      <c r="BT77" s="5319"/>
      <c r="BU77" s="5319"/>
      <c r="BV77" s="5320"/>
      <c r="BW77" s="1216"/>
      <c r="BX77" s="1210"/>
      <c r="BY77" s="1210"/>
      <c r="BZ77" s="2272"/>
      <c r="CA77" s="5316" t="s">
        <v>1677</v>
      </c>
      <c r="CB77" s="5317"/>
      <c r="CC77" s="1235" t="e">
        <f>IF(CA75=0,"",VLOOKUP(CA75,'Tablas Magia'!$D$6:$Z$680,7,FALSE))</f>
        <v>#N/A</v>
      </c>
      <c r="CD77" s="1235" t="e">
        <f>IF(CA75=0,"",VLOOKUP(CA75,'Tablas Magia'!$D$6:$Z$680,11,FALSE))</f>
        <v>#N/A</v>
      </c>
      <c r="CE77" s="1236" t="e">
        <f>IF(CA75=0,"",VLOOKUP(CA75,'Tablas Magia'!$D$6:$Z$680,15,FALSE))</f>
        <v>#N/A</v>
      </c>
      <c r="CF77" s="5318" t="e">
        <f>IF(CA75=0,"",VLOOKUP(CA75,'Tablas Magia'!$D$6:$Z$680,19,FALSE))</f>
        <v>#N/A</v>
      </c>
      <c r="CG77" s="5319"/>
      <c r="CH77" s="5319"/>
      <c r="CI77" s="5319"/>
      <c r="CJ77" s="5319"/>
      <c r="CK77" s="5319"/>
      <c r="CL77" s="5319"/>
      <c r="CM77" s="5319"/>
      <c r="CN77" s="5319"/>
      <c r="CO77" s="5320"/>
      <c r="CP77" s="1216"/>
      <c r="CQ77" s="1210"/>
    </row>
    <row r="78" spans="1:95" ht="12" customHeight="1" x14ac:dyDescent="0.2">
      <c r="A78" s="1210"/>
      <c r="B78" s="2258"/>
      <c r="C78" s="5321" t="s">
        <v>4705</v>
      </c>
      <c r="D78" s="5322"/>
      <c r="E78" s="1237" t="e">
        <f>IF(C75=0,"",VLOOKUP(C75,'Tablas Magia'!$D$6:$Z$680,8,FALSE))</f>
        <v>#N/A</v>
      </c>
      <c r="F78" s="1237" t="e">
        <f>IF(C75=0,"",VLOOKUP(C75,'Tablas Magia'!$D$6:$Z$680,12,FALSE))</f>
        <v>#N/A</v>
      </c>
      <c r="G78" s="1238" t="e">
        <f>IF(C75=0,"",VLOOKUP(C75,'Tablas Magia'!$D$6:$Z$680,16,FALSE))</f>
        <v>#N/A</v>
      </c>
      <c r="H78" s="5323" t="e">
        <f>IF(C75=0,"",VLOOKUP(C75,'Tablas Magia'!$D$6:$Z$680,20,FALSE))</f>
        <v>#N/A</v>
      </c>
      <c r="I78" s="5324"/>
      <c r="J78" s="5324"/>
      <c r="K78" s="5324"/>
      <c r="L78" s="5324"/>
      <c r="M78" s="5324"/>
      <c r="N78" s="5324"/>
      <c r="O78" s="5324"/>
      <c r="P78" s="5324"/>
      <c r="Q78" s="5325"/>
      <c r="R78" s="1216"/>
      <c r="S78" s="1210"/>
      <c r="T78" s="1210"/>
      <c r="U78" s="2258"/>
      <c r="V78" s="5321" t="s">
        <v>4705</v>
      </c>
      <c r="W78" s="5322"/>
      <c r="X78" s="1237" t="e">
        <f>IF(V75=0,"",VLOOKUP(V75,'Tablas Magia'!$D$6:$Z$680,8,FALSE))</f>
        <v>#N/A</v>
      </c>
      <c r="Y78" s="1237" t="e">
        <f>IF(V75=0,"",VLOOKUP(V75,'Tablas Magia'!$D$6:$Z$680,12,FALSE))</f>
        <v>#N/A</v>
      </c>
      <c r="Z78" s="1238" t="e">
        <f>IF(V75=0,"",VLOOKUP(V75,'Tablas Magia'!$D$6:$Z$680,16,FALSE))</f>
        <v>#N/A</v>
      </c>
      <c r="AA78" s="5323" t="e">
        <f>IF(V75=0,"",VLOOKUP(V75,'Tablas Magia'!$D$6:$Z$680,20,FALSE))</f>
        <v>#N/A</v>
      </c>
      <c r="AB78" s="5324"/>
      <c r="AC78" s="5324"/>
      <c r="AD78" s="5324"/>
      <c r="AE78" s="5324"/>
      <c r="AF78" s="5324"/>
      <c r="AG78" s="5324"/>
      <c r="AH78" s="5324"/>
      <c r="AI78" s="5324"/>
      <c r="AJ78" s="5325"/>
      <c r="AK78" s="1216"/>
      <c r="AL78" s="1210"/>
      <c r="AM78" s="1210"/>
      <c r="AN78" s="2272"/>
      <c r="AO78" s="5321" t="s">
        <v>4705</v>
      </c>
      <c r="AP78" s="5322"/>
      <c r="AQ78" s="1237" t="e">
        <f>IF(AO75=0,"",VLOOKUP(AO75,'Tablas Magia'!$D$6:$Z$680,8,FALSE))</f>
        <v>#N/A</v>
      </c>
      <c r="AR78" s="1237" t="e">
        <f>IF(AO75=0,"",VLOOKUP(AO75,'Tablas Magia'!$D$6:$Z$680,12,FALSE))</f>
        <v>#N/A</v>
      </c>
      <c r="AS78" s="1238" t="e">
        <f>IF(AO75=0,"",VLOOKUP(AO75,'Tablas Magia'!$D$6:$Z$680,16,FALSE))</f>
        <v>#N/A</v>
      </c>
      <c r="AT78" s="5323" t="e">
        <f>IF(AO75=0,"",VLOOKUP(AO75,'Tablas Magia'!$D$6:$Z$680,20,FALSE))</f>
        <v>#N/A</v>
      </c>
      <c r="AU78" s="5324"/>
      <c r="AV78" s="5324"/>
      <c r="AW78" s="5324"/>
      <c r="AX78" s="5324"/>
      <c r="AY78" s="5324"/>
      <c r="AZ78" s="5324"/>
      <c r="BA78" s="5324"/>
      <c r="BB78" s="5324"/>
      <c r="BC78" s="5325"/>
      <c r="BD78" s="1216"/>
      <c r="BE78" s="1210"/>
      <c r="BF78" s="1210"/>
      <c r="BG78" s="2272"/>
      <c r="BH78" s="5321" t="s">
        <v>4705</v>
      </c>
      <c r="BI78" s="5322"/>
      <c r="BJ78" s="1237" t="e">
        <f>IF(BH75=0,"",VLOOKUP(BH75,'Tablas Magia'!$D$6:$Z$680,8,FALSE))</f>
        <v>#N/A</v>
      </c>
      <c r="BK78" s="1237" t="e">
        <f>IF(BH75=0,"",VLOOKUP(BH75,'Tablas Magia'!$D$6:$Z$680,12,FALSE))</f>
        <v>#N/A</v>
      </c>
      <c r="BL78" s="1238" t="e">
        <f>IF(BH75=0,"",VLOOKUP(BH75,'Tablas Magia'!$D$6:$Z$680,16,FALSE))</f>
        <v>#N/A</v>
      </c>
      <c r="BM78" s="5323" t="e">
        <f>IF(BH75=0,"",VLOOKUP(BH75,'Tablas Magia'!$D$6:$Z$680,20,FALSE))</f>
        <v>#N/A</v>
      </c>
      <c r="BN78" s="5324"/>
      <c r="BO78" s="5324"/>
      <c r="BP78" s="5324"/>
      <c r="BQ78" s="5324"/>
      <c r="BR78" s="5324"/>
      <c r="BS78" s="5324"/>
      <c r="BT78" s="5324"/>
      <c r="BU78" s="5324"/>
      <c r="BV78" s="5325"/>
      <c r="BW78" s="1216"/>
      <c r="BX78" s="1210"/>
      <c r="BY78" s="1210"/>
      <c r="BZ78" s="2272"/>
      <c r="CA78" s="5321" t="s">
        <v>4705</v>
      </c>
      <c r="CB78" s="5322"/>
      <c r="CC78" s="1237" t="e">
        <f>IF(CA75=0,"",VLOOKUP(CA75,'Tablas Magia'!$D$6:$Z$680,8,FALSE))</f>
        <v>#N/A</v>
      </c>
      <c r="CD78" s="1237" t="e">
        <f>IF(CA75=0,"",VLOOKUP(CA75,'Tablas Magia'!$D$6:$Z$680,12,FALSE))</f>
        <v>#N/A</v>
      </c>
      <c r="CE78" s="1238" t="e">
        <f>IF(CA75=0,"",VLOOKUP(CA75,'Tablas Magia'!$D$6:$Z$680,16,FALSE))</f>
        <v>#N/A</v>
      </c>
      <c r="CF78" s="5323" t="e">
        <f>IF(CA75=0,"",VLOOKUP(CA75,'Tablas Magia'!$D$6:$Z$680,20,FALSE))</f>
        <v>#N/A</v>
      </c>
      <c r="CG78" s="5324"/>
      <c r="CH78" s="5324"/>
      <c r="CI78" s="5324"/>
      <c r="CJ78" s="5324"/>
      <c r="CK78" s="5324"/>
      <c r="CL78" s="5324"/>
      <c r="CM78" s="5324"/>
      <c r="CN78" s="5324"/>
      <c r="CO78" s="5325"/>
      <c r="CP78" s="1216"/>
      <c r="CQ78" s="1210"/>
    </row>
    <row r="79" spans="1:95" ht="12" customHeight="1" x14ac:dyDescent="0.2">
      <c r="A79" s="1210"/>
      <c r="B79" s="2258"/>
      <c r="C79" s="5316" t="s">
        <v>4706</v>
      </c>
      <c r="D79" s="5317"/>
      <c r="E79" s="1235" t="e">
        <f>IF(C75=0,"",VLOOKUP(C75,'Tablas Magia'!$D$6:$Z$680,9,FALSE))</f>
        <v>#N/A</v>
      </c>
      <c r="F79" s="1235" t="e">
        <f>IF(C75=0,"",VLOOKUP(C75,'Tablas Magia'!$D$6:$Z$680,13,FALSE))</f>
        <v>#N/A</v>
      </c>
      <c r="G79" s="1236" t="e">
        <f>IF(C75=0,"",VLOOKUP(C75,'Tablas Magia'!$D$6:$Z$680,17,FALSE))</f>
        <v>#N/A</v>
      </c>
      <c r="H79" s="5318" t="e">
        <f>IF(C75=0,"",VLOOKUP(C75,'Tablas Magia'!$D$6:$Z$680,21,FALSE))</f>
        <v>#N/A</v>
      </c>
      <c r="I79" s="5319"/>
      <c r="J79" s="5319"/>
      <c r="K79" s="5319"/>
      <c r="L79" s="5319"/>
      <c r="M79" s="5319"/>
      <c r="N79" s="5319"/>
      <c r="O79" s="5319"/>
      <c r="P79" s="5319"/>
      <c r="Q79" s="5320"/>
      <c r="R79" s="1216"/>
      <c r="S79" s="1210"/>
      <c r="T79" s="1210"/>
      <c r="U79" s="2258"/>
      <c r="V79" s="5316" t="s">
        <v>4706</v>
      </c>
      <c r="W79" s="5317"/>
      <c r="X79" s="1235" t="e">
        <f>IF(V75=0,"",VLOOKUP(V75,'Tablas Magia'!$D$6:$Z$680,9,FALSE))</f>
        <v>#N/A</v>
      </c>
      <c r="Y79" s="1235" t="e">
        <f>IF(V75=0,"",VLOOKUP(V75,'Tablas Magia'!$D$6:$Z$680,13,FALSE))</f>
        <v>#N/A</v>
      </c>
      <c r="Z79" s="1236" t="e">
        <f>IF(V75=0,"",VLOOKUP(V75,'Tablas Magia'!$D$6:$Z$680,17,FALSE))</f>
        <v>#N/A</v>
      </c>
      <c r="AA79" s="5318" t="e">
        <f>IF(V75=0,"",VLOOKUP(V75,'Tablas Magia'!$D$6:$Z$680,21,FALSE))</f>
        <v>#N/A</v>
      </c>
      <c r="AB79" s="5319"/>
      <c r="AC79" s="5319"/>
      <c r="AD79" s="5319"/>
      <c r="AE79" s="5319"/>
      <c r="AF79" s="5319"/>
      <c r="AG79" s="5319"/>
      <c r="AH79" s="5319"/>
      <c r="AI79" s="5319"/>
      <c r="AJ79" s="5320"/>
      <c r="AK79" s="1216"/>
      <c r="AL79" s="1210"/>
      <c r="AM79" s="1210"/>
      <c r="AN79" s="2272"/>
      <c r="AO79" s="5316" t="s">
        <v>4706</v>
      </c>
      <c r="AP79" s="5317"/>
      <c r="AQ79" s="1235" t="e">
        <f>IF(AO75=0,"",VLOOKUP(AO75,'Tablas Magia'!$D$6:$Z$680,9,FALSE))</f>
        <v>#N/A</v>
      </c>
      <c r="AR79" s="1235" t="e">
        <f>IF(AO75=0,"",VLOOKUP(AO75,'Tablas Magia'!$D$6:$Z$680,13,FALSE))</f>
        <v>#N/A</v>
      </c>
      <c r="AS79" s="1236" t="e">
        <f>IF(AO75=0,"",VLOOKUP(AO75,'Tablas Magia'!$D$6:$Z$680,17,FALSE))</f>
        <v>#N/A</v>
      </c>
      <c r="AT79" s="5318" t="e">
        <f>IF(AO75=0,"",VLOOKUP(AO75,'Tablas Magia'!$D$6:$Z$680,21,FALSE))</f>
        <v>#N/A</v>
      </c>
      <c r="AU79" s="5319"/>
      <c r="AV79" s="5319"/>
      <c r="AW79" s="5319"/>
      <c r="AX79" s="5319"/>
      <c r="AY79" s="5319"/>
      <c r="AZ79" s="5319"/>
      <c r="BA79" s="5319"/>
      <c r="BB79" s="5319"/>
      <c r="BC79" s="5320"/>
      <c r="BD79" s="1216"/>
      <c r="BE79" s="1210"/>
      <c r="BF79" s="1210"/>
      <c r="BG79" s="2272"/>
      <c r="BH79" s="5316" t="s">
        <v>4706</v>
      </c>
      <c r="BI79" s="5317"/>
      <c r="BJ79" s="1235" t="e">
        <f>IF(BH75=0,"",VLOOKUP(BH75,'Tablas Magia'!$D$6:$Z$680,9,FALSE))</f>
        <v>#N/A</v>
      </c>
      <c r="BK79" s="1235" t="e">
        <f>IF(BH75=0,"",VLOOKUP(BH75,'Tablas Magia'!$D$6:$Z$680,13,FALSE))</f>
        <v>#N/A</v>
      </c>
      <c r="BL79" s="1236" t="e">
        <f>IF(BH75=0,"",VLOOKUP(BH75,'Tablas Magia'!$D$6:$Z$680,17,FALSE))</f>
        <v>#N/A</v>
      </c>
      <c r="BM79" s="5318" t="e">
        <f>IF(BH75=0,"",VLOOKUP(BH75,'Tablas Magia'!$D$6:$Z$680,21,FALSE))</f>
        <v>#N/A</v>
      </c>
      <c r="BN79" s="5319"/>
      <c r="BO79" s="5319"/>
      <c r="BP79" s="5319"/>
      <c r="BQ79" s="5319"/>
      <c r="BR79" s="5319"/>
      <c r="BS79" s="5319"/>
      <c r="BT79" s="5319"/>
      <c r="BU79" s="5319"/>
      <c r="BV79" s="5320"/>
      <c r="BW79" s="1216"/>
      <c r="BX79" s="1210"/>
      <c r="BY79" s="1210"/>
      <c r="BZ79" s="2272"/>
      <c r="CA79" s="5316" t="s">
        <v>4706</v>
      </c>
      <c r="CB79" s="5317"/>
      <c r="CC79" s="1235" t="e">
        <f>IF(CA75=0,"",VLOOKUP(CA75,'Tablas Magia'!$D$6:$Z$680,9,FALSE))</f>
        <v>#N/A</v>
      </c>
      <c r="CD79" s="1235" t="e">
        <f>IF(CA75=0,"",VLOOKUP(CA75,'Tablas Magia'!$D$6:$Z$680,13,FALSE))</f>
        <v>#N/A</v>
      </c>
      <c r="CE79" s="1236" t="e">
        <f>IF(CA75=0,"",VLOOKUP(CA75,'Tablas Magia'!$D$6:$Z$680,17,FALSE))</f>
        <v>#N/A</v>
      </c>
      <c r="CF79" s="5318" t="e">
        <f>IF(CA75=0,"",VLOOKUP(CA75,'Tablas Magia'!$D$6:$Z$680,21,FALSE))</f>
        <v>#N/A</v>
      </c>
      <c r="CG79" s="5319"/>
      <c r="CH79" s="5319"/>
      <c r="CI79" s="5319"/>
      <c r="CJ79" s="5319"/>
      <c r="CK79" s="5319"/>
      <c r="CL79" s="5319"/>
      <c r="CM79" s="5319"/>
      <c r="CN79" s="5319"/>
      <c r="CO79" s="5320"/>
      <c r="CP79" s="1216"/>
      <c r="CQ79" s="1210"/>
    </row>
    <row r="80" spans="1:95" ht="12" customHeight="1" thickBot="1" x14ac:dyDescent="0.25">
      <c r="A80" s="1210"/>
      <c r="B80" s="2258"/>
      <c r="C80" s="5326" t="s">
        <v>4707</v>
      </c>
      <c r="D80" s="5327"/>
      <c r="E80" s="1239" t="e">
        <f>IF(C75=0,"",VLOOKUP(C75,'Tablas Magia'!$D$6:$Z$680,10,FALSE))</f>
        <v>#N/A</v>
      </c>
      <c r="F80" s="1239" t="e">
        <f>IF(C75=0,"",VLOOKUP(C75,'Tablas Magia'!$D$6:$Z$680,14,FALSE))</f>
        <v>#N/A</v>
      </c>
      <c r="G80" s="1240" t="e">
        <f>IF(C75=0,"",VLOOKUP(C75,'Tablas Magia'!$D$6:$Z$680,18,FALSE))</f>
        <v>#N/A</v>
      </c>
      <c r="H80" s="5328" t="e">
        <f>IF(C75=0,"",VLOOKUP(C75,'Tablas Magia'!$D$6:$Z$680,22,FALSE))</f>
        <v>#N/A</v>
      </c>
      <c r="I80" s="5329"/>
      <c r="J80" s="5329"/>
      <c r="K80" s="5329"/>
      <c r="L80" s="5329"/>
      <c r="M80" s="5329"/>
      <c r="N80" s="5329"/>
      <c r="O80" s="5329"/>
      <c r="P80" s="5329"/>
      <c r="Q80" s="5330"/>
      <c r="R80" s="1216"/>
      <c r="S80" s="1210"/>
      <c r="T80" s="1210"/>
      <c r="U80" s="2258"/>
      <c r="V80" s="5326" t="s">
        <v>4707</v>
      </c>
      <c r="W80" s="5327"/>
      <c r="X80" s="1239" t="e">
        <f>IF(V75=0,"",VLOOKUP(V75,'Tablas Magia'!$D$6:$Z$680,10,FALSE))</f>
        <v>#N/A</v>
      </c>
      <c r="Y80" s="1239" t="e">
        <f>IF(V75=0,"",VLOOKUP(V75,'Tablas Magia'!$D$6:$Z$680,14,FALSE))</f>
        <v>#N/A</v>
      </c>
      <c r="Z80" s="1240" t="e">
        <f>IF(V75=0,"",VLOOKUP(V75,'Tablas Magia'!$D$6:$Z$680,18,FALSE))</f>
        <v>#N/A</v>
      </c>
      <c r="AA80" s="5328" t="e">
        <f>IF(V75=0,"",VLOOKUP(V75,'Tablas Magia'!$D$6:$Z$680,22,FALSE))</f>
        <v>#N/A</v>
      </c>
      <c r="AB80" s="5329"/>
      <c r="AC80" s="5329"/>
      <c r="AD80" s="5329"/>
      <c r="AE80" s="5329"/>
      <c r="AF80" s="5329"/>
      <c r="AG80" s="5329"/>
      <c r="AH80" s="5329"/>
      <c r="AI80" s="5329"/>
      <c r="AJ80" s="5330"/>
      <c r="AK80" s="1216"/>
      <c r="AL80" s="1210"/>
      <c r="AM80" s="1210"/>
      <c r="AN80" s="2272"/>
      <c r="AO80" s="5326" t="s">
        <v>4707</v>
      </c>
      <c r="AP80" s="5327"/>
      <c r="AQ80" s="1239" t="e">
        <f>IF(AO75=0,"",VLOOKUP(AO75,'Tablas Magia'!$D$6:$Z$680,10,FALSE))</f>
        <v>#N/A</v>
      </c>
      <c r="AR80" s="1239" t="e">
        <f>IF(AO75=0,"",VLOOKUP(AO75,'Tablas Magia'!$D$6:$Z$680,14,FALSE))</f>
        <v>#N/A</v>
      </c>
      <c r="AS80" s="1240" t="e">
        <f>IF(AO75=0,"",VLOOKUP(AO75,'Tablas Magia'!$D$6:$Z$680,18,FALSE))</f>
        <v>#N/A</v>
      </c>
      <c r="AT80" s="5328" t="e">
        <f>IF(AO75=0,"",VLOOKUP(AO75,'Tablas Magia'!$D$6:$Z$680,22,FALSE))</f>
        <v>#N/A</v>
      </c>
      <c r="AU80" s="5329"/>
      <c r="AV80" s="5329"/>
      <c r="AW80" s="5329"/>
      <c r="AX80" s="5329"/>
      <c r="AY80" s="5329"/>
      <c r="AZ80" s="5329"/>
      <c r="BA80" s="5329"/>
      <c r="BB80" s="5329"/>
      <c r="BC80" s="5330"/>
      <c r="BD80" s="1216"/>
      <c r="BE80" s="1210"/>
      <c r="BF80" s="1210"/>
      <c r="BG80" s="2272"/>
      <c r="BH80" s="5326" t="s">
        <v>4707</v>
      </c>
      <c r="BI80" s="5327"/>
      <c r="BJ80" s="1239" t="e">
        <f>IF(BH75=0,"",VLOOKUP(BH75,'Tablas Magia'!$D$6:$Z$680,10,FALSE))</f>
        <v>#N/A</v>
      </c>
      <c r="BK80" s="1239" t="e">
        <f>IF(BH75=0,"",VLOOKUP(BH75,'Tablas Magia'!$D$6:$Z$680,14,FALSE))</f>
        <v>#N/A</v>
      </c>
      <c r="BL80" s="1240" t="e">
        <f>IF(BH75=0,"",VLOOKUP(BH75,'Tablas Magia'!$D$6:$Z$680,18,FALSE))</f>
        <v>#N/A</v>
      </c>
      <c r="BM80" s="5328" t="e">
        <f>IF(BH75=0,"",VLOOKUP(BH75,'Tablas Magia'!$D$6:$Z$680,22,FALSE))</f>
        <v>#N/A</v>
      </c>
      <c r="BN80" s="5329"/>
      <c r="BO80" s="5329"/>
      <c r="BP80" s="5329"/>
      <c r="BQ80" s="5329"/>
      <c r="BR80" s="5329"/>
      <c r="BS80" s="5329"/>
      <c r="BT80" s="5329"/>
      <c r="BU80" s="5329"/>
      <c r="BV80" s="5330"/>
      <c r="BW80" s="1216"/>
      <c r="BX80" s="1210"/>
      <c r="BY80" s="1210"/>
      <c r="BZ80" s="2272"/>
      <c r="CA80" s="5326" t="s">
        <v>4707</v>
      </c>
      <c r="CB80" s="5327"/>
      <c r="CC80" s="1239" t="e">
        <f>IF(CA75=0,"",VLOOKUP(CA75,'Tablas Magia'!$D$6:$Z$680,10,FALSE))</f>
        <v>#N/A</v>
      </c>
      <c r="CD80" s="1239" t="e">
        <f>IF(CA75=0,"",VLOOKUP(CA75,'Tablas Magia'!$D$6:$Z$680,14,FALSE))</f>
        <v>#N/A</v>
      </c>
      <c r="CE80" s="1240" t="e">
        <f>IF(CA75=0,"",VLOOKUP(CA75,'Tablas Magia'!$D$6:$Z$680,18,FALSE))</f>
        <v>#N/A</v>
      </c>
      <c r="CF80" s="5328" t="e">
        <f>IF(CA75=0,"",VLOOKUP(CA75,'Tablas Magia'!$D$6:$Z$680,22,FALSE))</f>
        <v>#N/A</v>
      </c>
      <c r="CG80" s="5329"/>
      <c r="CH80" s="5329"/>
      <c r="CI80" s="5329"/>
      <c r="CJ80" s="5329"/>
      <c r="CK80" s="5329"/>
      <c r="CL80" s="5329"/>
      <c r="CM80" s="5329"/>
      <c r="CN80" s="5329"/>
      <c r="CO80" s="5330"/>
      <c r="CP80" s="1216"/>
      <c r="CQ80" s="1210"/>
    </row>
    <row r="81" spans="1:95" ht="12" customHeight="1" x14ac:dyDescent="0.2">
      <c r="A81" s="1210"/>
      <c r="B81" s="2258"/>
      <c r="C81" s="5331" t="e">
        <f>IF(C75=0,"",VLOOKUP(C75,'Tablas Magia'!$D$6:$Z$680,23,FALSE))</f>
        <v>#N/A</v>
      </c>
      <c r="D81" s="5332"/>
      <c r="E81" s="5332"/>
      <c r="F81" s="5332"/>
      <c r="G81" s="5332"/>
      <c r="H81" s="5332"/>
      <c r="I81" s="5332"/>
      <c r="J81" s="5332"/>
      <c r="K81" s="5332"/>
      <c r="L81" s="5332"/>
      <c r="M81" s="5332"/>
      <c r="N81" s="5332"/>
      <c r="O81" s="5332"/>
      <c r="P81" s="5332"/>
      <c r="Q81" s="5333"/>
      <c r="R81" s="1216"/>
      <c r="S81" s="1210"/>
      <c r="T81" s="1210"/>
      <c r="U81" s="2258"/>
      <c r="V81" s="5331" t="e">
        <f>IF(V75=0,"",VLOOKUP(V75,'Tablas Magia'!$D$6:$Z$680,23,FALSE))</f>
        <v>#N/A</v>
      </c>
      <c r="W81" s="5332"/>
      <c r="X81" s="5332"/>
      <c r="Y81" s="5332"/>
      <c r="Z81" s="5332"/>
      <c r="AA81" s="5332"/>
      <c r="AB81" s="5332"/>
      <c r="AC81" s="5332"/>
      <c r="AD81" s="5332"/>
      <c r="AE81" s="5332"/>
      <c r="AF81" s="5332"/>
      <c r="AG81" s="5332"/>
      <c r="AH81" s="5332"/>
      <c r="AI81" s="5332"/>
      <c r="AJ81" s="5333"/>
      <c r="AK81" s="1216"/>
      <c r="AL81" s="1210"/>
      <c r="AM81" s="1210"/>
      <c r="AN81" s="2272"/>
      <c r="AO81" s="5331" t="e">
        <f>IF(AO75=0,"",VLOOKUP(AO75,'Tablas Magia'!$D$6:$Z$680,23,FALSE))</f>
        <v>#N/A</v>
      </c>
      <c r="AP81" s="5332"/>
      <c r="AQ81" s="5332"/>
      <c r="AR81" s="5332"/>
      <c r="AS81" s="5332"/>
      <c r="AT81" s="5332"/>
      <c r="AU81" s="5332"/>
      <c r="AV81" s="5332"/>
      <c r="AW81" s="5332"/>
      <c r="AX81" s="5332"/>
      <c r="AY81" s="5332"/>
      <c r="AZ81" s="5332"/>
      <c r="BA81" s="5332"/>
      <c r="BB81" s="5332"/>
      <c r="BC81" s="5333"/>
      <c r="BD81" s="1216"/>
      <c r="BE81" s="1210"/>
      <c r="BF81" s="1210"/>
      <c r="BG81" s="2272"/>
      <c r="BH81" s="5331" t="e">
        <f>IF(BH75=0,"",VLOOKUP(BH75,'Tablas Magia'!$D$6:$Z$680,23,FALSE))</f>
        <v>#N/A</v>
      </c>
      <c r="BI81" s="5332"/>
      <c r="BJ81" s="5332"/>
      <c r="BK81" s="5332"/>
      <c r="BL81" s="5332"/>
      <c r="BM81" s="5332"/>
      <c r="BN81" s="5332"/>
      <c r="BO81" s="5332"/>
      <c r="BP81" s="5332"/>
      <c r="BQ81" s="5332"/>
      <c r="BR81" s="5332"/>
      <c r="BS81" s="5332"/>
      <c r="BT81" s="5332"/>
      <c r="BU81" s="5332"/>
      <c r="BV81" s="5333"/>
      <c r="BW81" s="1216"/>
      <c r="BX81" s="1210"/>
      <c r="BY81" s="1210"/>
      <c r="BZ81" s="2272"/>
      <c r="CA81" s="5331" t="e">
        <f>IF(CA75=0,"",VLOOKUP(CA75,'Tablas Magia'!$D$6:$Z$680,23,FALSE))</f>
        <v>#N/A</v>
      </c>
      <c r="CB81" s="5332"/>
      <c r="CC81" s="5332"/>
      <c r="CD81" s="5332"/>
      <c r="CE81" s="5332"/>
      <c r="CF81" s="5332"/>
      <c r="CG81" s="5332"/>
      <c r="CH81" s="5332"/>
      <c r="CI81" s="5332"/>
      <c r="CJ81" s="5332"/>
      <c r="CK81" s="5332"/>
      <c r="CL81" s="5332"/>
      <c r="CM81" s="5332"/>
      <c r="CN81" s="5332"/>
      <c r="CO81" s="5333"/>
      <c r="CP81" s="1216"/>
      <c r="CQ81" s="1210"/>
    </row>
    <row r="82" spans="1:95" ht="12" customHeight="1" x14ac:dyDescent="0.2">
      <c r="A82" s="1210"/>
      <c r="B82" s="2258"/>
      <c r="C82" s="5334"/>
      <c r="D82" s="5335"/>
      <c r="E82" s="5335"/>
      <c r="F82" s="5335"/>
      <c r="G82" s="5335"/>
      <c r="H82" s="5335"/>
      <c r="I82" s="5335"/>
      <c r="J82" s="5335"/>
      <c r="K82" s="5335"/>
      <c r="L82" s="5335"/>
      <c r="M82" s="5335"/>
      <c r="N82" s="5335"/>
      <c r="O82" s="5335"/>
      <c r="P82" s="5335"/>
      <c r="Q82" s="5336"/>
      <c r="R82" s="1216"/>
      <c r="S82" s="1210"/>
      <c r="T82" s="1210"/>
      <c r="U82" s="2258"/>
      <c r="V82" s="5334"/>
      <c r="W82" s="5335"/>
      <c r="X82" s="5335"/>
      <c r="Y82" s="5335"/>
      <c r="Z82" s="5335"/>
      <c r="AA82" s="5335"/>
      <c r="AB82" s="5335"/>
      <c r="AC82" s="5335"/>
      <c r="AD82" s="5335"/>
      <c r="AE82" s="5335"/>
      <c r="AF82" s="5335"/>
      <c r="AG82" s="5335"/>
      <c r="AH82" s="5335"/>
      <c r="AI82" s="5335"/>
      <c r="AJ82" s="5336"/>
      <c r="AK82" s="1216"/>
      <c r="AL82" s="1210"/>
      <c r="AM82" s="1210"/>
      <c r="AN82" s="2272"/>
      <c r="AO82" s="5334"/>
      <c r="AP82" s="5335"/>
      <c r="AQ82" s="5335"/>
      <c r="AR82" s="5335"/>
      <c r="AS82" s="5335"/>
      <c r="AT82" s="5335"/>
      <c r="AU82" s="5335"/>
      <c r="AV82" s="5335"/>
      <c r="AW82" s="5335"/>
      <c r="AX82" s="5335"/>
      <c r="AY82" s="5335"/>
      <c r="AZ82" s="5335"/>
      <c r="BA82" s="5335"/>
      <c r="BB82" s="5335"/>
      <c r="BC82" s="5336"/>
      <c r="BD82" s="1216"/>
      <c r="BE82" s="1210"/>
      <c r="BF82" s="1210"/>
      <c r="BG82" s="2272"/>
      <c r="BH82" s="5334"/>
      <c r="BI82" s="5335"/>
      <c r="BJ82" s="5335"/>
      <c r="BK82" s="5335"/>
      <c r="BL82" s="5335"/>
      <c r="BM82" s="5335"/>
      <c r="BN82" s="5335"/>
      <c r="BO82" s="5335"/>
      <c r="BP82" s="5335"/>
      <c r="BQ82" s="5335"/>
      <c r="BR82" s="5335"/>
      <c r="BS82" s="5335"/>
      <c r="BT82" s="5335"/>
      <c r="BU82" s="5335"/>
      <c r="BV82" s="5336"/>
      <c r="BW82" s="1216"/>
      <c r="BX82" s="1210"/>
      <c r="BY82" s="1210"/>
      <c r="BZ82" s="2272"/>
      <c r="CA82" s="5334"/>
      <c r="CB82" s="5335"/>
      <c r="CC82" s="5335"/>
      <c r="CD82" s="5335"/>
      <c r="CE82" s="5335"/>
      <c r="CF82" s="5335"/>
      <c r="CG82" s="5335"/>
      <c r="CH82" s="5335"/>
      <c r="CI82" s="5335"/>
      <c r="CJ82" s="5335"/>
      <c r="CK82" s="5335"/>
      <c r="CL82" s="5335"/>
      <c r="CM82" s="5335"/>
      <c r="CN82" s="5335"/>
      <c r="CO82" s="5336"/>
      <c r="CP82" s="1216"/>
      <c r="CQ82" s="1210"/>
    </row>
    <row r="83" spans="1:95" ht="12" customHeight="1" x14ac:dyDescent="0.2">
      <c r="A83" s="1210"/>
      <c r="B83" s="2258"/>
      <c r="C83" s="5334"/>
      <c r="D83" s="5335"/>
      <c r="E83" s="5335"/>
      <c r="F83" s="5335"/>
      <c r="G83" s="5335"/>
      <c r="H83" s="5335"/>
      <c r="I83" s="5335"/>
      <c r="J83" s="5335"/>
      <c r="K83" s="5335"/>
      <c r="L83" s="5335"/>
      <c r="M83" s="5335"/>
      <c r="N83" s="5335"/>
      <c r="O83" s="5335"/>
      <c r="P83" s="5335"/>
      <c r="Q83" s="5336"/>
      <c r="R83" s="1216"/>
      <c r="S83" s="1210"/>
      <c r="T83" s="1210"/>
      <c r="U83" s="2258"/>
      <c r="V83" s="5334"/>
      <c r="W83" s="5335"/>
      <c r="X83" s="5335"/>
      <c r="Y83" s="5335"/>
      <c r="Z83" s="5335"/>
      <c r="AA83" s="5335"/>
      <c r="AB83" s="5335"/>
      <c r="AC83" s="5335"/>
      <c r="AD83" s="5335"/>
      <c r="AE83" s="5335"/>
      <c r="AF83" s="5335"/>
      <c r="AG83" s="5335"/>
      <c r="AH83" s="5335"/>
      <c r="AI83" s="5335"/>
      <c r="AJ83" s="5336"/>
      <c r="AK83" s="1216"/>
      <c r="AL83" s="1210"/>
      <c r="AM83" s="1210"/>
      <c r="AN83" s="2272"/>
      <c r="AO83" s="5334"/>
      <c r="AP83" s="5335"/>
      <c r="AQ83" s="5335"/>
      <c r="AR83" s="5335"/>
      <c r="AS83" s="5335"/>
      <c r="AT83" s="5335"/>
      <c r="AU83" s="5335"/>
      <c r="AV83" s="5335"/>
      <c r="AW83" s="5335"/>
      <c r="AX83" s="5335"/>
      <c r="AY83" s="5335"/>
      <c r="AZ83" s="5335"/>
      <c r="BA83" s="5335"/>
      <c r="BB83" s="5335"/>
      <c r="BC83" s="5336"/>
      <c r="BD83" s="1216"/>
      <c r="BE83" s="1210"/>
      <c r="BF83" s="1210"/>
      <c r="BG83" s="2272"/>
      <c r="BH83" s="5334"/>
      <c r="BI83" s="5335"/>
      <c r="BJ83" s="5335"/>
      <c r="BK83" s="5335"/>
      <c r="BL83" s="5335"/>
      <c r="BM83" s="5335"/>
      <c r="BN83" s="5335"/>
      <c r="BO83" s="5335"/>
      <c r="BP83" s="5335"/>
      <c r="BQ83" s="5335"/>
      <c r="BR83" s="5335"/>
      <c r="BS83" s="5335"/>
      <c r="BT83" s="5335"/>
      <c r="BU83" s="5335"/>
      <c r="BV83" s="5336"/>
      <c r="BW83" s="1216"/>
      <c r="BX83" s="1210"/>
      <c r="BY83" s="1210"/>
      <c r="BZ83" s="2272"/>
      <c r="CA83" s="5334"/>
      <c r="CB83" s="5335"/>
      <c r="CC83" s="5335"/>
      <c r="CD83" s="5335"/>
      <c r="CE83" s="5335"/>
      <c r="CF83" s="5335"/>
      <c r="CG83" s="5335"/>
      <c r="CH83" s="5335"/>
      <c r="CI83" s="5335"/>
      <c r="CJ83" s="5335"/>
      <c r="CK83" s="5335"/>
      <c r="CL83" s="5335"/>
      <c r="CM83" s="5335"/>
      <c r="CN83" s="5335"/>
      <c r="CO83" s="5336"/>
      <c r="CP83" s="1216"/>
      <c r="CQ83" s="1210"/>
    </row>
    <row r="84" spans="1:95" ht="12" customHeight="1" thickBot="1" x14ac:dyDescent="0.25">
      <c r="A84" s="1210"/>
      <c r="B84" s="2258"/>
      <c r="C84" s="5337"/>
      <c r="D84" s="5338"/>
      <c r="E84" s="5338"/>
      <c r="F84" s="5338"/>
      <c r="G84" s="5338"/>
      <c r="H84" s="5338"/>
      <c r="I84" s="5338"/>
      <c r="J84" s="5338"/>
      <c r="K84" s="5338"/>
      <c r="L84" s="5338"/>
      <c r="M84" s="5338"/>
      <c r="N84" s="5338"/>
      <c r="O84" s="5338"/>
      <c r="P84" s="5338"/>
      <c r="Q84" s="5339"/>
      <c r="R84" s="1216"/>
      <c r="S84" s="1210"/>
      <c r="T84" s="1210"/>
      <c r="U84" s="2258"/>
      <c r="V84" s="5337"/>
      <c r="W84" s="5338"/>
      <c r="X84" s="5338"/>
      <c r="Y84" s="5338"/>
      <c r="Z84" s="5338"/>
      <c r="AA84" s="5338"/>
      <c r="AB84" s="5338"/>
      <c r="AC84" s="5338"/>
      <c r="AD84" s="5338"/>
      <c r="AE84" s="5338"/>
      <c r="AF84" s="5338"/>
      <c r="AG84" s="5338"/>
      <c r="AH84" s="5338"/>
      <c r="AI84" s="5338"/>
      <c r="AJ84" s="5339"/>
      <c r="AK84" s="1216"/>
      <c r="AL84" s="1210"/>
      <c r="AM84" s="1210"/>
      <c r="AN84" s="2272"/>
      <c r="AO84" s="5337"/>
      <c r="AP84" s="5338"/>
      <c r="AQ84" s="5338"/>
      <c r="AR84" s="5338"/>
      <c r="AS84" s="5338"/>
      <c r="AT84" s="5338"/>
      <c r="AU84" s="5338"/>
      <c r="AV84" s="5338"/>
      <c r="AW84" s="5338"/>
      <c r="AX84" s="5338"/>
      <c r="AY84" s="5338"/>
      <c r="AZ84" s="5338"/>
      <c r="BA84" s="5338"/>
      <c r="BB84" s="5338"/>
      <c r="BC84" s="5339"/>
      <c r="BD84" s="1216"/>
      <c r="BE84" s="1210"/>
      <c r="BF84" s="1210"/>
      <c r="BG84" s="2272"/>
      <c r="BH84" s="5337"/>
      <c r="BI84" s="5338"/>
      <c r="BJ84" s="5338"/>
      <c r="BK84" s="5338"/>
      <c r="BL84" s="5338"/>
      <c r="BM84" s="5338"/>
      <c r="BN84" s="5338"/>
      <c r="BO84" s="5338"/>
      <c r="BP84" s="5338"/>
      <c r="BQ84" s="5338"/>
      <c r="BR84" s="5338"/>
      <c r="BS84" s="5338"/>
      <c r="BT84" s="5338"/>
      <c r="BU84" s="5338"/>
      <c r="BV84" s="5339"/>
      <c r="BW84" s="1216"/>
      <c r="BX84" s="1210"/>
      <c r="BY84" s="1210"/>
      <c r="BZ84" s="2272"/>
      <c r="CA84" s="5337"/>
      <c r="CB84" s="5338"/>
      <c r="CC84" s="5338"/>
      <c r="CD84" s="5338"/>
      <c r="CE84" s="5338"/>
      <c r="CF84" s="5338"/>
      <c r="CG84" s="5338"/>
      <c r="CH84" s="5338"/>
      <c r="CI84" s="5338"/>
      <c r="CJ84" s="5338"/>
      <c r="CK84" s="5338"/>
      <c r="CL84" s="5338"/>
      <c r="CM84" s="5338"/>
      <c r="CN84" s="5338"/>
      <c r="CO84" s="5339"/>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56"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57"/>
      <c r="E86" s="5357"/>
      <c r="F86" s="5357"/>
      <c r="G86" s="5357"/>
      <c r="H86" s="1230" t="s">
        <v>1630</v>
      </c>
      <c r="I86" s="1231">
        <f>IF(C86=0,"",VLOOKUP(C86,'Tablas Magia'!$D$6:$Z$680,3,FALSE))</f>
        <v>16</v>
      </c>
      <c r="J86" s="5344" t="s">
        <v>8162</v>
      </c>
      <c r="K86" s="5344"/>
      <c r="L86" s="5344"/>
      <c r="M86" s="5345" t="str">
        <f>IF(C86=0,"",VLOOKUP(C86,'Tablas Magia'!$D$6:$Z$680,2,FALSE))</f>
        <v>Fuego</v>
      </c>
      <c r="N86" s="5345"/>
      <c r="O86" s="5345"/>
      <c r="P86" s="5345"/>
      <c r="Q86" s="5346"/>
      <c r="R86" s="1216"/>
      <c r="S86" s="1210"/>
      <c r="T86" s="1210"/>
      <c r="U86" s="2258">
        <f>U75+2</f>
        <v>36</v>
      </c>
      <c r="V86" s="5356"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57"/>
      <c r="X86" s="5357"/>
      <c r="Y86" s="5357"/>
      <c r="Z86" s="5357"/>
      <c r="AA86" s="1230" t="s">
        <v>1630</v>
      </c>
      <c r="AB86" s="1231">
        <f>IF(V86=0,"",VLOOKUP(V86,'Tablas Magia'!$D$6:$Z$680,3,FALSE))</f>
        <v>36</v>
      </c>
      <c r="AC86" s="5344" t="s">
        <v>8162</v>
      </c>
      <c r="AD86" s="5344"/>
      <c r="AE86" s="5344"/>
      <c r="AF86" s="5345" t="str">
        <f>IF(V86=0,"",VLOOKUP(V86,'Tablas Magia'!$D$6:$Z$680,2,FALSE))</f>
        <v>Fuego</v>
      </c>
      <c r="AG86" s="5345"/>
      <c r="AH86" s="5345"/>
      <c r="AI86" s="5345"/>
      <c r="AJ86" s="5346"/>
      <c r="AK86" s="1216"/>
      <c r="AL86" s="1210"/>
      <c r="AM86" s="1210"/>
      <c r="AN86" s="2272">
        <f>AN75+2</f>
        <v>56</v>
      </c>
      <c r="AO86" s="5356"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57"/>
      <c r="AQ86" s="5357"/>
      <c r="AR86" s="5357"/>
      <c r="AS86" s="5357"/>
      <c r="AT86" s="1230" t="s">
        <v>1630</v>
      </c>
      <c r="AU86" s="1231">
        <f>IF(AO86=0,"",VLOOKUP(AO86,'Tablas Magia'!$D$6:$Z$680,3,FALSE))</f>
        <v>56</v>
      </c>
      <c r="AV86" s="5344" t="s">
        <v>8162</v>
      </c>
      <c r="AW86" s="5344"/>
      <c r="AX86" s="5344"/>
      <c r="AY86" s="5345" t="str">
        <f>IF(AO86=0,"",VLOOKUP(AO86,'Tablas Magia'!$D$6:$Z$680,2,FALSE))</f>
        <v>Fuego</v>
      </c>
      <c r="AZ86" s="5345"/>
      <c r="BA86" s="5345"/>
      <c r="BB86" s="5345"/>
      <c r="BC86" s="5346"/>
      <c r="BD86" s="1216"/>
      <c r="BE86" s="1210"/>
      <c r="BF86" s="1210"/>
      <c r="BG86" s="2272">
        <f>BG75+2</f>
        <v>76</v>
      </c>
      <c r="BH86" s="5356"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57"/>
      <c r="BJ86" s="5357"/>
      <c r="BK86" s="5357"/>
      <c r="BL86" s="5357"/>
      <c r="BM86" s="1230" t="s">
        <v>1630</v>
      </c>
      <c r="BN86" s="1231">
        <f>IF(BH86=0,"",VLOOKUP(BH86,'Tablas Magia'!$D$6:$Z$680,3,FALSE))</f>
        <v>76</v>
      </c>
      <c r="BO86" s="5344" t="s">
        <v>8162</v>
      </c>
      <c r="BP86" s="5344"/>
      <c r="BQ86" s="5344"/>
      <c r="BR86" s="5345" t="str">
        <f>IF(BH86=0,"",VLOOKUP(BH86,'Tablas Magia'!$D$6:$Z$680,2,FALSE))</f>
        <v>Fuego</v>
      </c>
      <c r="BS86" s="5345"/>
      <c r="BT86" s="5345"/>
      <c r="BU86" s="5345"/>
      <c r="BV86" s="5346"/>
      <c r="BW86" s="1216"/>
      <c r="BX86" s="1210"/>
      <c r="BY86" s="1210"/>
      <c r="BZ86" s="2272">
        <f>BZ75+2</f>
        <v>96</v>
      </c>
      <c r="CA86" s="5356"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57"/>
      <c r="CC86" s="5357"/>
      <c r="CD86" s="5357"/>
      <c r="CE86" s="5357"/>
      <c r="CF86" s="1230" t="s">
        <v>1630</v>
      </c>
      <c r="CG86" s="1231">
        <f>IF(CA86=0,"",VLOOKUP(CA86,'Tablas Magia'!$D$6:$Z$680,3,FALSE))</f>
        <v>96</v>
      </c>
      <c r="CH86" s="5344" t="s">
        <v>8162</v>
      </c>
      <c r="CI86" s="5344"/>
      <c r="CJ86" s="5344"/>
      <c r="CK86" s="5345" t="str">
        <f>IF(CA86=0,"",VLOOKUP(CA86,'Tablas Magia'!$D$6:$Z$680,2,FALSE))</f>
        <v>Fuego</v>
      </c>
      <c r="CL86" s="5345"/>
      <c r="CM86" s="5345"/>
      <c r="CN86" s="5345"/>
      <c r="CO86" s="5346"/>
      <c r="CP86" s="1216"/>
      <c r="CQ86" s="1210"/>
    </row>
    <row r="87" spans="1:95" ht="12" customHeight="1" x14ac:dyDescent="0.2">
      <c r="A87" s="1210"/>
      <c r="B87" s="2258"/>
      <c r="C87" s="5340" t="s">
        <v>8163</v>
      </c>
      <c r="D87" s="5341"/>
      <c r="E87" s="1232" t="s">
        <v>8164</v>
      </c>
      <c r="F87" s="1232" t="s">
        <v>1824</v>
      </c>
      <c r="G87" s="1232" t="s">
        <v>3467</v>
      </c>
      <c r="H87" s="1233" t="s">
        <v>2175</v>
      </c>
      <c r="I87" s="5314" t="str">
        <f>IF(C86=0,"",VLOOKUP(C86,'Tablas Magia'!$D$6:$Z$680,5,FALSE))</f>
        <v>Ataque</v>
      </c>
      <c r="J87" s="5314"/>
      <c r="K87" s="5313" t="s">
        <v>8165</v>
      </c>
      <c r="L87" s="5313"/>
      <c r="M87" s="5314" t="str">
        <f>IF(C86=0,"",VLOOKUP(C86,'Tablas Magia'!$D$6:$Z$680,6,FALSE))</f>
        <v>Activa</v>
      </c>
      <c r="N87" s="5314"/>
      <c r="O87" s="5315" t="s">
        <v>8166</v>
      </c>
      <c r="P87" s="5315"/>
      <c r="Q87" s="1234" t="str">
        <f>IF(C86=0,"",VLOOKUP(C86,'Tablas Magia'!$D$6:$Z$680,4,FALSE))</f>
        <v>No</v>
      </c>
      <c r="R87" s="1216"/>
      <c r="S87" s="1210"/>
      <c r="T87" s="1210"/>
      <c r="U87" s="2258"/>
      <c r="V87" s="5340" t="s">
        <v>8163</v>
      </c>
      <c r="W87" s="5341"/>
      <c r="X87" s="1232" t="s">
        <v>8164</v>
      </c>
      <c r="Y87" s="1232" t="s">
        <v>1824</v>
      </c>
      <c r="Z87" s="1232" t="s">
        <v>3467</v>
      </c>
      <c r="AA87" s="1233" t="s">
        <v>2175</v>
      </c>
      <c r="AB87" s="5314" t="str">
        <f>IF(V86=0,"",VLOOKUP(V86,'Tablas Magia'!$D$6:$Z$680,5,FALSE))</f>
        <v>Efecto</v>
      </c>
      <c r="AC87" s="5314"/>
      <c r="AD87" s="5313" t="s">
        <v>8165</v>
      </c>
      <c r="AE87" s="5313"/>
      <c r="AF87" s="5314" t="str">
        <f>IF(V86=0,"",VLOOKUP(V86,'Tablas Magia'!$D$6:$Z$680,6,FALSE))</f>
        <v>Activa</v>
      </c>
      <c r="AG87" s="5314"/>
      <c r="AH87" s="5315" t="s">
        <v>8166</v>
      </c>
      <c r="AI87" s="5315"/>
      <c r="AJ87" s="1234" t="str">
        <f>IF(V86=0,"",VLOOKUP(V86,'Tablas Magia'!$D$6:$Z$680,4,FALSE))</f>
        <v>Si</v>
      </c>
      <c r="AK87" s="1216"/>
      <c r="AL87" s="1210"/>
      <c r="AM87" s="1210"/>
      <c r="AN87" s="2272"/>
      <c r="AO87" s="5340" t="s">
        <v>8163</v>
      </c>
      <c r="AP87" s="5341"/>
      <c r="AQ87" s="1232" t="s">
        <v>8164</v>
      </c>
      <c r="AR87" s="1232" t="s">
        <v>1824</v>
      </c>
      <c r="AS87" s="1232" t="s">
        <v>3467</v>
      </c>
      <c r="AT87" s="1233" t="s">
        <v>2175</v>
      </c>
      <c r="AU87" s="5314" t="str">
        <f>IF(AO86=0,"",VLOOKUP(AO86,'Tablas Magia'!$D$6:$Z$680,5,FALSE))</f>
        <v>Efecto</v>
      </c>
      <c r="AV87" s="5314"/>
      <c r="AW87" s="5313" t="s">
        <v>8165</v>
      </c>
      <c r="AX87" s="5313"/>
      <c r="AY87" s="5314" t="str">
        <f>IF(AO86=0,"",VLOOKUP(AO86,'Tablas Magia'!$D$6:$Z$680,6,FALSE))</f>
        <v>Activa</v>
      </c>
      <c r="AZ87" s="5314"/>
      <c r="BA87" s="5315" t="s">
        <v>8166</v>
      </c>
      <c r="BB87" s="5315"/>
      <c r="BC87" s="1234" t="str">
        <f>IF(AO86=0,"",VLOOKUP(AO86,'Tablas Magia'!$D$6:$Z$680,4,FALSE))</f>
        <v>Si</v>
      </c>
      <c r="BD87" s="1216"/>
      <c r="BE87" s="1210"/>
      <c r="BF87" s="1210"/>
      <c r="BG87" s="2272"/>
      <c r="BH87" s="5340" t="s">
        <v>8163</v>
      </c>
      <c r="BI87" s="5341"/>
      <c r="BJ87" s="1232" t="s">
        <v>8164</v>
      </c>
      <c r="BK87" s="1232" t="s">
        <v>1824</v>
      </c>
      <c r="BL87" s="1232" t="s">
        <v>3467</v>
      </c>
      <c r="BM87" s="1233" t="s">
        <v>2175</v>
      </c>
      <c r="BN87" s="5314" t="str">
        <f>IF(BH86=0,"",VLOOKUP(BH86,'Tablas Magia'!$D$6:$Z$680,5,FALSE))</f>
        <v>Automático</v>
      </c>
      <c r="BO87" s="5314"/>
      <c r="BP87" s="5313" t="s">
        <v>8165</v>
      </c>
      <c r="BQ87" s="5313"/>
      <c r="BR87" s="5314" t="str">
        <f>IF(BH86=0,"",VLOOKUP(BH86,'Tablas Magia'!$D$6:$Z$680,6,FALSE))</f>
        <v>Activa</v>
      </c>
      <c r="BS87" s="5314"/>
      <c r="BT87" s="5315" t="s">
        <v>8166</v>
      </c>
      <c r="BU87" s="5315"/>
      <c r="BV87" s="1234" t="str">
        <f>IF(BH86=0,"",VLOOKUP(BH86,'Tablas Magia'!$D$6:$Z$680,4,FALSE))</f>
        <v>No</v>
      </c>
      <c r="BW87" s="1216"/>
      <c r="BX87" s="1210"/>
      <c r="BY87" s="1210"/>
      <c r="BZ87" s="2272"/>
      <c r="CA87" s="5340" t="s">
        <v>8163</v>
      </c>
      <c r="CB87" s="5341"/>
      <c r="CC87" s="1232" t="s">
        <v>8164</v>
      </c>
      <c r="CD87" s="1232" t="s">
        <v>1824</v>
      </c>
      <c r="CE87" s="1232" t="s">
        <v>3467</v>
      </c>
      <c r="CF87" s="1233" t="s">
        <v>2175</v>
      </c>
      <c r="CG87" s="5314" t="str">
        <f>IF(CA86=0,"",VLOOKUP(CA86,'Tablas Magia'!$D$6:$Z$680,5,FALSE))</f>
        <v>Automático</v>
      </c>
      <c r="CH87" s="5314"/>
      <c r="CI87" s="5313" t="s">
        <v>8165</v>
      </c>
      <c r="CJ87" s="5313"/>
      <c r="CK87" s="5314" t="str">
        <f>IF(CA86=0,"",VLOOKUP(CA86,'Tablas Magia'!$D$6:$Z$680,6,FALSE))</f>
        <v>Activa</v>
      </c>
      <c r="CL87" s="5314"/>
      <c r="CM87" s="5315" t="s">
        <v>8166</v>
      </c>
      <c r="CN87" s="5315"/>
      <c r="CO87" s="1234" t="str">
        <f>IF(CA86=0,"",VLOOKUP(CA86,'Tablas Magia'!$D$6:$Z$680,4,FALSE))</f>
        <v>Si</v>
      </c>
      <c r="CP87" s="1216"/>
      <c r="CQ87" s="1210"/>
    </row>
    <row r="88" spans="1:95" ht="12" customHeight="1" x14ac:dyDescent="0.2">
      <c r="A88" s="1210"/>
      <c r="B88" s="2258"/>
      <c r="C88" s="5316" t="s">
        <v>1677</v>
      </c>
      <c r="D88" s="5317"/>
      <c r="E88" s="1235">
        <f>IF(C86=0,"",VLOOKUP(C86,'Tablas Magia'!$D$6:$Z$680,7,FALSE))</f>
        <v>6</v>
      </c>
      <c r="F88" s="1235">
        <f>IF(C86=0,"",VLOOKUP(C86,'Tablas Magia'!$D$6:$Z$680,11,FALSE))</f>
        <v>50</v>
      </c>
      <c r="G88" s="1236" t="str">
        <f>IF(C86=0,"",VLOOKUP(C86,'Tablas Magia'!$D$6:$Z$680,15,FALSE))</f>
        <v>No</v>
      </c>
      <c r="H88" s="5318" t="str">
        <f>IF(C86=0,"",VLOOKUP(C86,'Tablas Magia'!$D$6:$Z$680,19,FALSE))</f>
        <v>Daño Base 50 / Área de 5 metros de radio</v>
      </c>
      <c r="I88" s="5319"/>
      <c r="J88" s="5319"/>
      <c r="K88" s="5319"/>
      <c r="L88" s="5319"/>
      <c r="M88" s="5319"/>
      <c r="N88" s="5319"/>
      <c r="O88" s="5319"/>
      <c r="P88" s="5319"/>
      <c r="Q88" s="5320"/>
      <c r="R88" s="1216"/>
      <c r="S88" s="1210"/>
      <c r="T88" s="1210"/>
      <c r="U88" s="2258"/>
      <c r="V88" s="5316" t="s">
        <v>1677</v>
      </c>
      <c r="W88" s="5317"/>
      <c r="X88" s="1235">
        <f>IF(V86=0,"",VLOOKUP(V86,'Tablas Magia'!$D$6:$Z$680,7,FALSE))</f>
        <v>7</v>
      </c>
      <c r="Y88" s="1235">
        <f>IF(V86=0,"",VLOOKUP(V86,'Tablas Magia'!$D$6:$Z$680,11,FALSE))</f>
        <v>60</v>
      </c>
      <c r="Z88" s="1236">
        <f>IF(V86=0,"",VLOOKUP(V86,'Tablas Magia'!$D$6:$Z$680,15,FALSE))</f>
        <v>15</v>
      </c>
      <c r="AA88" s="5318" t="str">
        <f>IF(V86=0,"",VLOOKUP(V86,'Tablas Magia'!$D$6:$Z$680,19,FALSE))</f>
        <v>+5 grados/ 1 km de radio</v>
      </c>
      <c r="AB88" s="5319"/>
      <c r="AC88" s="5319"/>
      <c r="AD88" s="5319"/>
      <c r="AE88" s="5319"/>
      <c r="AF88" s="5319"/>
      <c r="AG88" s="5319"/>
      <c r="AH88" s="5319"/>
      <c r="AI88" s="5319"/>
      <c r="AJ88" s="5320"/>
      <c r="AK88" s="1216"/>
      <c r="AL88" s="1210"/>
      <c r="AM88" s="1210"/>
      <c r="AN88" s="2272"/>
      <c r="AO88" s="5316" t="s">
        <v>1677</v>
      </c>
      <c r="AP88" s="5317"/>
      <c r="AQ88" s="1235">
        <f>IF(AO86=0,"",VLOOKUP(AO86,'Tablas Magia'!$D$6:$Z$680,7,FALSE))</f>
        <v>6</v>
      </c>
      <c r="AR88" s="1235">
        <f>IF(AO86=0,"",VLOOKUP(AO86,'Tablas Magia'!$D$6:$Z$680,11,FALSE))</f>
        <v>120</v>
      </c>
      <c r="AS88" s="1236">
        <f>IF(AO86=0,"",VLOOKUP(AO86,'Tablas Magia'!$D$6:$Z$680,15,FALSE))</f>
        <v>10</v>
      </c>
      <c r="AT88" s="5318" t="str">
        <f>IF(AO86=0,"",VLOOKUP(AO86,'Tablas Magia'!$D$6:$Z$680,19,FALSE))</f>
        <v>Sacrificio máximo de 50 PV por asalto</v>
      </c>
      <c r="AU88" s="5319"/>
      <c r="AV88" s="5319"/>
      <c r="AW88" s="5319"/>
      <c r="AX88" s="5319"/>
      <c r="AY88" s="5319"/>
      <c r="AZ88" s="5319"/>
      <c r="BA88" s="5319"/>
      <c r="BB88" s="5319"/>
      <c r="BC88" s="5320"/>
      <c r="BD88" s="1216"/>
      <c r="BE88" s="1210"/>
      <c r="BF88" s="1210"/>
      <c r="BG88" s="2272"/>
      <c r="BH88" s="5316" t="s">
        <v>1677</v>
      </c>
      <c r="BI88" s="5317"/>
      <c r="BJ88" s="1235">
        <f>IF(BH86=0,"",VLOOKUP(BH86,'Tablas Magia'!$D$6:$Z$680,7,FALSE))</f>
        <v>8</v>
      </c>
      <c r="BK88" s="1235">
        <f>IF(BH86=0,"",VLOOKUP(BH86,'Tablas Magia'!$D$6:$Z$680,11,FALSE))</f>
        <v>150</v>
      </c>
      <c r="BL88" s="1236">
        <f>IF(BH86=0,"",VLOOKUP(BH86,'Tablas Magia'!$D$6:$Z$680,15,FALSE))</f>
        <v>15</v>
      </c>
      <c r="BM88" s="5318" t="str">
        <f>IF(BH86=0,"",VLOOKUP(BH86,'Tablas Magia'!$D$6:$Z$680,19,FALSE))</f>
        <v>25 metros de radio/ HA Absurdo (180)</v>
      </c>
      <c r="BN88" s="5319"/>
      <c r="BO88" s="5319"/>
      <c r="BP88" s="5319"/>
      <c r="BQ88" s="5319"/>
      <c r="BR88" s="5319"/>
      <c r="BS88" s="5319"/>
      <c r="BT88" s="5319"/>
      <c r="BU88" s="5319"/>
      <c r="BV88" s="5320"/>
      <c r="BW88" s="1216"/>
      <c r="BX88" s="1210"/>
      <c r="BY88" s="1210"/>
      <c r="BZ88" s="2272"/>
      <c r="CA88" s="5316" t="s">
        <v>1677</v>
      </c>
      <c r="CB88" s="5317"/>
      <c r="CC88" s="1235">
        <f>IF(CA86=0,"",VLOOKUP(CA86,'Tablas Magia'!$D$6:$Z$680,7,FALSE))</f>
        <v>10</v>
      </c>
      <c r="CD88" s="1235">
        <f>IF(CA86=0,"",VLOOKUP(CA86,'Tablas Magia'!$D$6:$Z$680,11,FALSE))</f>
        <v>300</v>
      </c>
      <c r="CE88" s="1236">
        <f>IF(CA86=0,"",VLOOKUP(CA86,'Tablas Magia'!$D$6:$Z$680,15,FALSE))</f>
        <v>30</v>
      </c>
      <c r="CF88" s="5318" t="str">
        <f>IF(CA86=0,"",VLOOKUP(CA86,'Tablas Magia'!$D$6:$Z$680,19,FALSE))</f>
        <v>100 km/ 140 RM</v>
      </c>
      <c r="CG88" s="5319"/>
      <c r="CH88" s="5319"/>
      <c r="CI88" s="5319"/>
      <c r="CJ88" s="5319"/>
      <c r="CK88" s="5319"/>
      <c r="CL88" s="5319"/>
      <c r="CM88" s="5319"/>
      <c r="CN88" s="5319"/>
      <c r="CO88" s="5320"/>
      <c r="CP88" s="1216"/>
      <c r="CQ88" s="1210"/>
    </row>
    <row r="89" spans="1:95" ht="12" customHeight="1" x14ac:dyDescent="0.2">
      <c r="A89" s="1210"/>
      <c r="B89" s="2258"/>
      <c r="C89" s="5321" t="s">
        <v>4705</v>
      </c>
      <c r="D89" s="5322"/>
      <c r="E89" s="1237">
        <f>IF(C86=0,"",VLOOKUP(C86,'Tablas Magia'!$D$6:$Z$680,8,FALSE))</f>
        <v>9</v>
      </c>
      <c r="F89" s="1237">
        <f>IF(C86=0,"",VLOOKUP(C86,'Tablas Magia'!$D$6:$Z$680,12,FALSE))</f>
        <v>100</v>
      </c>
      <c r="G89" s="1238" t="str">
        <f>IF(C86=0,"",VLOOKUP(C86,'Tablas Magia'!$D$6:$Z$680,16,FALSE))</f>
        <v>No</v>
      </c>
      <c r="H89" s="5323" t="str">
        <f>IF(C86=0,"",VLOOKUP(C86,'Tablas Magia'!$D$6:$Z$680,20,FALSE))</f>
        <v>Daño Base 100 / Área de 25 metros de radio</v>
      </c>
      <c r="I89" s="5324"/>
      <c r="J89" s="5324"/>
      <c r="K89" s="5324"/>
      <c r="L89" s="5324"/>
      <c r="M89" s="5324"/>
      <c r="N89" s="5324"/>
      <c r="O89" s="5324"/>
      <c r="P89" s="5324"/>
      <c r="Q89" s="5325"/>
      <c r="R89" s="1216"/>
      <c r="S89" s="1210"/>
      <c r="T89" s="1210"/>
      <c r="U89" s="2258"/>
      <c r="V89" s="5321" t="s">
        <v>4705</v>
      </c>
      <c r="W89" s="5322"/>
      <c r="X89" s="1237">
        <f>IF(V86=0,"",VLOOKUP(V86,'Tablas Magia'!$D$6:$Z$680,8,FALSE))</f>
        <v>10</v>
      </c>
      <c r="Y89" s="1237">
        <f>IF(V86=0,"",VLOOKUP(V86,'Tablas Magia'!$D$6:$Z$680,12,FALSE))</f>
        <v>140</v>
      </c>
      <c r="Z89" s="1238">
        <f>IF(V86=0,"",VLOOKUP(V86,'Tablas Magia'!$D$6:$Z$680,16,FALSE))</f>
        <v>40</v>
      </c>
      <c r="AA89" s="5323" t="str">
        <f>IF(V86=0,"",VLOOKUP(V86,'Tablas Magia'!$D$6:$Z$680,20,FALSE))</f>
        <v>+10 grados / 5 km de radio</v>
      </c>
      <c r="AB89" s="5324"/>
      <c r="AC89" s="5324"/>
      <c r="AD89" s="5324"/>
      <c r="AE89" s="5324"/>
      <c r="AF89" s="5324"/>
      <c r="AG89" s="5324"/>
      <c r="AH89" s="5324"/>
      <c r="AI89" s="5324"/>
      <c r="AJ89" s="5325"/>
      <c r="AK89" s="1216"/>
      <c r="AL89" s="1210"/>
      <c r="AM89" s="1210"/>
      <c r="AN89" s="2272"/>
      <c r="AO89" s="5321" t="s">
        <v>4705</v>
      </c>
      <c r="AP89" s="5322"/>
      <c r="AQ89" s="1237">
        <f>IF(AO86=0,"",VLOOKUP(AO86,'Tablas Magia'!$D$6:$Z$680,8,FALSE))</f>
        <v>9</v>
      </c>
      <c r="AR89" s="1237">
        <f>IF(AO86=0,"",VLOOKUP(AO86,'Tablas Magia'!$D$6:$Z$680,12,FALSE))</f>
        <v>180</v>
      </c>
      <c r="AS89" s="1238">
        <f>IF(AO86=0,"",VLOOKUP(AO86,'Tablas Magia'!$D$6:$Z$680,16,FALSE))</f>
        <v>10</v>
      </c>
      <c r="AT89" s="5323" t="str">
        <f>IF(AO86=0,"",VLOOKUP(AO86,'Tablas Magia'!$D$6:$Z$680,20,FALSE))</f>
        <v>Sacrificio máximo de 100 PV por asalto</v>
      </c>
      <c r="AU89" s="5324"/>
      <c r="AV89" s="5324"/>
      <c r="AW89" s="5324"/>
      <c r="AX89" s="5324"/>
      <c r="AY89" s="5324"/>
      <c r="AZ89" s="5324"/>
      <c r="BA89" s="5324"/>
      <c r="BB89" s="5324"/>
      <c r="BC89" s="5325"/>
      <c r="BD89" s="1216"/>
      <c r="BE89" s="1210"/>
      <c r="BF89" s="1210"/>
      <c r="BG89" s="2272"/>
      <c r="BH89" s="5321" t="s">
        <v>4705</v>
      </c>
      <c r="BI89" s="5322"/>
      <c r="BJ89" s="1237">
        <f>IF(BH86=0,"",VLOOKUP(BH86,'Tablas Magia'!$D$6:$Z$680,8,FALSE))</f>
        <v>10</v>
      </c>
      <c r="BK89" s="1237">
        <f>IF(BH86=0,"",VLOOKUP(BH86,'Tablas Magia'!$D$6:$Z$680,12,FALSE))</f>
        <v>200</v>
      </c>
      <c r="BL89" s="1238">
        <f>IF(BH86=0,"",VLOOKUP(BH86,'Tablas Magia'!$D$6:$Z$680,16,FALSE))</f>
        <v>20</v>
      </c>
      <c r="BM89" s="5323" t="str">
        <f>IF(BH86=0,"",VLOOKUP(BH86,'Tablas Magia'!$D$6:$Z$680,20,FALSE))</f>
        <v>150 metros de radio/ HA CIM (240)</v>
      </c>
      <c r="BN89" s="5324"/>
      <c r="BO89" s="5324"/>
      <c r="BP89" s="5324"/>
      <c r="BQ89" s="5324"/>
      <c r="BR89" s="5324"/>
      <c r="BS89" s="5324"/>
      <c r="BT89" s="5324"/>
      <c r="BU89" s="5324"/>
      <c r="BV89" s="5325"/>
      <c r="BW89" s="1216"/>
      <c r="BX89" s="1210"/>
      <c r="BY89" s="1210"/>
      <c r="BZ89" s="2272"/>
      <c r="CA89" s="5321" t="s">
        <v>4705</v>
      </c>
      <c r="CB89" s="5322"/>
      <c r="CC89" s="1237">
        <f>IF(CA86=0,"",VLOOKUP(CA86,'Tablas Magia'!$D$6:$Z$680,8,FALSE))</f>
        <v>12</v>
      </c>
      <c r="CD89" s="1237">
        <f>IF(CA86=0,"",VLOOKUP(CA86,'Tablas Magia'!$D$6:$Z$680,12,FALSE))</f>
        <v>450</v>
      </c>
      <c r="CE89" s="1238">
        <f>IF(CA86=0,"",VLOOKUP(CA86,'Tablas Magia'!$D$6:$Z$680,16,FALSE))</f>
        <v>45</v>
      </c>
      <c r="CF89" s="5323" t="str">
        <f>IF(CA86=0,"",VLOOKUP(CA86,'Tablas Magia'!$D$6:$Z$680,20,FALSE))</f>
        <v>1.000 km/ 180RM</v>
      </c>
      <c r="CG89" s="5324"/>
      <c r="CH89" s="5324"/>
      <c r="CI89" s="5324"/>
      <c r="CJ89" s="5324"/>
      <c r="CK89" s="5324"/>
      <c r="CL89" s="5324"/>
      <c r="CM89" s="5324"/>
      <c r="CN89" s="5324"/>
      <c r="CO89" s="5325"/>
      <c r="CP89" s="1216"/>
      <c r="CQ89" s="1210"/>
    </row>
    <row r="90" spans="1:95" ht="12" customHeight="1" x14ac:dyDescent="0.2">
      <c r="A90" s="1210"/>
      <c r="B90" s="2258"/>
      <c r="C90" s="5316" t="s">
        <v>4706</v>
      </c>
      <c r="D90" s="5317"/>
      <c r="E90" s="1235">
        <f>IF(C86=0,"",VLOOKUP(C86,'Tablas Magia'!$D$6:$Z$680,9,FALSE))</f>
        <v>12</v>
      </c>
      <c r="F90" s="1235">
        <f>IF(C86=0,"",VLOOKUP(C86,'Tablas Magia'!$D$6:$Z$680,13,FALSE))</f>
        <v>160</v>
      </c>
      <c r="G90" s="1236" t="str">
        <f>IF(C86=0,"",VLOOKUP(C86,'Tablas Magia'!$D$6:$Z$680,17,FALSE))</f>
        <v>No</v>
      </c>
      <c r="H90" s="5318" t="str">
        <f>IF(C86=0,"",VLOOKUP(C86,'Tablas Magia'!$D$6:$Z$680,21,FALSE))</f>
        <v>Daño Base 140 / Área de 80 metros de radio</v>
      </c>
      <c r="I90" s="5319"/>
      <c r="J90" s="5319"/>
      <c r="K90" s="5319"/>
      <c r="L90" s="5319"/>
      <c r="M90" s="5319"/>
      <c r="N90" s="5319"/>
      <c r="O90" s="5319"/>
      <c r="P90" s="5319"/>
      <c r="Q90" s="5320"/>
      <c r="R90" s="1216"/>
      <c r="S90" s="1210"/>
      <c r="T90" s="1210"/>
      <c r="U90" s="2258"/>
      <c r="V90" s="5316" t="s">
        <v>4706</v>
      </c>
      <c r="W90" s="5317"/>
      <c r="X90" s="1235">
        <f>IF(V86=0,"",VLOOKUP(V86,'Tablas Magia'!$D$6:$Z$680,9,FALSE))</f>
        <v>12</v>
      </c>
      <c r="Y90" s="1235">
        <f>IF(V86=0,"",VLOOKUP(V86,'Tablas Magia'!$D$6:$Z$680,13,FALSE))</f>
        <v>240</v>
      </c>
      <c r="Z90" s="1236">
        <f>IF(V86=0,"",VLOOKUP(V86,'Tablas Magia'!$D$6:$Z$680,17,FALSE))</f>
        <v>50</v>
      </c>
      <c r="AA90" s="5318" t="str">
        <f>IF(V86=0,"",VLOOKUP(V86,'Tablas Magia'!$D$6:$Z$680,21,FALSE))</f>
        <v>+20 grados / 10km de radio</v>
      </c>
      <c r="AB90" s="5319"/>
      <c r="AC90" s="5319"/>
      <c r="AD90" s="5319"/>
      <c r="AE90" s="5319"/>
      <c r="AF90" s="5319"/>
      <c r="AG90" s="5319"/>
      <c r="AH90" s="5319"/>
      <c r="AI90" s="5319"/>
      <c r="AJ90" s="5320"/>
      <c r="AK90" s="1216"/>
      <c r="AL90" s="1210"/>
      <c r="AM90" s="1210"/>
      <c r="AN90" s="2272"/>
      <c r="AO90" s="5316" t="s">
        <v>4706</v>
      </c>
      <c r="AP90" s="5317"/>
      <c r="AQ90" s="1235">
        <f>IF(AO86=0,"",VLOOKUP(AO86,'Tablas Magia'!$D$6:$Z$680,9,FALSE))</f>
        <v>13</v>
      </c>
      <c r="AR90" s="1235">
        <f>IF(AO86=0,"",VLOOKUP(AO86,'Tablas Magia'!$D$6:$Z$680,13,FALSE))</f>
        <v>240</v>
      </c>
      <c r="AS90" s="1236">
        <f>IF(AO86=0,"",VLOOKUP(AO86,'Tablas Magia'!$D$6:$Z$680,17,FALSE))</f>
        <v>15</v>
      </c>
      <c r="AT90" s="5318" t="str">
        <f>IF(AO86=0,"",VLOOKUP(AO86,'Tablas Magia'!$D$6:$Z$680,21,FALSE))</f>
        <v>Sacrificio máximo de 150 PV por asalto</v>
      </c>
      <c r="AU90" s="5319"/>
      <c r="AV90" s="5319"/>
      <c r="AW90" s="5319"/>
      <c r="AX90" s="5319"/>
      <c r="AY90" s="5319"/>
      <c r="AZ90" s="5319"/>
      <c r="BA90" s="5319"/>
      <c r="BB90" s="5319"/>
      <c r="BC90" s="5320"/>
      <c r="BD90" s="1216"/>
      <c r="BE90" s="1210"/>
      <c r="BF90" s="1210"/>
      <c r="BG90" s="2272"/>
      <c r="BH90" s="5316" t="s">
        <v>4706</v>
      </c>
      <c r="BI90" s="5317"/>
      <c r="BJ90" s="1235">
        <f>IF(BH86=0,"",VLOOKUP(BH86,'Tablas Magia'!$D$6:$Z$680,9,FALSE))</f>
        <v>12</v>
      </c>
      <c r="BK90" s="1235">
        <f>IF(BH86=0,"",VLOOKUP(BH86,'Tablas Magia'!$D$6:$Z$680,13,FALSE))</f>
        <v>240</v>
      </c>
      <c r="BL90" s="1236">
        <f>IF(BH86=0,"",VLOOKUP(BH86,'Tablas Magia'!$D$6:$Z$680,17,FALSE))</f>
        <v>25</v>
      </c>
      <c r="BM90" s="5318" t="str">
        <f>IF(BH86=0,"",VLOOKUP(BH86,'Tablas Magia'!$D$6:$Z$680,21,FALSE))</f>
        <v>200 metros de radio/ HA IMP (280)</v>
      </c>
      <c r="BN90" s="5319"/>
      <c r="BO90" s="5319"/>
      <c r="BP90" s="5319"/>
      <c r="BQ90" s="5319"/>
      <c r="BR90" s="5319"/>
      <c r="BS90" s="5319"/>
      <c r="BT90" s="5319"/>
      <c r="BU90" s="5319"/>
      <c r="BV90" s="5320"/>
      <c r="BW90" s="1216"/>
      <c r="BX90" s="1210"/>
      <c r="BY90" s="1210"/>
      <c r="BZ90" s="2272"/>
      <c r="CA90" s="5316" t="s">
        <v>4706</v>
      </c>
      <c r="CB90" s="5317"/>
      <c r="CC90" s="1235">
        <f>IF(CA86=0,"",VLOOKUP(CA86,'Tablas Magia'!$D$6:$Z$680,9,FALSE))</f>
        <v>15</v>
      </c>
      <c r="CD90" s="1235">
        <f>IF(CA86=0,"",VLOOKUP(CA86,'Tablas Magia'!$D$6:$Z$680,13,FALSE))</f>
        <v>600</v>
      </c>
      <c r="CE90" s="1236">
        <f>IF(CA86=0,"",VLOOKUP(CA86,'Tablas Magia'!$D$6:$Z$680,17,FALSE))</f>
        <v>60</v>
      </c>
      <c r="CF90" s="5318" t="str">
        <f>IF(CA86=0,"",VLOOKUP(CA86,'Tablas Magia'!$D$6:$Z$680,21,FALSE))</f>
        <v>10.000 km / 200 RM</v>
      </c>
      <c r="CG90" s="5319"/>
      <c r="CH90" s="5319"/>
      <c r="CI90" s="5319"/>
      <c r="CJ90" s="5319"/>
      <c r="CK90" s="5319"/>
      <c r="CL90" s="5319"/>
      <c r="CM90" s="5319"/>
      <c r="CN90" s="5319"/>
      <c r="CO90" s="5320"/>
      <c r="CP90" s="1216"/>
      <c r="CQ90" s="1210"/>
    </row>
    <row r="91" spans="1:95" ht="12" customHeight="1" thickBot="1" x14ac:dyDescent="0.25">
      <c r="A91" s="1210"/>
      <c r="B91" s="2258"/>
      <c r="C91" s="5326" t="s">
        <v>4707</v>
      </c>
      <c r="D91" s="5327"/>
      <c r="E91" s="1239">
        <f>IF(C86=0,"",VLOOKUP(C86,'Tablas Magia'!$D$6:$Z$680,10,FALSE))</f>
        <v>15</v>
      </c>
      <c r="F91" s="1239">
        <f>IF(C86=0,"",VLOOKUP(C86,'Tablas Magia'!$D$6:$Z$680,14,FALSE))</f>
        <v>250</v>
      </c>
      <c r="G91" s="1240" t="str">
        <f>IF(C86=0,"",VLOOKUP(C86,'Tablas Magia'!$D$6:$Z$680,18,FALSE))</f>
        <v>No</v>
      </c>
      <c r="H91" s="5328" t="str">
        <f>IF(C86=0,"",VLOOKUP(C86,'Tablas Magia'!$D$6:$Z$680,22,FALSE))</f>
        <v>Daño Base 160 / Área de 150 metros de radio</v>
      </c>
      <c r="I91" s="5329"/>
      <c r="J91" s="5329"/>
      <c r="K91" s="5329"/>
      <c r="L91" s="5329"/>
      <c r="M91" s="5329"/>
      <c r="N91" s="5329"/>
      <c r="O91" s="5329"/>
      <c r="P91" s="5329"/>
      <c r="Q91" s="5330"/>
      <c r="R91" s="1216"/>
      <c r="S91" s="1210"/>
      <c r="T91" s="1210"/>
      <c r="U91" s="2258"/>
      <c r="V91" s="5326" t="s">
        <v>4707</v>
      </c>
      <c r="W91" s="5327"/>
      <c r="X91" s="1239">
        <f>IF(V86=0,"",VLOOKUP(V86,'Tablas Magia'!$D$6:$Z$680,10,FALSE))</f>
        <v>15</v>
      </c>
      <c r="Y91" s="1239">
        <f>IF(V86=0,"",VLOOKUP(V86,'Tablas Magia'!$D$6:$Z$680,14,FALSE))</f>
        <v>300</v>
      </c>
      <c r="Z91" s="1240">
        <f>IF(V86=0,"",VLOOKUP(V86,'Tablas Magia'!$D$6:$Z$680,18,FALSE))</f>
        <v>60</v>
      </c>
      <c r="AA91" s="5328" t="str">
        <f>IF(V86=0,"",VLOOKUP(V86,'Tablas Magia'!$D$6:$Z$680,22,FALSE))</f>
        <v>+30 grados / 15 km de  radio</v>
      </c>
      <c r="AB91" s="5329"/>
      <c r="AC91" s="5329"/>
      <c r="AD91" s="5329"/>
      <c r="AE91" s="5329"/>
      <c r="AF91" s="5329"/>
      <c r="AG91" s="5329"/>
      <c r="AH91" s="5329"/>
      <c r="AI91" s="5329"/>
      <c r="AJ91" s="5330"/>
      <c r="AK91" s="1216"/>
      <c r="AL91" s="1210"/>
      <c r="AM91" s="1210"/>
      <c r="AN91" s="2272"/>
      <c r="AO91" s="5326" t="s">
        <v>4707</v>
      </c>
      <c r="AP91" s="5327"/>
      <c r="AQ91" s="1239">
        <f>IF(AO86=0,"",VLOOKUP(AO86,'Tablas Magia'!$D$6:$Z$680,10,FALSE))</f>
        <v>15</v>
      </c>
      <c r="AR91" s="1239">
        <f>IF(AO86=0,"",VLOOKUP(AO86,'Tablas Magia'!$D$6:$Z$680,14,FALSE))</f>
        <v>300</v>
      </c>
      <c r="AS91" s="1240">
        <f>IF(AO86=0,"",VLOOKUP(AO86,'Tablas Magia'!$D$6:$Z$680,18,FALSE))</f>
        <v>15</v>
      </c>
      <c r="AT91" s="5328" t="str">
        <f>IF(AO86=0,"",VLOOKUP(AO86,'Tablas Magia'!$D$6:$Z$680,22,FALSE))</f>
        <v>Sacrificio máximo de 200 PV por asalto</v>
      </c>
      <c r="AU91" s="5329"/>
      <c r="AV91" s="5329"/>
      <c r="AW91" s="5329"/>
      <c r="AX91" s="5329"/>
      <c r="AY91" s="5329"/>
      <c r="AZ91" s="5329"/>
      <c r="BA91" s="5329"/>
      <c r="BB91" s="5329"/>
      <c r="BC91" s="5330"/>
      <c r="BD91" s="1216"/>
      <c r="BE91" s="1210"/>
      <c r="BF91" s="1210"/>
      <c r="BG91" s="2272"/>
      <c r="BH91" s="5326" t="s">
        <v>4707</v>
      </c>
      <c r="BI91" s="5327"/>
      <c r="BJ91" s="1239">
        <f>IF(BH86=0,"",VLOOKUP(BH86,'Tablas Magia'!$D$6:$Z$680,10,FALSE))</f>
        <v>15</v>
      </c>
      <c r="BK91" s="1239">
        <f>IF(BH86=0,"",VLOOKUP(BH86,'Tablas Magia'!$D$6:$Z$680,14,FALSE))</f>
        <v>280</v>
      </c>
      <c r="BL91" s="1240">
        <f>IF(BH86=0,"",VLOOKUP(BH86,'Tablas Magia'!$D$6:$Z$680,18,FALSE))</f>
        <v>30</v>
      </c>
      <c r="BM91" s="5328" t="str">
        <f>IF(BH86=0,"",VLOOKUP(BH86,'Tablas Magia'!$D$6:$Z$680,22,FALSE))</f>
        <v>250 metros de radio/ HA INH (320)</v>
      </c>
      <c r="BN91" s="5329"/>
      <c r="BO91" s="5329"/>
      <c r="BP91" s="5329"/>
      <c r="BQ91" s="5329"/>
      <c r="BR91" s="5329"/>
      <c r="BS91" s="5329"/>
      <c r="BT91" s="5329"/>
      <c r="BU91" s="5329"/>
      <c r="BV91" s="5330"/>
      <c r="BW91" s="1216"/>
      <c r="BX91" s="1210"/>
      <c r="BY91" s="1210"/>
      <c r="BZ91" s="2272"/>
      <c r="CA91" s="5326" t="s">
        <v>4707</v>
      </c>
      <c r="CB91" s="5327"/>
      <c r="CC91" s="1239">
        <f>IF(CA86=0,"",VLOOKUP(CA86,'Tablas Magia'!$D$6:$Z$680,10,FALSE))</f>
        <v>18</v>
      </c>
      <c r="CD91" s="1239">
        <f>IF(CA86=0,"",VLOOKUP(CA86,'Tablas Magia'!$D$6:$Z$680,14,FALSE))</f>
        <v>1000</v>
      </c>
      <c r="CE91" s="1240">
        <f>IF(CA86=0,"",VLOOKUP(CA86,'Tablas Magia'!$D$6:$Z$680,18,FALSE))</f>
        <v>100</v>
      </c>
      <c r="CF91" s="5328" t="str">
        <f>IF(CA86=0,"",VLOOKUP(CA86,'Tablas Magia'!$D$6:$Z$680,22,FALSE))</f>
        <v>Afecta a cualquier fuente de calor / RM 240</v>
      </c>
      <c r="CG91" s="5329"/>
      <c r="CH91" s="5329"/>
      <c r="CI91" s="5329"/>
      <c r="CJ91" s="5329"/>
      <c r="CK91" s="5329"/>
      <c r="CL91" s="5329"/>
      <c r="CM91" s="5329"/>
      <c r="CN91" s="5329"/>
      <c r="CO91" s="5330"/>
      <c r="CP91" s="1216"/>
      <c r="CQ91" s="1210"/>
    </row>
    <row r="92" spans="1:95" ht="12" customHeight="1" x14ac:dyDescent="0.2">
      <c r="A92" s="1210"/>
      <c r="B92" s="2258"/>
      <c r="C92" s="5331" t="str">
        <f>IF(C86=0,"",VLOOKUP(C86,'Tablas Magia'!$D$6:$Z$680,23,FALSE))</f>
        <v>Proyecta un ataque ígneo que estalla en un área. No es posible seleccionar blancos en el interior de la explosión. Ataca en la TA de calor</v>
      </c>
      <c r="D92" s="5332"/>
      <c r="E92" s="5332"/>
      <c r="F92" s="5332"/>
      <c r="G92" s="5332"/>
      <c r="H92" s="5332"/>
      <c r="I92" s="5332"/>
      <c r="J92" s="5332"/>
      <c r="K92" s="5332"/>
      <c r="L92" s="5332"/>
      <c r="M92" s="5332"/>
      <c r="N92" s="5332"/>
      <c r="O92" s="5332"/>
      <c r="P92" s="5332"/>
      <c r="Q92" s="5333"/>
      <c r="R92" s="1216"/>
      <c r="S92" s="1210"/>
      <c r="T92" s="1210"/>
      <c r="U92" s="2258"/>
      <c r="V92" s="5331" t="str">
        <f>IF(V86=0,"",VLOOKUP(V86,'Tablas Magia'!$D$6:$Z$680,23,FALSE))</f>
        <v>Aumenta la temperatura ambiente. Si la temperatura aumenta 10º por encima de lo que es natural en una zona en su momento más cálido, el índice de aumento se reduce a la mitad.</v>
      </c>
      <c r="W92" s="5332"/>
      <c r="X92" s="5332"/>
      <c r="Y92" s="5332"/>
      <c r="Z92" s="5332"/>
      <c r="AA92" s="5332"/>
      <c r="AB92" s="5332"/>
      <c r="AC92" s="5332"/>
      <c r="AD92" s="5332"/>
      <c r="AE92" s="5332"/>
      <c r="AF92" s="5332"/>
      <c r="AG92" s="5332"/>
      <c r="AH92" s="5332"/>
      <c r="AI92" s="5332"/>
      <c r="AJ92" s="5333"/>
      <c r="AK92" s="1216"/>
      <c r="AL92" s="1210"/>
      <c r="AM92" s="1210"/>
      <c r="AN92" s="2272"/>
      <c r="AO92" s="5331"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32"/>
      <c r="AQ92" s="5332"/>
      <c r="AR92" s="5332"/>
      <c r="AS92" s="5332"/>
      <c r="AT92" s="5332"/>
      <c r="AU92" s="5332"/>
      <c r="AV92" s="5332"/>
      <c r="AW92" s="5332"/>
      <c r="AX92" s="5332"/>
      <c r="AY92" s="5332"/>
      <c r="AZ92" s="5332"/>
      <c r="BA92" s="5332"/>
      <c r="BB92" s="5332"/>
      <c r="BC92" s="5333"/>
      <c r="BD92" s="1216"/>
      <c r="BE92" s="1210"/>
      <c r="BF92" s="1210"/>
      <c r="BG92" s="2272"/>
      <c r="BH92" s="5331"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32"/>
      <c r="BJ92" s="5332"/>
      <c r="BK92" s="5332"/>
      <c r="BL92" s="5332"/>
      <c r="BM92" s="5332"/>
      <c r="BN92" s="5332"/>
      <c r="BO92" s="5332"/>
      <c r="BP92" s="5332"/>
      <c r="BQ92" s="5332"/>
      <c r="BR92" s="5332"/>
      <c r="BS92" s="5332"/>
      <c r="BT92" s="5332"/>
      <c r="BU92" s="5332"/>
      <c r="BV92" s="5333"/>
      <c r="BW92" s="1216"/>
      <c r="BX92" s="1210"/>
      <c r="BY92" s="1210"/>
      <c r="BZ92" s="2272"/>
      <c r="CA92" s="5331"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32"/>
      <c r="CC92" s="5332"/>
      <c r="CD92" s="5332"/>
      <c r="CE92" s="5332"/>
      <c r="CF92" s="5332"/>
      <c r="CG92" s="5332"/>
      <c r="CH92" s="5332"/>
      <c r="CI92" s="5332"/>
      <c r="CJ92" s="5332"/>
      <c r="CK92" s="5332"/>
      <c r="CL92" s="5332"/>
      <c r="CM92" s="5332"/>
      <c r="CN92" s="5332"/>
      <c r="CO92" s="5333"/>
      <c r="CP92" s="1216"/>
      <c r="CQ92" s="1210"/>
    </row>
    <row r="93" spans="1:95" ht="12" customHeight="1" x14ac:dyDescent="0.2">
      <c r="A93" s="1210"/>
      <c r="B93" s="2258"/>
      <c r="C93" s="5334"/>
      <c r="D93" s="5335"/>
      <c r="E93" s="5335"/>
      <c r="F93" s="5335"/>
      <c r="G93" s="5335"/>
      <c r="H93" s="5335"/>
      <c r="I93" s="5335"/>
      <c r="J93" s="5335"/>
      <c r="K93" s="5335"/>
      <c r="L93" s="5335"/>
      <c r="M93" s="5335"/>
      <c r="N93" s="5335"/>
      <c r="O93" s="5335"/>
      <c r="P93" s="5335"/>
      <c r="Q93" s="5336"/>
      <c r="R93" s="1216"/>
      <c r="S93" s="1210"/>
      <c r="T93" s="1210"/>
      <c r="U93" s="2258"/>
      <c r="V93" s="5334"/>
      <c r="W93" s="5335"/>
      <c r="X93" s="5335"/>
      <c r="Y93" s="5335"/>
      <c r="Z93" s="5335"/>
      <c r="AA93" s="5335"/>
      <c r="AB93" s="5335"/>
      <c r="AC93" s="5335"/>
      <c r="AD93" s="5335"/>
      <c r="AE93" s="5335"/>
      <c r="AF93" s="5335"/>
      <c r="AG93" s="5335"/>
      <c r="AH93" s="5335"/>
      <c r="AI93" s="5335"/>
      <c r="AJ93" s="5336"/>
      <c r="AK93" s="1216"/>
      <c r="AL93" s="1210"/>
      <c r="AM93" s="1210"/>
      <c r="AN93" s="2272"/>
      <c r="AO93" s="5334"/>
      <c r="AP93" s="5335"/>
      <c r="AQ93" s="5335"/>
      <c r="AR93" s="5335"/>
      <c r="AS93" s="5335"/>
      <c r="AT93" s="5335"/>
      <c r="AU93" s="5335"/>
      <c r="AV93" s="5335"/>
      <c r="AW93" s="5335"/>
      <c r="AX93" s="5335"/>
      <c r="AY93" s="5335"/>
      <c r="AZ93" s="5335"/>
      <c r="BA93" s="5335"/>
      <c r="BB93" s="5335"/>
      <c r="BC93" s="5336"/>
      <c r="BD93" s="1216"/>
      <c r="BE93" s="1210"/>
      <c r="BF93" s="1210"/>
      <c r="BG93" s="2272"/>
      <c r="BH93" s="5334"/>
      <c r="BI93" s="5335"/>
      <c r="BJ93" s="5335"/>
      <c r="BK93" s="5335"/>
      <c r="BL93" s="5335"/>
      <c r="BM93" s="5335"/>
      <c r="BN93" s="5335"/>
      <c r="BO93" s="5335"/>
      <c r="BP93" s="5335"/>
      <c r="BQ93" s="5335"/>
      <c r="BR93" s="5335"/>
      <c r="BS93" s="5335"/>
      <c r="BT93" s="5335"/>
      <c r="BU93" s="5335"/>
      <c r="BV93" s="5336"/>
      <c r="BW93" s="1216"/>
      <c r="BX93" s="1210"/>
      <c r="BY93" s="1210"/>
      <c r="BZ93" s="2272"/>
      <c r="CA93" s="5334"/>
      <c r="CB93" s="5335"/>
      <c r="CC93" s="5335"/>
      <c r="CD93" s="5335"/>
      <c r="CE93" s="5335"/>
      <c r="CF93" s="5335"/>
      <c r="CG93" s="5335"/>
      <c r="CH93" s="5335"/>
      <c r="CI93" s="5335"/>
      <c r="CJ93" s="5335"/>
      <c r="CK93" s="5335"/>
      <c r="CL93" s="5335"/>
      <c r="CM93" s="5335"/>
      <c r="CN93" s="5335"/>
      <c r="CO93" s="5336"/>
      <c r="CP93" s="1216"/>
      <c r="CQ93" s="1210"/>
    </row>
    <row r="94" spans="1:95" ht="12" customHeight="1" x14ac:dyDescent="0.2">
      <c r="A94" s="1210"/>
      <c r="B94" s="2258"/>
      <c r="C94" s="5334"/>
      <c r="D94" s="5335"/>
      <c r="E94" s="5335"/>
      <c r="F94" s="5335"/>
      <c r="G94" s="5335"/>
      <c r="H94" s="5335"/>
      <c r="I94" s="5335"/>
      <c r="J94" s="5335"/>
      <c r="K94" s="5335"/>
      <c r="L94" s="5335"/>
      <c r="M94" s="5335"/>
      <c r="N94" s="5335"/>
      <c r="O94" s="5335"/>
      <c r="P94" s="5335"/>
      <c r="Q94" s="5336"/>
      <c r="R94" s="1216"/>
      <c r="S94" s="1210"/>
      <c r="T94" s="1210"/>
      <c r="U94" s="2258"/>
      <c r="V94" s="5334"/>
      <c r="W94" s="5335"/>
      <c r="X94" s="5335"/>
      <c r="Y94" s="5335"/>
      <c r="Z94" s="5335"/>
      <c r="AA94" s="5335"/>
      <c r="AB94" s="5335"/>
      <c r="AC94" s="5335"/>
      <c r="AD94" s="5335"/>
      <c r="AE94" s="5335"/>
      <c r="AF94" s="5335"/>
      <c r="AG94" s="5335"/>
      <c r="AH94" s="5335"/>
      <c r="AI94" s="5335"/>
      <c r="AJ94" s="5336"/>
      <c r="AK94" s="1216"/>
      <c r="AL94" s="1210"/>
      <c r="AM94" s="1210"/>
      <c r="AN94" s="2272"/>
      <c r="AO94" s="5334"/>
      <c r="AP94" s="5335"/>
      <c r="AQ94" s="5335"/>
      <c r="AR94" s="5335"/>
      <c r="AS94" s="5335"/>
      <c r="AT94" s="5335"/>
      <c r="AU94" s="5335"/>
      <c r="AV94" s="5335"/>
      <c r="AW94" s="5335"/>
      <c r="AX94" s="5335"/>
      <c r="AY94" s="5335"/>
      <c r="AZ94" s="5335"/>
      <c r="BA94" s="5335"/>
      <c r="BB94" s="5335"/>
      <c r="BC94" s="5336"/>
      <c r="BD94" s="1216"/>
      <c r="BE94" s="1210"/>
      <c r="BF94" s="1210"/>
      <c r="BG94" s="2272"/>
      <c r="BH94" s="5334"/>
      <c r="BI94" s="5335"/>
      <c r="BJ94" s="5335"/>
      <c r="BK94" s="5335"/>
      <c r="BL94" s="5335"/>
      <c r="BM94" s="5335"/>
      <c r="BN94" s="5335"/>
      <c r="BO94" s="5335"/>
      <c r="BP94" s="5335"/>
      <c r="BQ94" s="5335"/>
      <c r="BR94" s="5335"/>
      <c r="BS94" s="5335"/>
      <c r="BT94" s="5335"/>
      <c r="BU94" s="5335"/>
      <c r="BV94" s="5336"/>
      <c r="BW94" s="1216"/>
      <c r="BX94" s="1210"/>
      <c r="BY94" s="1210"/>
      <c r="BZ94" s="2272"/>
      <c r="CA94" s="5334"/>
      <c r="CB94" s="5335"/>
      <c r="CC94" s="5335"/>
      <c r="CD94" s="5335"/>
      <c r="CE94" s="5335"/>
      <c r="CF94" s="5335"/>
      <c r="CG94" s="5335"/>
      <c r="CH94" s="5335"/>
      <c r="CI94" s="5335"/>
      <c r="CJ94" s="5335"/>
      <c r="CK94" s="5335"/>
      <c r="CL94" s="5335"/>
      <c r="CM94" s="5335"/>
      <c r="CN94" s="5335"/>
      <c r="CO94" s="5336"/>
      <c r="CP94" s="1216"/>
      <c r="CQ94" s="1210"/>
    </row>
    <row r="95" spans="1:95" ht="12" customHeight="1" thickBot="1" x14ac:dyDescent="0.25">
      <c r="A95" s="1210"/>
      <c r="B95" s="2258"/>
      <c r="C95" s="5337"/>
      <c r="D95" s="5338"/>
      <c r="E95" s="5338"/>
      <c r="F95" s="5338"/>
      <c r="G95" s="5338"/>
      <c r="H95" s="5338"/>
      <c r="I95" s="5338"/>
      <c r="J95" s="5338"/>
      <c r="K95" s="5338"/>
      <c r="L95" s="5338"/>
      <c r="M95" s="5338"/>
      <c r="N95" s="5338"/>
      <c r="O95" s="5338"/>
      <c r="P95" s="5338"/>
      <c r="Q95" s="5339"/>
      <c r="R95" s="1216"/>
      <c r="S95" s="1210"/>
      <c r="T95" s="1210"/>
      <c r="U95" s="2258"/>
      <c r="V95" s="5337"/>
      <c r="W95" s="5338"/>
      <c r="X95" s="5338"/>
      <c r="Y95" s="5338"/>
      <c r="Z95" s="5338"/>
      <c r="AA95" s="5338"/>
      <c r="AB95" s="5338"/>
      <c r="AC95" s="5338"/>
      <c r="AD95" s="5338"/>
      <c r="AE95" s="5338"/>
      <c r="AF95" s="5338"/>
      <c r="AG95" s="5338"/>
      <c r="AH95" s="5338"/>
      <c r="AI95" s="5338"/>
      <c r="AJ95" s="5339"/>
      <c r="AK95" s="1216"/>
      <c r="AL95" s="1210"/>
      <c r="AM95" s="1210"/>
      <c r="AN95" s="2272"/>
      <c r="AO95" s="5337"/>
      <c r="AP95" s="5338"/>
      <c r="AQ95" s="5338"/>
      <c r="AR95" s="5338"/>
      <c r="AS95" s="5338"/>
      <c r="AT95" s="5338"/>
      <c r="AU95" s="5338"/>
      <c r="AV95" s="5338"/>
      <c r="AW95" s="5338"/>
      <c r="AX95" s="5338"/>
      <c r="AY95" s="5338"/>
      <c r="AZ95" s="5338"/>
      <c r="BA95" s="5338"/>
      <c r="BB95" s="5338"/>
      <c r="BC95" s="5339"/>
      <c r="BD95" s="1216"/>
      <c r="BE95" s="1210"/>
      <c r="BF95" s="1210"/>
      <c r="BG95" s="2272"/>
      <c r="BH95" s="5337"/>
      <c r="BI95" s="5338"/>
      <c r="BJ95" s="5338"/>
      <c r="BK95" s="5338"/>
      <c r="BL95" s="5338"/>
      <c r="BM95" s="5338"/>
      <c r="BN95" s="5338"/>
      <c r="BO95" s="5338"/>
      <c r="BP95" s="5338"/>
      <c r="BQ95" s="5338"/>
      <c r="BR95" s="5338"/>
      <c r="BS95" s="5338"/>
      <c r="BT95" s="5338"/>
      <c r="BU95" s="5338"/>
      <c r="BV95" s="5339"/>
      <c r="BW95" s="1216"/>
      <c r="BX95" s="1210"/>
      <c r="BY95" s="1210"/>
      <c r="BZ95" s="2272"/>
      <c r="CA95" s="5337"/>
      <c r="CB95" s="5338"/>
      <c r="CC95" s="5338"/>
      <c r="CD95" s="5338"/>
      <c r="CE95" s="5338"/>
      <c r="CF95" s="5338"/>
      <c r="CG95" s="5338"/>
      <c r="CH95" s="5338"/>
      <c r="CI95" s="5338"/>
      <c r="CJ95" s="5338"/>
      <c r="CK95" s="5338"/>
      <c r="CL95" s="5338"/>
      <c r="CM95" s="5338"/>
      <c r="CN95" s="5338"/>
      <c r="CO95" s="5339"/>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56"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57"/>
      <c r="E97" s="5357"/>
      <c r="F97" s="5357"/>
      <c r="G97" s="5357"/>
      <c r="H97" s="1230" t="s">
        <v>1630</v>
      </c>
      <c r="I97" s="1231" t="e">
        <f>IF(C97=0,"",VLOOKUP(C97,'Tablas Magia'!$D$6:$Z$680,3,FALSE))</f>
        <v>#N/A</v>
      </c>
      <c r="J97" s="5344" t="s">
        <v>8162</v>
      </c>
      <c r="K97" s="5344"/>
      <c r="L97" s="5344"/>
      <c r="M97" s="5345" t="e">
        <f>IF(C97=0,"",VLOOKUP(C97,'Tablas Magia'!$D$6:$Z$680,2,FALSE))</f>
        <v>#N/A</v>
      </c>
      <c r="N97" s="5345"/>
      <c r="O97" s="5345"/>
      <c r="P97" s="5345"/>
      <c r="Q97" s="5346"/>
      <c r="R97" s="1216"/>
      <c r="S97" s="1210"/>
      <c r="T97" s="1210"/>
      <c r="U97" s="2258">
        <f>U86+2</f>
        <v>38</v>
      </c>
      <c r="V97" s="5356"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57"/>
      <c r="X97" s="5357"/>
      <c r="Y97" s="5357"/>
      <c r="Z97" s="5357"/>
      <c r="AA97" s="1230" t="s">
        <v>1630</v>
      </c>
      <c r="AB97" s="1231" t="e">
        <f>IF(V97=0,"",VLOOKUP(V97,'Tablas Magia'!$D$6:$Z$680,3,FALSE))</f>
        <v>#N/A</v>
      </c>
      <c r="AC97" s="5344" t="s">
        <v>8162</v>
      </c>
      <c r="AD97" s="5344"/>
      <c r="AE97" s="5344"/>
      <c r="AF97" s="5345" t="e">
        <f>IF(V97=0,"",VLOOKUP(V97,'Tablas Magia'!$D$6:$Z$680,2,FALSE))</f>
        <v>#N/A</v>
      </c>
      <c r="AG97" s="5345"/>
      <c r="AH97" s="5345"/>
      <c r="AI97" s="5345"/>
      <c r="AJ97" s="5346"/>
      <c r="AK97" s="1216"/>
      <c r="AL97" s="1210"/>
      <c r="AM97" s="1210"/>
      <c r="AN97" s="2272">
        <f>AN86+2</f>
        <v>58</v>
      </c>
      <c r="AO97" s="5356"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57"/>
      <c r="AQ97" s="5357"/>
      <c r="AR97" s="5357"/>
      <c r="AS97" s="5357"/>
      <c r="AT97" s="1230" t="s">
        <v>1630</v>
      </c>
      <c r="AU97" s="1231" t="e">
        <f>IF(AO97=0,"",VLOOKUP(AO97,'Tablas Magia'!$D$6:$Z$680,3,FALSE))</f>
        <v>#N/A</v>
      </c>
      <c r="AV97" s="5344" t="s">
        <v>8162</v>
      </c>
      <c r="AW97" s="5344"/>
      <c r="AX97" s="5344"/>
      <c r="AY97" s="5345" t="e">
        <f>IF(AO97=0,"",VLOOKUP(AO97,'Tablas Magia'!$D$6:$Z$680,2,FALSE))</f>
        <v>#N/A</v>
      </c>
      <c r="AZ97" s="5345"/>
      <c r="BA97" s="5345"/>
      <c r="BB97" s="5345"/>
      <c r="BC97" s="5346"/>
      <c r="BD97" s="1216"/>
      <c r="BE97" s="1210"/>
      <c r="BF97" s="1210"/>
      <c r="BG97" s="2272">
        <f>BG86+2</f>
        <v>78</v>
      </c>
      <c r="BH97" s="5356"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57"/>
      <c r="BJ97" s="5357"/>
      <c r="BK97" s="5357"/>
      <c r="BL97" s="5357"/>
      <c r="BM97" s="1230" t="s">
        <v>1630</v>
      </c>
      <c r="BN97" s="1231" t="e">
        <f>IF(BH97=0,"",VLOOKUP(BH97,'Tablas Magia'!$D$6:$Z$680,3,FALSE))</f>
        <v>#N/A</v>
      </c>
      <c r="BO97" s="5344" t="s">
        <v>8162</v>
      </c>
      <c r="BP97" s="5344"/>
      <c r="BQ97" s="5344"/>
      <c r="BR97" s="5345" t="e">
        <f>IF(BH97=0,"",VLOOKUP(BH97,'Tablas Magia'!$D$6:$Z$680,2,FALSE))</f>
        <v>#N/A</v>
      </c>
      <c r="BS97" s="5345"/>
      <c r="BT97" s="5345"/>
      <c r="BU97" s="5345"/>
      <c r="BV97" s="5346"/>
      <c r="BW97" s="1216"/>
      <c r="BX97" s="1210"/>
      <c r="BY97" s="1210"/>
      <c r="BZ97" s="2272">
        <f>BZ86+2</f>
        <v>98</v>
      </c>
      <c r="CA97" s="5356"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57"/>
      <c r="CC97" s="5357"/>
      <c r="CD97" s="5357"/>
      <c r="CE97" s="5357"/>
      <c r="CF97" s="1230" t="s">
        <v>1630</v>
      </c>
      <c r="CG97" s="1231" t="e">
        <f>IF(CA97=0,"",VLOOKUP(CA97,'Tablas Magia'!$D$6:$Z$680,3,FALSE))</f>
        <v>#N/A</v>
      </c>
      <c r="CH97" s="5344" t="s">
        <v>8162</v>
      </c>
      <c r="CI97" s="5344"/>
      <c r="CJ97" s="5344"/>
      <c r="CK97" s="5345" t="e">
        <f>IF(CA97=0,"",VLOOKUP(CA97,'Tablas Magia'!$D$6:$Z$680,2,FALSE))</f>
        <v>#N/A</v>
      </c>
      <c r="CL97" s="5345"/>
      <c r="CM97" s="5345"/>
      <c r="CN97" s="5345"/>
      <c r="CO97" s="5346"/>
      <c r="CP97" s="1216"/>
      <c r="CQ97" s="1210"/>
    </row>
    <row r="98" spans="1:95" ht="12" customHeight="1" x14ac:dyDescent="0.2">
      <c r="A98" s="1210"/>
      <c r="B98" s="2258"/>
      <c r="C98" s="5340" t="s">
        <v>8163</v>
      </c>
      <c r="D98" s="5341"/>
      <c r="E98" s="1232" t="s">
        <v>8164</v>
      </c>
      <c r="F98" s="1232" t="s">
        <v>1824</v>
      </c>
      <c r="G98" s="1232" t="s">
        <v>3467</v>
      </c>
      <c r="H98" s="1233" t="s">
        <v>2175</v>
      </c>
      <c r="I98" s="5314" t="e">
        <f>IF(C97=0,"",VLOOKUP(C97,'Tablas Magia'!$D$6:$Z$680,5,FALSE))</f>
        <v>#N/A</v>
      </c>
      <c r="J98" s="5314"/>
      <c r="K98" s="5313" t="s">
        <v>8165</v>
      </c>
      <c r="L98" s="5313"/>
      <c r="M98" s="5314" t="e">
        <f>IF(C97=0,"",VLOOKUP(C97,'Tablas Magia'!$D$6:$Z$680,6,FALSE))</f>
        <v>#N/A</v>
      </c>
      <c r="N98" s="5314"/>
      <c r="O98" s="5315" t="s">
        <v>8166</v>
      </c>
      <c r="P98" s="5315"/>
      <c r="Q98" s="1234" t="e">
        <f>IF(C97=0,"",VLOOKUP(C97,'Tablas Magia'!$D$6:$Z$680,4,FALSE))</f>
        <v>#N/A</v>
      </c>
      <c r="R98" s="1216"/>
      <c r="S98" s="1210"/>
      <c r="T98" s="1210"/>
      <c r="U98" s="2258"/>
      <c r="V98" s="5340" t="s">
        <v>8163</v>
      </c>
      <c r="W98" s="5341"/>
      <c r="X98" s="1232" t="s">
        <v>8164</v>
      </c>
      <c r="Y98" s="1232" t="s">
        <v>1824</v>
      </c>
      <c r="Z98" s="1232" t="s">
        <v>3467</v>
      </c>
      <c r="AA98" s="1233" t="s">
        <v>2175</v>
      </c>
      <c r="AB98" s="5314" t="e">
        <f>IF(V97=0,"",VLOOKUP(V97,'Tablas Magia'!$D$6:$Z$680,5,FALSE))</f>
        <v>#N/A</v>
      </c>
      <c r="AC98" s="5314"/>
      <c r="AD98" s="5313" t="s">
        <v>8165</v>
      </c>
      <c r="AE98" s="5313"/>
      <c r="AF98" s="5314" t="e">
        <f>IF(V97=0,"",VLOOKUP(V97,'Tablas Magia'!$D$6:$Z$680,6,FALSE))</f>
        <v>#N/A</v>
      </c>
      <c r="AG98" s="5314"/>
      <c r="AH98" s="5315" t="s">
        <v>8166</v>
      </c>
      <c r="AI98" s="5315"/>
      <c r="AJ98" s="1234" t="e">
        <f>IF(V97=0,"",VLOOKUP(V97,'Tablas Magia'!$D$6:$Z$680,4,FALSE))</f>
        <v>#N/A</v>
      </c>
      <c r="AK98" s="1216"/>
      <c r="AL98" s="1210"/>
      <c r="AM98" s="1210"/>
      <c r="AN98" s="2272"/>
      <c r="AO98" s="5340" t="s">
        <v>8163</v>
      </c>
      <c r="AP98" s="5341"/>
      <c r="AQ98" s="1232" t="s">
        <v>8164</v>
      </c>
      <c r="AR98" s="1232" t="s">
        <v>1824</v>
      </c>
      <c r="AS98" s="1232" t="s">
        <v>3467</v>
      </c>
      <c r="AT98" s="1233" t="s">
        <v>2175</v>
      </c>
      <c r="AU98" s="5314" t="e">
        <f>IF(AO97=0,"",VLOOKUP(AO97,'Tablas Magia'!$D$6:$Z$680,5,FALSE))</f>
        <v>#N/A</v>
      </c>
      <c r="AV98" s="5314"/>
      <c r="AW98" s="5313" t="s">
        <v>8165</v>
      </c>
      <c r="AX98" s="5313"/>
      <c r="AY98" s="5314" t="e">
        <f>IF(AO97=0,"",VLOOKUP(AO97,'Tablas Magia'!$D$6:$Z$680,6,FALSE))</f>
        <v>#N/A</v>
      </c>
      <c r="AZ98" s="5314"/>
      <c r="BA98" s="5315" t="s">
        <v>8166</v>
      </c>
      <c r="BB98" s="5315"/>
      <c r="BC98" s="1234" t="e">
        <f>IF(AO97=0,"",VLOOKUP(AO97,'Tablas Magia'!$D$6:$Z$680,4,FALSE))</f>
        <v>#N/A</v>
      </c>
      <c r="BD98" s="1216"/>
      <c r="BE98" s="1210"/>
      <c r="BF98" s="1210"/>
      <c r="BG98" s="2272"/>
      <c r="BH98" s="5340" t="s">
        <v>8163</v>
      </c>
      <c r="BI98" s="5341"/>
      <c r="BJ98" s="1232" t="s">
        <v>8164</v>
      </c>
      <c r="BK98" s="1232" t="s">
        <v>1824</v>
      </c>
      <c r="BL98" s="1232" t="s">
        <v>3467</v>
      </c>
      <c r="BM98" s="1233" t="s">
        <v>2175</v>
      </c>
      <c r="BN98" s="5314" t="e">
        <f>IF(BH97=0,"",VLOOKUP(BH97,'Tablas Magia'!$D$6:$Z$680,5,FALSE))</f>
        <v>#N/A</v>
      </c>
      <c r="BO98" s="5314"/>
      <c r="BP98" s="5313" t="s">
        <v>8165</v>
      </c>
      <c r="BQ98" s="5313"/>
      <c r="BR98" s="5314" t="e">
        <f>IF(BH97=0,"",VLOOKUP(BH97,'Tablas Magia'!$D$6:$Z$680,6,FALSE))</f>
        <v>#N/A</v>
      </c>
      <c r="BS98" s="5314"/>
      <c r="BT98" s="5315" t="s">
        <v>8166</v>
      </c>
      <c r="BU98" s="5315"/>
      <c r="BV98" s="1234" t="e">
        <f>IF(BH97=0,"",VLOOKUP(BH97,'Tablas Magia'!$D$6:$Z$680,4,FALSE))</f>
        <v>#N/A</v>
      </c>
      <c r="BW98" s="1216"/>
      <c r="BX98" s="1210"/>
      <c r="BY98" s="1210"/>
      <c r="BZ98" s="2272"/>
      <c r="CA98" s="5340" t="s">
        <v>8163</v>
      </c>
      <c r="CB98" s="5341"/>
      <c r="CC98" s="1232" t="s">
        <v>8164</v>
      </c>
      <c r="CD98" s="1232" t="s">
        <v>1824</v>
      </c>
      <c r="CE98" s="1232" t="s">
        <v>3467</v>
      </c>
      <c r="CF98" s="1233" t="s">
        <v>2175</v>
      </c>
      <c r="CG98" s="5314" t="e">
        <f>IF(CA97=0,"",VLOOKUP(CA97,'Tablas Magia'!$D$6:$Z$680,5,FALSE))</f>
        <v>#N/A</v>
      </c>
      <c r="CH98" s="5314"/>
      <c r="CI98" s="5313" t="s">
        <v>8165</v>
      </c>
      <c r="CJ98" s="5313"/>
      <c r="CK98" s="5314" t="e">
        <f>IF(CA97=0,"",VLOOKUP(CA97,'Tablas Magia'!$D$6:$Z$680,6,FALSE))</f>
        <v>#N/A</v>
      </c>
      <c r="CL98" s="5314"/>
      <c r="CM98" s="5315" t="s">
        <v>8166</v>
      </c>
      <c r="CN98" s="5315"/>
      <c r="CO98" s="1234" t="e">
        <f>IF(CA97=0,"",VLOOKUP(CA97,'Tablas Magia'!$D$6:$Z$680,4,FALSE))</f>
        <v>#N/A</v>
      </c>
      <c r="CP98" s="1216"/>
      <c r="CQ98" s="1210"/>
    </row>
    <row r="99" spans="1:95" ht="12" customHeight="1" x14ac:dyDescent="0.2">
      <c r="A99" s="1210"/>
      <c r="B99" s="2258"/>
      <c r="C99" s="5316" t="s">
        <v>1677</v>
      </c>
      <c r="D99" s="5317"/>
      <c r="E99" s="1235" t="e">
        <f>IF(C97=0,"",VLOOKUP(C97,'Tablas Magia'!$D$6:$Z$680,7,FALSE))</f>
        <v>#N/A</v>
      </c>
      <c r="F99" s="1235" t="e">
        <f>IF(C97=0,"",VLOOKUP(C97,'Tablas Magia'!$D$6:$Z$680,11,FALSE))</f>
        <v>#N/A</v>
      </c>
      <c r="G99" s="1236" t="e">
        <f>IF(C97=0,"",VLOOKUP(C97,'Tablas Magia'!$D$6:$Z$680,15,FALSE))</f>
        <v>#N/A</v>
      </c>
      <c r="H99" s="5318" t="e">
        <f>IF(C97=0,"",VLOOKUP(C97,'Tablas Magia'!$D$6:$Z$680,19,FALSE))</f>
        <v>#N/A</v>
      </c>
      <c r="I99" s="5319"/>
      <c r="J99" s="5319"/>
      <c r="K99" s="5319"/>
      <c r="L99" s="5319"/>
      <c r="M99" s="5319"/>
      <c r="N99" s="5319"/>
      <c r="O99" s="5319"/>
      <c r="P99" s="5319"/>
      <c r="Q99" s="5320"/>
      <c r="R99" s="1216"/>
      <c r="S99" s="1210"/>
      <c r="T99" s="1210"/>
      <c r="U99" s="2258"/>
      <c r="V99" s="5316" t="s">
        <v>1677</v>
      </c>
      <c r="W99" s="5317"/>
      <c r="X99" s="1235" t="e">
        <f>IF(V97=0,"",VLOOKUP(V97,'Tablas Magia'!$D$6:$Z$680,7,FALSE))</f>
        <v>#N/A</v>
      </c>
      <c r="Y99" s="1235" t="e">
        <f>IF(V97=0,"",VLOOKUP(V97,'Tablas Magia'!$D$6:$Z$680,11,FALSE))</f>
        <v>#N/A</v>
      </c>
      <c r="Z99" s="1236" t="e">
        <f>IF(V97=0,"",VLOOKUP(V97,'Tablas Magia'!$D$6:$Z$680,15,FALSE))</f>
        <v>#N/A</v>
      </c>
      <c r="AA99" s="5318" t="e">
        <f>IF(V97=0,"",VLOOKUP(V97,'Tablas Magia'!$D$6:$Z$680,19,FALSE))</f>
        <v>#N/A</v>
      </c>
      <c r="AB99" s="5319"/>
      <c r="AC99" s="5319"/>
      <c r="AD99" s="5319"/>
      <c r="AE99" s="5319"/>
      <c r="AF99" s="5319"/>
      <c r="AG99" s="5319"/>
      <c r="AH99" s="5319"/>
      <c r="AI99" s="5319"/>
      <c r="AJ99" s="5320"/>
      <c r="AK99" s="1216"/>
      <c r="AL99" s="1210"/>
      <c r="AM99" s="1210"/>
      <c r="AN99" s="2272"/>
      <c r="AO99" s="5316" t="s">
        <v>1677</v>
      </c>
      <c r="AP99" s="5317"/>
      <c r="AQ99" s="1235" t="e">
        <f>IF(AO97=0,"",VLOOKUP(AO97,'Tablas Magia'!$D$6:$Z$680,7,FALSE))</f>
        <v>#N/A</v>
      </c>
      <c r="AR99" s="1235" t="e">
        <f>IF(AO97=0,"",VLOOKUP(AO97,'Tablas Magia'!$D$6:$Z$680,11,FALSE))</f>
        <v>#N/A</v>
      </c>
      <c r="AS99" s="1236" t="e">
        <f>IF(AO97=0,"",VLOOKUP(AO97,'Tablas Magia'!$D$6:$Z$680,15,FALSE))</f>
        <v>#N/A</v>
      </c>
      <c r="AT99" s="5318" t="e">
        <f>IF(AO97=0,"",VLOOKUP(AO97,'Tablas Magia'!$D$6:$Z$680,19,FALSE))</f>
        <v>#N/A</v>
      </c>
      <c r="AU99" s="5319"/>
      <c r="AV99" s="5319"/>
      <c r="AW99" s="5319"/>
      <c r="AX99" s="5319"/>
      <c r="AY99" s="5319"/>
      <c r="AZ99" s="5319"/>
      <c r="BA99" s="5319"/>
      <c r="BB99" s="5319"/>
      <c r="BC99" s="5320"/>
      <c r="BD99" s="1216"/>
      <c r="BE99" s="1210"/>
      <c r="BF99" s="1210"/>
      <c r="BG99" s="2272"/>
      <c r="BH99" s="5316" t="s">
        <v>1677</v>
      </c>
      <c r="BI99" s="5317"/>
      <c r="BJ99" s="1235" t="e">
        <f>IF(BH97=0,"",VLOOKUP(BH97,'Tablas Magia'!$D$6:$Z$680,7,FALSE))</f>
        <v>#N/A</v>
      </c>
      <c r="BK99" s="1235" t="e">
        <f>IF(BH97=0,"",VLOOKUP(BH97,'Tablas Magia'!$D$6:$Z$680,11,FALSE))</f>
        <v>#N/A</v>
      </c>
      <c r="BL99" s="1236" t="e">
        <f>IF(BH97=0,"",VLOOKUP(BH97,'Tablas Magia'!$D$6:$Z$680,15,FALSE))</f>
        <v>#N/A</v>
      </c>
      <c r="BM99" s="5318" t="e">
        <f>IF(BH97=0,"",VLOOKUP(BH97,'Tablas Magia'!$D$6:$Z$680,19,FALSE))</f>
        <v>#N/A</v>
      </c>
      <c r="BN99" s="5319"/>
      <c r="BO99" s="5319"/>
      <c r="BP99" s="5319"/>
      <c r="BQ99" s="5319"/>
      <c r="BR99" s="5319"/>
      <c r="BS99" s="5319"/>
      <c r="BT99" s="5319"/>
      <c r="BU99" s="5319"/>
      <c r="BV99" s="5320"/>
      <c r="BW99" s="1216"/>
      <c r="BX99" s="1210"/>
      <c r="BY99" s="1210"/>
      <c r="BZ99" s="2272"/>
      <c r="CA99" s="5316" t="s">
        <v>1677</v>
      </c>
      <c r="CB99" s="5317"/>
      <c r="CC99" s="1235" t="e">
        <f>IF(CA97=0,"",VLOOKUP(CA97,'Tablas Magia'!$D$6:$Z$680,7,FALSE))</f>
        <v>#N/A</v>
      </c>
      <c r="CD99" s="1235" t="e">
        <f>IF(CA97=0,"",VLOOKUP(CA97,'Tablas Magia'!$D$6:$Z$680,11,FALSE))</f>
        <v>#N/A</v>
      </c>
      <c r="CE99" s="1236" t="e">
        <f>IF(CA97=0,"",VLOOKUP(CA97,'Tablas Magia'!$D$6:$Z$680,15,FALSE))</f>
        <v>#N/A</v>
      </c>
      <c r="CF99" s="5318" t="e">
        <f>IF(CA97=0,"",VLOOKUP(CA97,'Tablas Magia'!$D$6:$Z$680,19,FALSE))</f>
        <v>#N/A</v>
      </c>
      <c r="CG99" s="5319"/>
      <c r="CH99" s="5319"/>
      <c r="CI99" s="5319"/>
      <c r="CJ99" s="5319"/>
      <c r="CK99" s="5319"/>
      <c r="CL99" s="5319"/>
      <c r="CM99" s="5319"/>
      <c r="CN99" s="5319"/>
      <c r="CO99" s="5320"/>
      <c r="CP99" s="1216"/>
      <c r="CQ99" s="1210"/>
    </row>
    <row r="100" spans="1:95" ht="12" customHeight="1" x14ac:dyDescent="0.2">
      <c r="A100" s="1210"/>
      <c r="B100" s="2258"/>
      <c r="C100" s="5321" t="s">
        <v>4705</v>
      </c>
      <c r="D100" s="5322"/>
      <c r="E100" s="1237" t="e">
        <f>IF(C97=0,"",VLOOKUP(C97,'Tablas Magia'!$D$6:$Z$680,8,FALSE))</f>
        <v>#N/A</v>
      </c>
      <c r="F100" s="1237" t="e">
        <f>IF(C97=0,"",VLOOKUP(C97,'Tablas Magia'!$D$6:$Z$680,12,FALSE))</f>
        <v>#N/A</v>
      </c>
      <c r="G100" s="1238" t="e">
        <f>IF(C97=0,"",VLOOKUP(C97,'Tablas Magia'!$D$6:$Z$680,16,FALSE))</f>
        <v>#N/A</v>
      </c>
      <c r="H100" s="5323" t="e">
        <f>IF(C97=0,"",VLOOKUP(C97,'Tablas Magia'!$D$6:$Z$680,20,FALSE))</f>
        <v>#N/A</v>
      </c>
      <c r="I100" s="5324"/>
      <c r="J100" s="5324"/>
      <c r="K100" s="5324"/>
      <c r="L100" s="5324"/>
      <c r="M100" s="5324"/>
      <c r="N100" s="5324"/>
      <c r="O100" s="5324"/>
      <c r="P100" s="5324"/>
      <c r="Q100" s="5325"/>
      <c r="R100" s="1216"/>
      <c r="S100" s="1210"/>
      <c r="T100" s="1210"/>
      <c r="U100" s="2258"/>
      <c r="V100" s="5321" t="s">
        <v>4705</v>
      </c>
      <c r="W100" s="5322"/>
      <c r="X100" s="1237" t="e">
        <f>IF(V97=0,"",VLOOKUP(V97,'Tablas Magia'!$D$6:$Z$680,8,FALSE))</f>
        <v>#N/A</v>
      </c>
      <c r="Y100" s="1237" t="e">
        <f>IF(V97=0,"",VLOOKUP(V97,'Tablas Magia'!$D$6:$Z$680,12,FALSE))</f>
        <v>#N/A</v>
      </c>
      <c r="Z100" s="1238" t="e">
        <f>IF(V97=0,"",VLOOKUP(V97,'Tablas Magia'!$D$6:$Z$680,16,FALSE))</f>
        <v>#N/A</v>
      </c>
      <c r="AA100" s="5323" t="e">
        <f>IF(V97=0,"",VLOOKUP(V97,'Tablas Magia'!$D$6:$Z$680,20,FALSE))</f>
        <v>#N/A</v>
      </c>
      <c r="AB100" s="5324"/>
      <c r="AC100" s="5324"/>
      <c r="AD100" s="5324"/>
      <c r="AE100" s="5324"/>
      <c r="AF100" s="5324"/>
      <c r="AG100" s="5324"/>
      <c r="AH100" s="5324"/>
      <c r="AI100" s="5324"/>
      <c r="AJ100" s="5325"/>
      <c r="AK100" s="1216"/>
      <c r="AL100" s="1210"/>
      <c r="AM100" s="1210"/>
      <c r="AN100" s="2272"/>
      <c r="AO100" s="5321" t="s">
        <v>4705</v>
      </c>
      <c r="AP100" s="5322"/>
      <c r="AQ100" s="1237" t="e">
        <f>IF(AO97=0,"",VLOOKUP(AO97,'Tablas Magia'!$D$6:$Z$680,8,FALSE))</f>
        <v>#N/A</v>
      </c>
      <c r="AR100" s="1237" t="e">
        <f>IF(AO97=0,"",VLOOKUP(AO97,'Tablas Magia'!$D$6:$Z$680,12,FALSE))</f>
        <v>#N/A</v>
      </c>
      <c r="AS100" s="1238" t="e">
        <f>IF(AO97=0,"",VLOOKUP(AO97,'Tablas Magia'!$D$6:$Z$680,16,FALSE))</f>
        <v>#N/A</v>
      </c>
      <c r="AT100" s="5323" t="e">
        <f>IF(AO97=0,"",VLOOKUP(AO97,'Tablas Magia'!$D$6:$Z$680,20,FALSE))</f>
        <v>#N/A</v>
      </c>
      <c r="AU100" s="5324"/>
      <c r="AV100" s="5324"/>
      <c r="AW100" s="5324"/>
      <c r="AX100" s="5324"/>
      <c r="AY100" s="5324"/>
      <c r="AZ100" s="5324"/>
      <c r="BA100" s="5324"/>
      <c r="BB100" s="5324"/>
      <c r="BC100" s="5325"/>
      <c r="BD100" s="1216"/>
      <c r="BE100" s="1210"/>
      <c r="BF100" s="1210"/>
      <c r="BG100" s="2272"/>
      <c r="BH100" s="5321" t="s">
        <v>4705</v>
      </c>
      <c r="BI100" s="5322"/>
      <c r="BJ100" s="1237" t="e">
        <f>IF(BH97=0,"",VLOOKUP(BH97,'Tablas Magia'!$D$6:$Z$680,8,FALSE))</f>
        <v>#N/A</v>
      </c>
      <c r="BK100" s="1237" t="e">
        <f>IF(BH97=0,"",VLOOKUP(BH97,'Tablas Magia'!$D$6:$Z$680,12,FALSE))</f>
        <v>#N/A</v>
      </c>
      <c r="BL100" s="1238" t="e">
        <f>IF(BH97=0,"",VLOOKUP(BH97,'Tablas Magia'!$D$6:$Z$680,16,FALSE))</f>
        <v>#N/A</v>
      </c>
      <c r="BM100" s="5323" t="e">
        <f>IF(BH97=0,"",VLOOKUP(BH97,'Tablas Magia'!$D$6:$Z$680,20,FALSE))</f>
        <v>#N/A</v>
      </c>
      <c r="BN100" s="5324"/>
      <c r="BO100" s="5324"/>
      <c r="BP100" s="5324"/>
      <c r="BQ100" s="5324"/>
      <c r="BR100" s="5324"/>
      <c r="BS100" s="5324"/>
      <c r="BT100" s="5324"/>
      <c r="BU100" s="5324"/>
      <c r="BV100" s="5325"/>
      <c r="BW100" s="1216"/>
      <c r="BX100" s="1210"/>
      <c r="BY100" s="1210"/>
      <c r="BZ100" s="2272"/>
      <c r="CA100" s="5321" t="s">
        <v>4705</v>
      </c>
      <c r="CB100" s="5322"/>
      <c r="CC100" s="1237" t="e">
        <f>IF(CA97=0,"",VLOOKUP(CA97,'Tablas Magia'!$D$6:$Z$680,8,FALSE))</f>
        <v>#N/A</v>
      </c>
      <c r="CD100" s="1237" t="e">
        <f>IF(CA97=0,"",VLOOKUP(CA97,'Tablas Magia'!$D$6:$Z$680,12,FALSE))</f>
        <v>#N/A</v>
      </c>
      <c r="CE100" s="1238" t="e">
        <f>IF(CA97=0,"",VLOOKUP(CA97,'Tablas Magia'!$D$6:$Z$680,16,FALSE))</f>
        <v>#N/A</v>
      </c>
      <c r="CF100" s="5323" t="e">
        <f>IF(CA97=0,"",VLOOKUP(CA97,'Tablas Magia'!$D$6:$Z$680,20,FALSE))</f>
        <v>#N/A</v>
      </c>
      <c r="CG100" s="5324"/>
      <c r="CH100" s="5324"/>
      <c r="CI100" s="5324"/>
      <c r="CJ100" s="5324"/>
      <c r="CK100" s="5324"/>
      <c r="CL100" s="5324"/>
      <c r="CM100" s="5324"/>
      <c r="CN100" s="5324"/>
      <c r="CO100" s="5325"/>
      <c r="CP100" s="1216"/>
      <c r="CQ100" s="1210"/>
    </row>
    <row r="101" spans="1:95" ht="12" customHeight="1" x14ac:dyDescent="0.2">
      <c r="A101" s="1210"/>
      <c r="B101" s="2258"/>
      <c r="C101" s="5316" t="s">
        <v>4706</v>
      </c>
      <c r="D101" s="5317"/>
      <c r="E101" s="1235" t="e">
        <f>IF(C97=0,"",VLOOKUP(C97,'Tablas Magia'!$D$6:$Z$680,9,FALSE))</f>
        <v>#N/A</v>
      </c>
      <c r="F101" s="1235" t="e">
        <f>IF(C97=0,"",VLOOKUP(C97,'Tablas Magia'!$D$6:$Z$680,13,FALSE))</f>
        <v>#N/A</v>
      </c>
      <c r="G101" s="1236" t="e">
        <f>IF(C97=0,"",VLOOKUP(C97,'Tablas Magia'!$D$6:$Z$680,17,FALSE))</f>
        <v>#N/A</v>
      </c>
      <c r="H101" s="5318" t="e">
        <f>IF(C97=0,"",VLOOKUP(C97,'Tablas Magia'!$D$6:$Z$680,21,FALSE))</f>
        <v>#N/A</v>
      </c>
      <c r="I101" s="5319"/>
      <c r="J101" s="5319"/>
      <c r="K101" s="5319"/>
      <c r="L101" s="5319"/>
      <c r="M101" s="5319"/>
      <c r="N101" s="5319"/>
      <c r="O101" s="5319"/>
      <c r="P101" s="5319"/>
      <c r="Q101" s="5320"/>
      <c r="R101" s="1216"/>
      <c r="S101" s="1210"/>
      <c r="T101" s="1210"/>
      <c r="U101" s="2258"/>
      <c r="V101" s="5316" t="s">
        <v>4706</v>
      </c>
      <c r="W101" s="5317"/>
      <c r="X101" s="1235" t="e">
        <f>IF(V97=0,"",VLOOKUP(V97,'Tablas Magia'!$D$6:$Z$680,9,FALSE))</f>
        <v>#N/A</v>
      </c>
      <c r="Y101" s="1235" t="e">
        <f>IF(V97=0,"",VLOOKUP(V97,'Tablas Magia'!$D$6:$Z$680,13,FALSE))</f>
        <v>#N/A</v>
      </c>
      <c r="Z101" s="1236" t="e">
        <f>IF(V97=0,"",VLOOKUP(V97,'Tablas Magia'!$D$6:$Z$680,17,FALSE))</f>
        <v>#N/A</v>
      </c>
      <c r="AA101" s="5318" t="e">
        <f>IF(V97=0,"",VLOOKUP(V97,'Tablas Magia'!$D$6:$Z$680,21,FALSE))</f>
        <v>#N/A</v>
      </c>
      <c r="AB101" s="5319"/>
      <c r="AC101" s="5319"/>
      <c r="AD101" s="5319"/>
      <c r="AE101" s="5319"/>
      <c r="AF101" s="5319"/>
      <c r="AG101" s="5319"/>
      <c r="AH101" s="5319"/>
      <c r="AI101" s="5319"/>
      <c r="AJ101" s="5320"/>
      <c r="AK101" s="1216"/>
      <c r="AL101" s="1210"/>
      <c r="AM101" s="1210"/>
      <c r="AN101" s="2272"/>
      <c r="AO101" s="5316" t="s">
        <v>4706</v>
      </c>
      <c r="AP101" s="5317"/>
      <c r="AQ101" s="1235" t="e">
        <f>IF(AO97=0,"",VLOOKUP(AO97,'Tablas Magia'!$D$6:$Z$680,9,FALSE))</f>
        <v>#N/A</v>
      </c>
      <c r="AR101" s="1235" t="e">
        <f>IF(AO97=0,"",VLOOKUP(AO97,'Tablas Magia'!$D$6:$Z$680,13,FALSE))</f>
        <v>#N/A</v>
      </c>
      <c r="AS101" s="1236" t="e">
        <f>IF(AO97=0,"",VLOOKUP(AO97,'Tablas Magia'!$D$6:$Z$680,17,FALSE))</f>
        <v>#N/A</v>
      </c>
      <c r="AT101" s="5318" t="e">
        <f>IF(AO97=0,"",VLOOKUP(AO97,'Tablas Magia'!$D$6:$Z$680,21,FALSE))</f>
        <v>#N/A</v>
      </c>
      <c r="AU101" s="5319"/>
      <c r="AV101" s="5319"/>
      <c r="AW101" s="5319"/>
      <c r="AX101" s="5319"/>
      <c r="AY101" s="5319"/>
      <c r="AZ101" s="5319"/>
      <c r="BA101" s="5319"/>
      <c r="BB101" s="5319"/>
      <c r="BC101" s="5320"/>
      <c r="BD101" s="1216"/>
      <c r="BE101" s="1210"/>
      <c r="BF101" s="1210"/>
      <c r="BG101" s="2272"/>
      <c r="BH101" s="5316" t="s">
        <v>4706</v>
      </c>
      <c r="BI101" s="5317"/>
      <c r="BJ101" s="1235" t="e">
        <f>IF(BH97=0,"",VLOOKUP(BH97,'Tablas Magia'!$D$6:$Z$680,9,FALSE))</f>
        <v>#N/A</v>
      </c>
      <c r="BK101" s="1235" t="e">
        <f>IF(BH97=0,"",VLOOKUP(BH97,'Tablas Magia'!$D$6:$Z$680,13,FALSE))</f>
        <v>#N/A</v>
      </c>
      <c r="BL101" s="1236" t="e">
        <f>IF(BH97=0,"",VLOOKUP(BH97,'Tablas Magia'!$D$6:$Z$680,17,FALSE))</f>
        <v>#N/A</v>
      </c>
      <c r="BM101" s="5318" t="e">
        <f>IF(BH97=0,"",VLOOKUP(BH97,'Tablas Magia'!$D$6:$Z$680,21,FALSE))</f>
        <v>#N/A</v>
      </c>
      <c r="BN101" s="5319"/>
      <c r="BO101" s="5319"/>
      <c r="BP101" s="5319"/>
      <c r="BQ101" s="5319"/>
      <c r="BR101" s="5319"/>
      <c r="BS101" s="5319"/>
      <c r="BT101" s="5319"/>
      <c r="BU101" s="5319"/>
      <c r="BV101" s="5320"/>
      <c r="BW101" s="1216"/>
      <c r="BX101" s="1210"/>
      <c r="BY101" s="1210"/>
      <c r="BZ101" s="2272"/>
      <c r="CA101" s="5316" t="s">
        <v>4706</v>
      </c>
      <c r="CB101" s="5317"/>
      <c r="CC101" s="1235" t="e">
        <f>IF(CA97=0,"",VLOOKUP(CA97,'Tablas Magia'!$D$6:$Z$680,9,FALSE))</f>
        <v>#N/A</v>
      </c>
      <c r="CD101" s="1235" t="e">
        <f>IF(CA97=0,"",VLOOKUP(CA97,'Tablas Magia'!$D$6:$Z$680,13,FALSE))</f>
        <v>#N/A</v>
      </c>
      <c r="CE101" s="1236" t="e">
        <f>IF(CA97=0,"",VLOOKUP(CA97,'Tablas Magia'!$D$6:$Z$680,17,FALSE))</f>
        <v>#N/A</v>
      </c>
      <c r="CF101" s="5318" t="e">
        <f>IF(CA97=0,"",VLOOKUP(CA97,'Tablas Magia'!$D$6:$Z$680,21,FALSE))</f>
        <v>#N/A</v>
      </c>
      <c r="CG101" s="5319"/>
      <c r="CH101" s="5319"/>
      <c r="CI101" s="5319"/>
      <c r="CJ101" s="5319"/>
      <c r="CK101" s="5319"/>
      <c r="CL101" s="5319"/>
      <c r="CM101" s="5319"/>
      <c r="CN101" s="5319"/>
      <c r="CO101" s="5320"/>
      <c r="CP101" s="1216"/>
      <c r="CQ101" s="1210"/>
    </row>
    <row r="102" spans="1:95" ht="12" customHeight="1" thickBot="1" x14ac:dyDescent="0.25">
      <c r="A102" s="1210"/>
      <c r="B102" s="2258"/>
      <c r="C102" s="5326" t="s">
        <v>4707</v>
      </c>
      <c r="D102" s="5327"/>
      <c r="E102" s="1239" t="e">
        <f>IF(C97=0,"",VLOOKUP(C97,'Tablas Magia'!$D$6:$Z$680,10,FALSE))</f>
        <v>#N/A</v>
      </c>
      <c r="F102" s="1239" t="e">
        <f>IF(C97=0,"",VLOOKUP(C97,'Tablas Magia'!$D$6:$Z$680,14,FALSE))</f>
        <v>#N/A</v>
      </c>
      <c r="G102" s="1240" t="e">
        <f>IF(C97=0,"",VLOOKUP(C97,'Tablas Magia'!$D$6:$Z$680,18,FALSE))</f>
        <v>#N/A</v>
      </c>
      <c r="H102" s="5328" t="e">
        <f>IF(C97=0,"",VLOOKUP(C97,'Tablas Magia'!$D$6:$Z$680,22,FALSE))</f>
        <v>#N/A</v>
      </c>
      <c r="I102" s="5329"/>
      <c r="J102" s="5329"/>
      <c r="K102" s="5329"/>
      <c r="L102" s="5329"/>
      <c r="M102" s="5329"/>
      <c r="N102" s="5329"/>
      <c r="O102" s="5329"/>
      <c r="P102" s="5329"/>
      <c r="Q102" s="5330"/>
      <c r="R102" s="1216"/>
      <c r="S102" s="1210"/>
      <c r="T102" s="1210"/>
      <c r="U102" s="2258"/>
      <c r="V102" s="5326" t="s">
        <v>4707</v>
      </c>
      <c r="W102" s="5327"/>
      <c r="X102" s="1239" t="e">
        <f>IF(V97=0,"",VLOOKUP(V97,'Tablas Magia'!$D$6:$Z$680,10,FALSE))</f>
        <v>#N/A</v>
      </c>
      <c r="Y102" s="1239" t="e">
        <f>IF(V97=0,"",VLOOKUP(V97,'Tablas Magia'!$D$6:$Z$680,14,FALSE))</f>
        <v>#N/A</v>
      </c>
      <c r="Z102" s="1240" t="e">
        <f>IF(V97=0,"",VLOOKUP(V97,'Tablas Magia'!$D$6:$Z$680,18,FALSE))</f>
        <v>#N/A</v>
      </c>
      <c r="AA102" s="5328" t="e">
        <f>IF(V97=0,"",VLOOKUP(V97,'Tablas Magia'!$D$6:$Z$680,22,FALSE))</f>
        <v>#N/A</v>
      </c>
      <c r="AB102" s="5329"/>
      <c r="AC102" s="5329"/>
      <c r="AD102" s="5329"/>
      <c r="AE102" s="5329"/>
      <c r="AF102" s="5329"/>
      <c r="AG102" s="5329"/>
      <c r="AH102" s="5329"/>
      <c r="AI102" s="5329"/>
      <c r="AJ102" s="5330"/>
      <c r="AK102" s="1216"/>
      <c r="AL102" s="1210"/>
      <c r="AM102" s="1210"/>
      <c r="AN102" s="2272"/>
      <c r="AO102" s="5326" t="s">
        <v>4707</v>
      </c>
      <c r="AP102" s="5327"/>
      <c r="AQ102" s="1239" t="e">
        <f>IF(AO97=0,"",VLOOKUP(AO97,'Tablas Magia'!$D$6:$Z$680,10,FALSE))</f>
        <v>#N/A</v>
      </c>
      <c r="AR102" s="1239" t="e">
        <f>IF(AO97=0,"",VLOOKUP(AO97,'Tablas Magia'!$D$6:$Z$680,14,FALSE))</f>
        <v>#N/A</v>
      </c>
      <c r="AS102" s="1240" t="e">
        <f>IF(AO97=0,"",VLOOKUP(AO97,'Tablas Magia'!$D$6:$Z$680,18,FALSE))</f>
        <v>#N/A</v>
      </c>
      <c r="AT102" s="5328" t="e">
        <f>IF(AO97=0,"",VLOOKUP(AO97,'Tablas Magia'!$D$6:$Z$680,22,FALSE))</f>
        <v>#N/A</v>
      </c>
      <c r="AU102" s="5329"/>
      <c r="AV102" s="5329"/>
      <c r="AW102" s="5329"/>
      <c r="AX102" s="5329"/>
      <c r="AY102" s="5329"/>
      <c r="AZ102" s="5329"/>
      <c r="BA102" s="5329"/>
      <c r="BB102" s="5329"/>
      <c r="BC102" s="5330"/>
      <c r="BD102" s="1216"/>
      <c r="BE102" s="1210"/>
      <c r="BF102" s="1210"/>
      <c r="BG102" s="2272"/>
      <c r="BH102" s="5326" t="s">
        <v>4707</v>
      </c>
      <c r="BI102" s="5327"/>
      <c r="BJ102" s="1239" t="e">
        <f>IF(BH97=0,"",VLOOKUP(BH97,'Tablas Magia'!$D$6:$Z$680,10,FALSE))</f>
        <v>#N/A</v>
      </c>
      <c r="BK102" s="1239" t="e">
        <f>IF(BH97=0,"",VLOOKUP(BH97,'Tablas Magia'!$D$6:$Z$680,14,FALSE))</f>
        <v>#N/A</v>
      </c>
      <c r="BL102" s="1240" t="e">
        <f>IF(BH97=0,"",VLOOKUP(BH97,'Tablas Magia'!$D$6:$Z$680,18,FALSE))</f>
        <v>#N/A</v>
      </c>
      <c r="BM102" s="5328" t="e">
        <f>IF(BH97=0,"",VLOOKUP(BH97,'Tablas Magia'!$D$6:$Z$680,22,FALSE))</f>
        <v>#N/A</v>
      </c>
      <c r="BN102" s="5329"/>
      <c r="BO102" s="5329"/>
      <c r="BP102" s="5329"/>
      <c r="BQ102" s="5329"/>
      <c r="BR102" s="5329"/>
      <c r="BS102" s="5329"/>
      <c r="BT102" s="5329"/>
      <c r="BU102" s="5329"/>
      <c r="BV102" s="5330"/>
      <c r="BW102" s="1216"/>
      <c r="BX102" s="1210"/>
      <c r="BY102" s="1210"/>
      <c r="BZ102" s="2272"/>
      <c r="CA102" s="5326" t="s">
        <v>4707</v>
      </c>
      <c r="CB102" s="5327"/>
      <c r="CC102" s="1239" t="e">
        <f>IF(CA97=0,"",VLOOKUP(CA97,'Tablas Magia'!$D$6:$Z$680,10,FALSE))</f>
        <v>#N/A</v>
      </c>
      <c r="CD102" s="1239" t="e">
        <f>IF(CA97=0,"",VLOOKUP(CA97,'Tablas Magia'!$D$6:$Z$680,14,FALSE))</f>
        <v>#N/A</v>
      </c>
      <c r="CE102" s="1240" t="e">
        <f>IF(CA97=0,"",VLOOKUP(CA97,'Tablas Magia'!$D$6:$Z$680,18,FALSE))</f>
        <v>#N/A</v>
      </c>
      <c r="CF102" s="5328" t="e">
        <f>IF(CA97=0,"",VLOOKUP(CA97,'Tablas Magia'!$D$6:$Z$680,22,FALSE))</f>
        <v>#N/A</v>
      </c>
      <c r="CG102" s="5329"/>
      <c r="CH102" s="5329"/>
      <c r="CI102" s="5329"/>
      <c r="CJ102" s="5329"/>
      <c r="CK102" s="5329"/>
      <c r="CL102" s="5329"/>
      <c r="CM102" s="5329"/>
      <c r="CN102" s="5329"/>
      <c r="CO102" s="5330"/>
      <c r="CP102" s="1216"/>
      <c r="CQ102" s="1210"/>
    </row>
    <row r="103" spans="1:95" ht="12" customHeight="1" x14ac:dyDescent="0.2">
      <c r="A103" s="1210"/>
      <c r="B103" s="2258"/>
      <c r="C103" s="5331" t="e">
        <f>IF(C97=0,"",VLOOKUP(C97,'Tablas Magia'!$D$6:$Z$680,23,FALSE))</f>
        <v>#N/A</v>
      </c>
      <c r="D103" s="5332"/>
      <c r="E103" s="5332"/>
      <c r="F103" s="5332"/>
      <c r="G103" s="5332"/>
      <c r="H103" s="5332"/>
      <c r="I103" s="5332"/>
      <c r="J103" s="5332"/>
      <c r="K103" s="5332"/>
      <c r="L103" s="5332"/>
      <c r="M103" s="5332"/>
      <c r="N103" s="5332"/>
      <c r="O103" s="5332"/>
      <c r="P103" s="5332"/>
      <c r="Q103" s="5333"/>
      <c r="R103" s="1216"/>
      <c r="S103" s="1210"/>
      <c r="T103" s="1210"/>
      <c r="U103" s="2258"/>
      <c r="V103" s="5331" t="e">
        <f>IF(V97=0,"",VLOOKUP(V97,'Tablas Magia'!$D$6:$Z$680,23,FALSE))</f>
        <v>#N/A</v>
      </c>
      <c r="W103" s="5332"/>
      <c r="X103" s="5332"/>
      <c r="Y103" s="5332"/>
      <c r="Z103" s="5332"/>
      <c r="AA103" s="5332"/>
      <c r="AB103" s="5332"/>
      <c r="AC103" s="5332"/>
      <c r="AD103" s="5332"/>
      <c r="AE103" s="5332"/>
      <c r="AF103" s="5332"/>
      <c r="AG103" s="5332"/>
      <c r="AH103" s="5332"/>
      <c r="AI103" s="5332"/>
      <c r="AJ103" s="5333"/>
      <c r="AK103" s="1216"/>
      <c r="AL103" s="1210"/>
      <c r="AM103" s="1210"/>
      <c r="AN103" s="2272"/>
      <c r="AO103" s="5331" t="e">
        <f>IF(AO97=0,"",VLOOKUP(AO97,'Tablas Magia'!$D$6:$Z$680,23,FALSE))</f>
        <v>#N/A</v>
      </c>
      <c r="AP103" s="5332"/>
      <c r="AQ103" s="5332"/>
      <c r="AR103" s="5332"/>
      <c r="AS103" s="5332"/>
      <c r="AT103" s="5332"/>
      <c r="AU103" s="5332"/>
      <c r="AV103" s="5332"/>
      <c r="AW103" s="5332"/>
      <c r="AX103" s="5332"/>
      <c r="AY103" s="5332"/>
      <c r="AZ103" s="5332"/>
      <c r="BA103" s="5332"/>
      <c r="BB103" s="5332"/>
      <c r="BC103" s="5333"/>
      <c r="BD103" s="1216"/>
      <c r="BE103" s="1210"/>
      <c r="BF103" s="1210"/>
      <c r="BG103" s="2272"/>
      <c r="BH103" s="5331" t="e">
        <f>IF(BH97=0,"",VLOOKUP(BH97,'Tablas Magia'!$D$6:$Z$680,23,FALSE))</f>
        <v>#N/A</v>
      </c>
      <c r="BI103" s="5332"/>
      <c r="BJ103" s="5332"/>
      <c r="BK103" s="5332"/>
      <c r="BL103" s="5332"/>
      <c r="BM103" s="5332"/>
      <c r="BN103" s="5332"/>
      <c r="BO103" s="5332"/>
      <c r="BP103" s="5332"/>
      <c r="BQ103" s="5332"/>
      <c r="BR103" s="5332"/>
      <c r="BS103" s="5332"/>
      <c r="BT103" s="5332"/>
      <c r="BU103" s="5332"/>
      <c r="BV103" s="5333"/>
      <c r="BW103" s="1216"/>
      <c r="BX103" s="1210"/>
      <c r="BY103" s="1210"/>
      <c r="BZ103" s="2272"/>
      <c r="CA103" s="5331" t="e">
        <f>IF(CA97=0,"",VLOOKUP(CA97,'Tablas Magia'!$D$6:$Z$680,23,FALSE))</f>
        <v>#N/A</v>
      </c>
      <c r="CB103" s="5332"/>
      <c r="CC103" s="5332"/>
      <c r="CD103" s="5332"/>
      <c r="CE103" s="5332"/>
      <c r="CF103" s="5332"/>
      <c r="CG103" s="5332"/>
      <c r="CH103" s="5332"/>
      <c r="CI103" s="5332"/>
      <c r="CJ103" s="5332"/>
      <c r="CK103" s="5332"/>
      <c r="CL103" s="5332"/>
      <c r="CM103" s="5332"/>
      <c r="CN103" s="5332"/>
      <c r="CO103" s="5333"/>
      <c r="CP103" s="1216"/>
      <c r="CQ103" s="1210"/>
    </row>
    <row r="104" spans="1:95" ht="12" customHeight="1" x14ac:dyDescent="0.2">
      <c r="A104" s="1210"/>
      <c r="B104" s="2258"/>
      <c r="C104" s="5334"/>
      <c r="D104" s="5335"/>
      <c r="E104" s="5335"/>
      <c r="F104" s="5335"/>
      <c r="G104" s="5335"/>
      <c r="H104" s="5335"/>
      <c r="I104" s="5335"/>
      <c r="J104" s="5335"/>
      <c r="K104" s="5335"/>
      <c r="L104" s="5335"/>
      <c r="M104" s="5335"/>
      <c r="N104" s="5335"/>
      <c r="O104" s="5335"/>
      <c r="P104" s="5335"/>
      <c r="Q104" s="5336"/>
      <c r="R104" s="1216"/>
      <c r="S104" s="1210"/>
      <c r="T104" s="1210"/>
      <c r="U104" s="2258"/>
      <c r="V104" s="5334"/>
      <c r="W104" s="5335"/>
      <c r="X104" s="5335"/>
      <c r="Y104" s="5335"/>
      <c r="Z104" s="5335"/>
      <c r="AA104" s="5335"/>
      <c r="AB104" s="5335"/>
      <c r="AC104" s="5335"/>
      <c r="AD104" s="5335"/>
      <c r="AE104" s="5335"/>
      <c r="AF104" s="5335"/>
      <c r="AG104" s="5335"/>
      <c r="AH104" s="5335"/>
      <c r="AI104" s="5335"/>
      <c r="AJ104" s="5336"/>
      <c r="AK104" s="1216"/>
      <c r="AL104" s="1210"/>
      <c r="AM104" s="1210"/>
      <c r="AN104" s="2272"/>
      <c r="AO104" s="5334"/>
      <c r="AP104" s="5335"/>
      <c r="AQ104" s="5335"/>
      <c r="AR104" s="5335"/>
      <c r="AS104" s="5335"/>
      <c r="AT104" s="5335"/>
      <c r="AU104" s="5335"/>
      <c r="AV104" s="5335"/>
      <c r="AW104" s="5335"/>
      <c r="AX104" s="5335"/>
      <c r="AY104" s="5335"/>
      <c r="AZ104" s="5335"/>
      <c r="BA104" s="5335"/>
      <c r="BB104" s="5335"/>
      <c r="BC104" s="5336"/>
      <c r="BD104" s="1216"/>
      <c r="BE104" s="1210"/>
      <c r="BF104" s="1210"/>
      <c r="BG104" s="2272"/>
      <c r="BH104" s="5334"/>
      <c r="BI104" s="5335"/>
      <c r="BJ104" s="5335"/>
      <c r="BK104" s="5335"/>
      <c r="BL104" s="5335"/>
      <c r="BM104" s="5335"/>
      <c r="BN104" s="5335"/>
      <c r="BO104" s="5335"/>
      <c r="BP104" s="5335"/>
      <c r="BQ104" s="5335"/>
      <c r="BR104" s="5335"/>
      <c r="BS104" s="5335"/>
      <c r="BT104" s="5335"/>
      <c r="BU104" s="5335"/>
      <c r="BV104" s="5336"/>
      <c r="BW104" s="1216"/>
      <c r="BX104" s="1210"/>
      <c r="BY104" s="1210"/>
      <c r="BZ104" s="2272"/>
      <c r="CA104" s="5334"/>
      <c r="CB104" s="5335"/>
      <c r="CC104" s="5335"/>
      <c r="CD104" s="5335"/>
      <c r="CE104" s="5335"/>
      <c r="CF104" s="5335"/>
      <c r="CG104" s="5335"/>
      <c r="CH104" s="5335"/>
      <c r="CI104" s="5335"/>
      <c r="CJ104" s="5335"/>
      <c r="CK104" s="5335"/>
      <c r="CL104" s="5335"/>
      <c r="CM104" s="5335"/>
      <c r="CN104" s="5335"/>
      <c r="CO104" s="5336"/>
      <c r="CP104" s="1216"/>
      <c r="CQ104" s="1210"/>
    </row>
    <row r="105" spans="1:95" ht="12" customHeight="1" x14ac:dyDescent="0.2">
      <c r="A105" s="1210"/>
      <c r="B105" s="2258"/>
      <c r="C105" s="5334"/>
      <c r="D105" s="5335"/>
      <c r="E105" s="5335"/>
      <c r="F105" s="5335"/>
      <c r="G105" s="5335"/>
      <c r="H105" s="5335"/>
      <c r="I105" s="5335"/>
      <c r="J105" s="5335"/>
      <c r="K105" s="5335"/>
      <c r="L105" s="5335"/>
      <c r="M105" s="5335"/>
      <c r="N105" s="5335"/>
      <c r="O105" s="5335"/>
      <c r="P105" s="5335"/>
      <c r="Q105" s="5336"/>
      <c r="R105" s="1216"/>
      <c r="S105" s="1210"/>
      <c r="T105" s="1210"/>
      <c r="U105" s="2258"/>
      <c r="V105" s="5334"/>
      <c r="W105" s="5335"/>
      <c r="X105" s="5335"/>
      <c r="Y105" s="5335"/>
      <c r="Z105" s="5335"/>
      <c r="AA105" s="5335"/>
      <c r="AB105" s="5335"/>
      <c r="AC105" s="5335"/>
      <c r="AD105" s="5335"/>
      <c r="AE105" s="5335"/>
      <c r="AF105" s="5335"/>
      <c r="AG105" s="5335"/>
      <c r="AH105" s="5335"/>
      <c r="AI105" s="5335"/>
      <c r="AJ105" s="5336"/>
      <c r="AK105" s="1216"/>
      <c r="AL105" s="1210"/>
      <c r="AM105" s="1210"/>
      <c r="AN105" s="2272"/>
      <c r="AO105" s="5334"/>
      <c r="AP105" s="5335"/>
      <c r="AQ105" s="5335"/>
      <c r="AR105" s="5335"/>
      <c r="AS105" s="5335"/>
      <c r="AT105" s="5335"/>
      <c r="AU105" s="5335"/>
      <c r="AV105" s="5335"/>
      <c r="AW105" s="5335"/>
      <c r="AX105" s="5335"/>
      <c r="AY105" s="5335"/>
      <c r="AZ105" s="5335"/>
      <c r="BA105" s="5335"/>
      <c r="BB105" s="5335"/>
      <c r="BC105" s="5336"/>
      <c r="BD105" s="1216"/>
      <c r="BE105" s="1210"/>
      <c r="BF105" s="1210"/>
      <c r="BG105" s="2272"/>
      <c r="BH105" s="5334"/>
      <c r="BI105" s="5335"/>
      <c r="BJ105" s="5335"/>
      <c r="BK105" s="5335"/>
      <c r="BL105" s="5335"/>
      <c r="BM105" s="5335"/>
      <c r="BN105" s="5335"/>
      <c r="BO105" s="5335"/>
      <c r="BP105" s="5335"/>
      <c r="BQ105" s="5335"/>
      <c r="BR105" s="5335"/>
      <c r="BS105" s="5335"/>
      <c r="BT105" s="5335"/>
      <c r="BU105" s="5335"/>
      <c r="BV105" s="5336"/>
      <c r="BW105" s="1216"/>
      <c r="BX105" s="1210"/>
      <c r="BY105" s="1210"/>
      <c r="BZ105" s="2272"/>
      <c r="CA105" s="5334"/>
      <c r="CB105" s="5335"/>
      <c r="CC105" s="5335"/>
      <c r="CD105" s="5335"/>
      <c r="CE105" s="5335"/>
      <c r="CF105" s="5335"/>
      <c r="CG105" s="5335"/>
      <c r="CH105" s="5335"/>
      <c r="CI105" s="5335"/>
      <c r="CJ105" s="5335"/>
      <c r="CK105" s="5335"/>
      <c r="CL105" s="5335"/>
      <c r="CM105" s="5335"/>
      <c r="CN105" s="5335"/>
      <c r="CO105" s="5336"/>
      <c r="CP105" s="1216"/>
      <c r="CQ105" s="1210"/>
    </row>
    <row r="106" spans="1:95" ht="13.5" thickBot="1" x14ac:dyDescent="0.25">
      <c r="A106" s="1210"/>
      <c r="B106" s="2258"/>
      <c r="C106" s="5337"/>
      <c r="D106" s="5338"/>
      <c r="E106" s="5338"/>
      <c r="F106" s="5338"/>
      <c r="G106" s="5338"/>
      <c r="H106" s="5338"/>
      <c r="I106" s="5338"/>
      <c r="J106" s="5338"/>
      <c r="K106" s="5338"/>
      <c r="L106" s="5338"/>
      <c r="M106" s="5338"/>
      <c r="N106" s="5338"/>
      <c r="O106" s="5338"/>
      <c r="P106" s="5338"/>
      <c r="Q106" s="5339"/>
      <c r="R106" s="1216"/>
      <c r="S106" s="1210"/>
      <c r="T106" s="1210"/>
      <c r="U106" s="2258"/>
      <c r="V106" s="5337"/>
      <c r="W106" s="5338"/>
      <c r="X106" s="5338"/>
      <c r="Y106" s="5338"/>
      <c r="Z106" s="5338"/>
      <c r="AA106" s="5338"/>
      <c r="AB106" s="5338"/>
      <c r="AC106" s="5338"/>
      <c r="AD106" s="5338"/>
      <c r="AE106" s="5338"/>
      <c r="AF106" s="5338"/>
      <c r="AG106" s="5338"/>
      <c r="AH106" s="5338"/>
      <c r="AI106" s="5338"/>
      <c r="AJ106" s="5339"/>
      <c r="AK106" s="1216"/>
      <c r="AL106" s="1210"/>
      <c r="AM106" s="1210"/>
      <c r="AN106" s="2272"/>
      <c r="AO106" s="5337"/>
      <c r="AP106" s="5338"/>
      <c r="AQ106" s="5338"/>
      <c r="AR106" s="5338"/>
      <c r="AS106" s="5338"/>
      <c r="AT106" s="5338"/>
      <c r="AU106" s="5338"/>
      <c r="AV106" s="5338"/>
      <c r="AW106" s="5338"/>
      <c r="AX106" s="5338"/>
      <c r="AY106" s="5338"/>
      <c r="AZ106" s="5338"/>
      <c r="BA106" s="5338"/>
      <c r="BB106" s="5338"/>
      <c r="BC106" s="5339"/>
      <c r="BD106" s="1216"/>
      <c r="BE106" s="1210"/>
      <c r="BF106" s="1210"/>
      <c r="BG106" s="2272"/>
      <c r="BH106" s="5337"/>
      <c r="BI106" s="5338"/>
      <c r="BJ106" s="5338"/>
      <c r="BK106" s="5338"/>
      <c r="BL106" s="5338"/>
      <c r="BM106" s="5338"/>
      <c r="BN106" s="5338"/>
      <c r="BO106" s="5338"/>
      <c r="BP106" s="5338"/>
      <c r="BQ106" s="5338"/>
      <c r="BR106" s="5338"/>
      <c r="BS106" s="5338"/>
      <c r="BT106" s="5338"/>
      <c r="BU106" s="5338"/>
      <c r="BV106" s="5339"/>
      <c r="BW106" s="1216"/>
      <c r="BX106" s="1210"/>
      <c r="BY106" s="1210"/>
      <c r="BZ106" s="2272"/>
      <c r="CA106" s="5337"/>
      <c r="CB106" s="5338"/>
      <c r="CC106" s="5338"/>
      <c r="CD106" s="5338"/>
      <c r="CE106" s="5338"/>
      <c r="CF106" s="5338"/>
      <c r="CG106" s="5338"/>
      <c r="CH106" s="5338"/>
      <c r="CI106" s="5338"/>
      <c r="CJ106" s="5338"/>
      <c r="CK106" s="5338"/>
      <c r="CL106" s="5338"/>
      <c r="CM106" s="5338"/>
      <c r="CN106" s="5338"/>
      <c r="CO106" s="5339"/>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56"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57"/>
      <c r="E108" s="5357"/>
      <c r="F108" s="5357"/>
      <c r="G108" s="5357"/>
      <c r="H108" s="1230" t="s">
        <v>1630</v>
      </c>
      <c r="I108" s="1231">
        <f>IF(C108=0,"",VLOOKUP(C108,'Tablas Magia'!$D$6:$Z$680,3,FALSE))</f>
        <v>20</v>
      </c>
      <c r="J108" s="5344" t="s">
        <v>8162</v>
      </c>
      <c r="K108" s="5344"/>
      <c r="L108" s="5344"/>
      <c r="M108" s="5345" t="str">
        <f>IF(C108=0,"",VLOOKUP(C108,'Tablas Magia'!$D$6:$Z$680,2,FALSE))</f>
        <v>Fuego</v>
      </c>
      <c r="N108" s="5345"/>
      <c r="O108" s="5345"/>
      <c r="P108" s="5345"/>
      <c r="Q108" s="5346"/>
      <c r="R108" s="1216"/>
      <c r="S108" s="1210"/>
      <c r="T108" s="1210"/>
      <c r="U108" s="2258">
        <f>U97+2</f>
        <v>40</v>
      </c>
      <c r="V108" s="5356"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57"/>
      <c r="X108" s="5357"/>
      <c r="Y108" s="5357"/>
      <c r="Z108" s="5357"/>
      <c r="AA108" s="1230" t="s">
        <v>1630</v>
      </c>
      <c r="AB108" s="1231">
        <f>IF(V108=0,"",VLOOKUP(V108,'Tablas Magia'!$D$6:$Z$680,3,FALSE))</f>
        <v>40</v>
      </c>
      <c r="AC108" s="5344" t="s">
        <v>8162</v>
      </c>
      <c r="AD108" s="5344"/>
      <c r="AE108" s="5344"/>
      <c r="AF108" s="5345" t="str">
        <f>IF(V108=0,"",VLOOKUP(V108,'Tablas Magia'!$D$6:$Z$680,2,FALSE))</f>
        <v>Fuego</v>
      </c>
      <c r="AG108" s="5345"/>
      <c r="AH108" s="5345"/>
      <c r="AI108" s="5345"/>
      <c r="AJ108" s="5346"/>
      <c r="AK108" s="1216"/>
      <c r="AL108" s="1210"/>
      <c r="AM108" s="1210"/>
      <c r="AN108" s="2272">
        <f>AN97+2</f>
        <v>60</v>
      </c>
      <c r="AO108" s="5356"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57"/>
      <c r="AQ108" s="5357"/>
      <c r="AR108" s="5357"/>
      <c r="AS108" s="5357"/>
      <c r="AT108" s="1230" t="s">
        <v>1630</v>
      </c>
      <c r="AU108" s="1231">
        <f>IF(AO108=0,"",VLOOKUP(AO108,'Tablas Magia'!$D$6:$Z$680,3,FALSE))</f>
        <v>60</v>
      </c>
      <c r="AV108" s="5344" t="s">
        <v>8162</v>
      </c>
      <c r="AW108" s="5344"/>
      <c r="AX108" s="5344"/>
      <c r="AY108" s="5345" t="str">
        <f>IF(AO108=0,"",VLOOKUP(AO108,'Tablas Magia'!$D$6:$Z$680,2,FALSE))</f>
        <v>Fuego</v>
      </c>
      <c r="AZ108" s="5345"/>
      <c r="BA108" s="5345"/>
      <c r="BB108" s="5345"/>
      <c r="BC108" s="5346"/>
      <c r="BD108" s="1216"/>
      <c r="BE108" s="1210"/>
      <c r="BF108" s="1210"/>
      <c r="BG108" s="2272">
        <f>BG97+2</f>
        <v>80</v>
      </c>
      <c r="BH108" s="5356"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57"/>
      <c r="BJ108" s="5357"/>
      <c r="BK108" s="5357"/>
      <c r="BL108" s="5357"/>
      <c r="BM108" s="1230" t="s">
        <v>1630</v>
      </c>
      <c r="BN108" s="1231">
        <f>IF(BH108=0,"",VLOOKUP(BH108,'Tablas Magia'!$D$6:$Z$680,3,FALSE))</f>
        <v>80</v>
      </c>
      <c r="BO108" s="5344" t="s">
        <v>8162</v>
      </c>
      <c r="BP108" s="5344"/>
      <c r="BQ108" s="5344"/>
      <c r="BR108" s="5345" t="str">
        <f>IF(BH108=0,"",VLOOKUP(BH108,'Tablas Magia'!$D$6:$Z$680,2,FALSE))</f>
        <v>Fuego</v>
      </c>
      <c r="BS108" s="5345"/>
      <c r="BT108" s="5345"/>
      <c r="BU108" s="5345"/>
      <c r="BV108" s="5346"/>
      <c r="BW108" s="1216"/>
      <c r="BX108" s="1210"/>
      <c r="BY108" s="1210"/>
      <c r="BZ108" s="2272">
        <f>BZ97+2</f>
        <v>100</v>
      </c>
      <c r="CA108" s="5356"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57"/>
      <c r="CC108" s="5357"/>
      <c r="CD108" s="5357"/>
      <c r="CE108" s="5357"/>
      <c r="CF108" s="1230" t="s">
        <v>1630</v>
      </c>
      <c r="CG108" s="1231">
        <f>IF(CA108=0,"",VLOOKUP(CA108,'Tablas Magia'!$D$6:$Z$680,3,FALSE))</f>
        <v>100</v>
      </c>
      <c r="CH108" s="5344" t="s">
        <v>8162</v>
      </c>
      <c r="CI108" s="5344"/>
      <c r="CJ108" s="5344"/>
      <c r="CK108" s="5345" t="str">
        <f>IF(CA108=0,"",VLOOKUP(CA108,'Tablas Magia'!$D$6:$Z$680,2,FALSE))</f>
        <v>Fuego</v>
      </c>
      <c r="CL108" s="5345"/>
      <c r="CM108" s="5345"/>
      <c r="CN108" s="5345"/>
      <c r="CO108" s="5346"/>
      <c r="CP108" s="1216"/>
      <c r="CQ108" s="1210"/>
    </row>
    <row r="109" spans="1:95" ht="12.75" customHeight="1" x14ac:dyDescent="0.2">
      <c r="A109" s="1210"/>
      <c r="B109" s="2258"/>
      <c r="C109" s="5340" t="s">
        <v>8163</v>
      </c>
      <c r="D109" s="5341"/>
      <c r="E109" s="1232" t="s">
        <v>8164</v>
      </c>
      <c r="F109" s="1232" t="s">
        <v>1824</v>
      </c>
      <c r="G109" s="1232" t="s">
        <v>3467</v>
      </c>
      <c r="H109" s="1233" t="s">
        <v>2175</v>
      </c>
      <c r="I109" s="5314" t="str">
        <f>IF(C108=0,"",VLOOKUP(C108,'Tablas Magia'!$D$6:$Z$680,5,FALSE))</f>
        <v>Efecto</v>
      </c>
      <c r="J109" s="5314"/>
      <c r="K109" s="5313" t="s">
        <v>8165</v>
      </c>
      <c r="L109" s="5313"/>
      <c r="M109" s="5314" t="str">
        <f>IF(C108=0,"",VLOOKUP(C108,'Tablas Magia'!$D$6:$Z$680,6,FALSE))</f>
        <v>Activa</v>
      </c>
      <c r="N109" s="5314"/>
      <c r="O109" s="5315" t="s">
        <v>8166</v>
      </c>
      <c r="P109" s="5315"/>
      <c r="Q109" s="1234" t="str">
        <f>IF(C108=0,"",VLOOKUP(C108,'Tablas Magia'!$D$6:$Z$680,4,FALSE))</f>
        <v>Si</v>
      </c>
      <c r="R109" s="1216"/>
      <c r="S109" s="1210"/>
      <c r="T109" s="1210"/>
      <c r="U109" s="2258"/>
      <c r="V109" s="5340" t="s">
        <v>8163</v>
      </c>
      <c r="W109" s="5341"/>
      <c r="X109" s="1232" t="s">
        <v>8164</v>
      </c>
      <c r="Y109" s="1232" t="s">
        <v>1824</v>
      </c>
      <c r="Z109" s="1232" t="s">
        <v>3467</v>
      </c>
      <c r="AA109" s="1233" t="s">
        <v>2175</v>
      </c>
      <c r="AB109" s="5314" t="str">
        <f>IF(V108=0,"",VLOOKUP(V108,'Tablas Magia'!$D$6:$Z$680,5,FALSE))</f>
        <v>Efecto</v>
      </c>
      <c r="AC109" s="5314"/>
      <c r="AD109" s="5313" t="s">
        <v>8165</v>
      </c>
      <c r="AE109" s="5313"/>
      <c r="AF109" s="5314" t="str">
        <f>IF(V108=0,"",VLOOKUP(V108,'Tablas Magia'!$D$6:$Z$680,6,FALSE))</f>
        <v>Activa</v>
      </c>
      <c r="AG109" s="5314"/>
      <c r="AH109" s="5315" t="s">
        <v>8166</v>
      </c>
      <c r="AI109" s="5315"/>
      <c r="AJ109" s="1234" t="str">
        <f>IF(V108=0,"",VLOOKUP(V108,'Tablas Magia'!$D$6:$Z$680,4,FALSE))</f>
        <v>Si</v>
      </c>
      <c r="AK109" s="1216"/>
      <c r="AL109" s="1210"/>
      <c r="AM109" s="1210"/>
      <c r="AN109" s="2272"/>
      <c r="AO109" s="5340" t="s">
        <v>8163</v>
      </c>
      <c r="AP109" s="5341"/>
      <c r="AQ109" s="1232" t="s">
        <v>8164</v>
      </c>
      <c r="AR109" s="1232" t="s">
        <v>1824</v>
      </c>
      <c r="AS109" s="1232" t="s">
        <v>3467</v>
      </c>
      <c r="AT109" s="1233" t="s">
        <v>2175</v>
      </c>
      <c r="AU109" s="5314" t="str">
        <f>IF(AO108=0,"",VLOOKUP(AO108,'Tablas Magia'!$D$6:$Z$680,5,FALSE))</f>
        <v>Automático</v>
      </c>
      <c r="AV109" s="5314"/>
      <c r="AW109" s="5313" t="s">
        <v>8165</v>
      </c>
      <c r="AX109" s="5313"/>
      <c r="AY109" s="5314" t="str">
        <f>IF(AO108=0,"",VLOOKUP(AO108,'Tablas Magia'!$D$6:$Z$680,6,FALSE))</f>
        <v>Activa</v>
      </c>
      <c r="AZ109" s="5314"/>
      <c r="BA109" s="5315" t="s">
        <v>8166</v>
      </c>
      <c r="BB109" s="5315"/>
      <c r="BC109" s="1234" t="str">
        <f>IF(AO108=0,"",VLOOKUP(AO108,'Tablas Magia'!$D$6:$Z$680,4,FALSE))</f>
        <v>No</v>
      </c>
      <c r="BD109" s="1216"/>
      <c r="BE109" s="1210"/>
      <c r="BF109" s="1210"/>
      <c r="BG109" s="2272"/>
      <c r="BH109" s="5340" t="s">
        <v>8163</v>
      </c>
      <c r="BI109" s="5341"/>
      <c r="BJ109" s="1232" t="s">
        <v>8164</v>
      </c>
      <c r="BK109" s="1232" t="s">
        <v>1824</v>
      </c>
      <c r="BL109" s="1232" t="s">
        <v>3467</v>
      </c>
      <c r="BM109" s="1233" t="s">
        <v>2175</v>
      </c>
      <c r="BN109" s="5314" t="str">
        <f>IF(BH108=0,"",VLOOKUP(BH108,'Tablas Magia'!$D$6:$Z$680,5,FALSE))</f>
        <v>Efecto</v>
      </c>
      <c r="BO109" s="5314"/>
      <c r="BP109" s="5313" t="s">
        <v>8165</v>
      </c>
      <c r="BQ109" s="5313"/>
      <c r="BR109" s="5314" t="str">
        <f>IF(BH108=0,"",VLOOKUP(BH108,'Tablas Magia'!$D$6:$Z$680,6,FALSE))</f>
        <v>Activa</v>
      </c>
      <c r="BS109" s="5314"/>
      <c r="BT109" s="5315" t="s">
        <v>8166</v>
      </c>
      <c r="BU109" s="5315"/>
      <c r="BV109" s="1234" t="str">
        <f>IF(BH108=0,"",VLOOKUP(BH108,'Tablas Magia'!$D$6:$Z$680,4,FALSE))</f>
        <v>Si</v>
      </c>
      <c r="BW109" s="1216"/>
      <c r="BX109" s="1210"/>
      <c r="BY109" s="1210"/>
      <c r="BZ109" s="2272"/>
      <c r="CA109" s="5340" t="s">
        <v>8163</v>
      </c>
      <c r="CB109" s="5341"/>
      <c r="CC109" s="1232" t="s">
        <v>8164</v>
      </c>
      <c r="CD109" s="1232" t="s">
        <v>1824</v>
      </c>
      <c r="CE109" s="1232" t="s">
        <v>3467</v>
      </c>
      <c r="CF109" s="1233" t="s">
        <v>2175</v>
      </c>
      <c r="CG109" s="5314" t="str">
        <f>IF(CA108=0,"",VLOOKUP(CA108,'Tablas Magia'!$D$6:$Z$680,5,FALSE))</f>
        <v>Automático</v>
      </c>
      <c r="CH109" s="5314"/>
      <c r="CI109" s="5313" t="s">
        <v>8165</v>
      </c>
      <c r="CJ109" s="5313"/>
      <c r="CK109" s="5314" t="str">
        <f>IF(CA108=0,"",VLOOKUP(CA108,'Tablas Magia'!$D$6:$Z$680,6,FALSE))</f>
        <v>Activa</v>
      </c>
      <c r="CL109" s="5314"/>
      <c r="CM109" s="5315" t="s">
        <v>8166</v>
      </c>
      <c r="CN109" s="5315"/>
      <c r="CO109" s="1234" t="str">
        <f>IF(CA108=0,"",VLOOKUP(CA108,'Tablas Magia'!$D$6:$Z$680,4,FALSE))</f>
        <v>Si</v>
      </c>
      <c r="CP109" s="1216"/>
      <c r="CQ109" s="1210"/>
    </row>
    <row r="110" spans="1:95" ht="12.75" customHeight="1" x14ac:dyDescent="0.2">
      <c r="A110" s="1210"/>
      <c r="B110" s="2258"/>
      <c r="C110" s="5316" t="s">
        <v>1677</v>
      </c>
      <c r="D110" s="5317"/>
      <c r="E110" s="1235">
        <f>IF(C108=0,"",VLOOKUP(C108,'Tablas Magia'!$D$6:$Z$680,7,FALSE))</f>
        <v>6</v>
      </c>
      <c r="F110" s="1235">
        <f>IF(C108=0,"",VLOOKUP(C108,'Tablas Magia'!$D$6:$Z$680,11,FALSE))</f>
        <v>50</v>
      </c>
      <c r="G110" s="1236">
        <f>IF(C108=0,"",VLOOKUP(C108,'Tablas Magia'!$D$6:$Z$680,15,FALSE))</f>
        <v>5</v>
      </c>
      <c r="H110" s="5318" t="str">
        <f>IF(C108=0,"",VLOOKUP(C108,'Tablas Magia'!$D$6:$Z$680,19,FALSE))</f>
        <v>RM 100/ 5 intensidades</v>
      </c>
      <c r="I110" s="5319"/>
      <c r="J110" s="5319"/>
      <c r="K110" s="5319"/>
      <c r="L110" s="5319"/>
      <c r="M110" s="5319"/>
      <c r="N110" s="5319"/>
      <c r="O110" s="5319"/>
      <c r="P110" s="5319"/>
      <c r="Q110" s="5320"/>
      <c r="R110" s="1216"/>
      <c r="S110" s="1210"/>
      <c r="T110" s="1210"/>
      <c r="U110" s="2258"/>
      <c r="V110" s="5316" t="s">
        <v>1677</v>
      </c>
      <c r="W110" s="5317"/>
      <c r="X110" s="1235">
        <f>IF(V108=0,"",VLOOKUP(V108,'Tablas Magia'!$D$6:$Z$680,7,FALSE))</f>
        <v>7</v>
      </c>
      <c r="Y110" s="1235">
        <f>IF(V108=0,"",VLOOKUP(V108,'Tablas Magia'!$D$6:$Z$680,11,FALSE))</f>
        <v>80</v>
      </c>
      <c r="Z110" s="1236">
        <f>IF(V108=0,"",VLOOKUP(V108,'Tablas Magia'!$D$6:$Z$680,15,FALSE))</f>
        <v>20</v>
      </c>
      <c r="AA110" s="5318" t="str">
        <f>IF(V108=0,"",VLOOKUP(V108,'Tablas Magia'!$D$6:$Z$680,19,FALSE))</f>
        <v>10 metros de radio/ Daño 80</v>
      </c>
      <c r="AB110" s="5319"/>
      <c r="AC110" s="5319"/>
      <c r="AD110" s="5319"/>
      <c r="AE110" s="5319"/>
      <c r="AF110" s="5319"/>
      <c r="AG110" s="5319"/>
      <c r="AH110" s="5319"/>
      <c r="AI110" s="5319"/>
      <c r="AJ110" s="5320"/>
      <c r="AK110" s="1216"/>
      <c r="AL110" s="1210"/>
      <c r="AM110" s="1210"/>
      <c r="AN110" s="2272"/>
      <c r="AO110" s="5316" t="s">
        <v>1677</v>
      </c>
      <c r="AP110" s="5317"/>
      <c r="AQ110" s="1235">
        <f>IF(AO108=0,"",VLOOKUP(AO108,'Tablas Magia'!$D$6:$Z$680,7,FALSE))</f>
        <v>10</v>
      </c>
      <c r="AR110" s="1235">
        <f>IF(AO108=0,"",VLOOKUP(AO108,'Tablas Magia'!$D$6:$Z$680,11,FALSE))</f>
        <v>100</v>
      </c>
      <c r="AS110" s="1236">
        <f>IF(AO108=0,"",VLOOKUP(AO108,'Tablas Magia'!$D$6:$Z$680,15,FALSE))</f>
        <v>10</v>
      </c>
      <c r="AT110" s="5318" t="str">
        <f>IF(AO108=0,"",VLOOKUP(AO108,'Tablas Magia'!$D$6:$Z$680,19,FALSE))</f>
        <v>RM 140/ +100 a la Tabla 76/ 50 metros de radio</v>
      </c>
      <c r="AU110" s="5319"/>
      <c r="AV110" s="5319"/>
      <c r="AW110" s="5319"/>
      <c r="AX110" s="5319"/>
      <c r="AY110" s="5319"/>
      <c r="AZ110" s="5319"/>
      <c r="BA110" s="5319"/>
      <c r="BB110" s="5319"/>
      <c r="BC110" s="5320"/>
      <c r="BD110" s="1216"/>
      <c r="BE110" s="1210"/>
      <c r="BF110" s="1210"/>
      <c r="BG110" s="2272"/>
      <c r="BH110" s="5316" t="s">
        <v>1677</v>
      </c>
      <c r="BI110" s="5317"/>
      <c r="BJ110" s="1235">
        <f>IF(BH108=0,"",VLOOKUP(BH108,'Tablas Magia'!$D$6:$Z$680,7,FALSE))</f>
        <v>6</v>
      </c>
      <c r="BK110" s="1235">
        <f>IF(BH108=0,"",VLOOKUP(BH108,'Tablas Magia'!$D$6:$Z$680,11,FALSE))</f>
        <v>120</v>
      </c>
      <c r="BL110" s="1236">
        <f>IF(BH108=0,"",VLOOKUP(BH108,'Tablas Magia'!$D$6:$Z$680,15,FALSE))</f>
        <v>10</v>
      </c>
      <c r="BM110" s="5318" t="str">
        <f>IF(BH108=0,"",VLOOKUP(BH108,'Tablas Magia'!$D$6:$Z$680,19,FALSE))</f>
        <v>20 PV por asalto</v>
      </c>
      <c r="BN110" s="5319"/>
      <c r="BO110" s="5319"/>
      <c r="BP110" s="5319"/>
      <c r="BQ110" s="5319"/>
      <c r="BR110" s="5319"/>
      <c r="BS110" s="5319"/>
      <c r="BT110" s="5319"/>
      <c r="BU110" s="5319"/>
      <c r="BV110" s="5320"/>
      <c r="BW110" s="1216"/>
      <c r="BX110" s="1210"/>
      <c r="BY110" s="1210"/>
      <c r="BZ110" s="2272"/>
      <c r="CA110" s="5316" t="s">
        <v>1677</v>
      </c>
      <c r="CB110" s="5317"/>
      <c r="CC110" s="1235">
        <f>IF(CA108=0,"",VLOOKUP(CA108,'Tablas Magia'!$D$6:$Z$680,7,FALSE))</f>
        <v>15</v>
      </c>
      <c r="CD110" s="1235">
        <f>IF(CA108=0,"",VLOOKUP(CA108,'Tablas Magia'!$D$6:$Z$680,11,FALSE))</f>
        <v>450</v>
      </c>
      <c r="CE110" s="1236">
        <f>IF(CA108=0,"",VLOOKUP(CA108,'Tablas Magia'!$D$6:$Z$680,15,FALSE))</f>
        <v>90</v>
      </c>
      <c r="CF110" s="5318" t="str">
        <f>IF(CA108=0,"",VLOOKUP(CA108,'Tablas Magia'!$D$6:$Z$680,19,FALSE))</f>
        <v>10 km de radio / RM 240</v>
      </c>
      <c r="CG110" s="5319"/>
      <c r="CH110" s="5319"/>
      <c r="CI110" s="5319"/>
      <c r="CJ110" s="5319"/>
      <c r="CK110" s="5319"/>
      <c r="CL110" s="5319"/>
      <c r="CM110" s="5319"/>
      <c r="CN110" s="5319"/>
      <c r="CO110" s="5320"/>
      <c r="CP110" s="1216"/>
      <c r="CQ110" s="1210"/>
    </row>
    <row r="111" spans="1:95" x14ac:dyDescent="0.2">
      <c r="A111" s="1210"/>
      <c r="B111" s="2258"/>
      <c r="C111" s="5321" t="s">
        <v>4705</v>
      </c>
      <c r="D111" s="5322"/>
      <c r="E111" s="1237">
        <f>IF(C108=0,"",VLOOKUP(C108,'Tablas Magia'!$D$6:$Z$680,8,FALSE))</f>
        <v>9</v>
      </c>
      <c r="F111" s="1237">
        <f>IF(C108=0,"",VLOOKUP(C108,'Tablas Magia'!$D$6:$Z$680,12,FALSE))</f>
        <v>80</v>
      </c>
      <c r="G111" s="1238">
        <f>IF(C108=0,"",VLOOKUP(C108,'Tablas Magia'!$D$6:$Z$680,16,FALSE))</f>
        <v>10</v>
      </c>
      <c r="H111" s="5323" t="str">
        <f>IF(C108=0,"",VLOOKUP(C108,'Tablas Magia'!$D$6:$Z$680,20,FALSE))</f>
        <v>RM 120 / 8 intensidades</v>
      </c>
      <c r="I111" s="5324"/>
      <c r="J111" s="5324"/>
      <c r="K111" s="5324"/>
      <c r="L111" s="5324"/>
      <c r="M111" s="5324"/>
      <c r="N111" s="5324"/>
      <c r="O111" s="5324"/>
      <c r="P111" s="5324"/>
      <c r="Q111" s="5325"/>
      <c r="R111" s="1216"/>
      <c r="S111" s="1210"/>
      <c r="T111" s="1210"/>
      <c r="U111" s="2258"/>
      <c r="V111" s="5321" t="s">
        <v>4705</v>
      </c>
      <c r="W111" s="5322"/>
      <c r="X111" s="1237">
        <f>IF(V108=0,"",VLOOKUP(V108,'Tablas Magia'!$D$6:$Z$680,8,FALSE))</f>
        <v>10</v>
      </c>
      <c r="Y111" s="1237">
        <f>IF(V108=0,"",VLOOKUP(V108,'Tablas Magia'!$D$6:$Z$680,12,FALSE))</f>
        <v>160</v>
      </c>
      <c r="Z111" s="1238">
        <f>IF(V108=0,"",VLOOKUP(V108,'Tablas Magia'!$D$6:$Z$680,16,FALSE))</f>
        <v>40</v>
      </c>
      <c r="AA111" s="5323" t="str">
        <f>IF(V108=0,"",VLOOKUP(V108,'Tablas Magia'!$D$6:$Z$680,20,FALSE))</f>
        <v>50 metros de radio/ Daño 120</v>
      </c>
      <c r="AB111" s="5324"/>
      <c r="AC111" s="5324"/>
      <c r="AD111" s="5324"/>
      <c r="AE111" s="5324"/>
      <c r="AF111" s="5324"/>
      <c r="AG111" s="5324"/>
      <c r="AH111" s="5324"/>
      <c r="AI111" s="5324"/>
      <c r="AJ111" s="5325"/>
      <c r="AK111" s="1216"/>
      <c r="AL111" s="1210"/>
      <c r="AM111" s="1210"/>
      <c r="AN111" s="2272"/>
      <c r="AO111" s="5321" t="s">
        <v>4705</v>
      </c>
      <c r="AP111" s="5322"/>
      <c r="AQ111" s="1237">
        <f>IF(AO108=0,"",VLOOKUP(AO108,'Tablas Magia'!$D$6:$Z$680,8,FALSE))</f>
        <v>12</v>
      </c>
      <c r="AR111" s="1237">
        <f>IF(AO108=0,"",VLOOKUP(AO108,'Tablas Magia'!$D$6:$Z$680,12,FALSE))</f>
        <v>150</v>
      </c>
      <c r="AS111" s="1238">
        <f>IF(AO108=0,"",VLOOKUP(AO108,'Tablas Magia'!$D$6:$Z$680,16,FALSE))</f>
        <v>15</v>
      </c>
      <c r="AT111" s="5323" t="str">
        <f>IF(AO108=0,"",VLOOKUP(AO108,'Tablas Magia'!$D$6:$Z$680,20,FALSE))</f>
        <v>RM 160/ +120 a la Tabla 76/ 100 metros de radio</v>
      </c>
      <c r="AU111" s="5324"/>
      <c r="AV111" s="5324"/>
      <c r="AW111" s="5324"/>
      <c r="AX111" s="5324"/>
      <c r="AY111" s="5324"/>
      <c r="AZ111" s="5324"/>
      <c r="BA111" s="5324"/>
      <c r="BB111" s="5324"/>
      <c r="BC111" s="5325"/>
      <c r="BD111" s="1216"/>
      <c r="BE111" s="1210"/>
      <c r="BF111" s="1210"/>
      <c r="BG111" s="2272"/>
      <c r="BH111" s="5321" t="s">
        <v>4705</v>
      </c>
      <c r="BI111" s="5322"/>
      <c r="BJ111" s="1237">
        <f>IF(BH108=0,"",VLOOKUP(BH108,'Tablas Magia'!$D$6:$Z$680,8,FALSE))</f>
        <v>9</v>
      </c>
      <c r="BK111" s="1237">
        <f>IF(BH108=0,"",VLOOKUP(BH108,'Tablas Magia'!$D$6:$Z$680,12,FALSE))</f>
        <v>180</v>
      </c>
      <c r="BL111" s="1238">
        <f>IF(BH108=0,"",VLOOKUP(BH108,'Tablas Magia'!$D$6:$Z$680,16,FALSE))</f>
        <v>10</v>
      </c>
      <c r="BM111" s="5323" t="str">
        <f>IF(BH108=0,"",VLOOKUP(BH108,'Tablas Magia'!$D$6:$Z$680,20,FALSE))</f>
        <v>80 PV por asalto</v>
      </c>
      <c r="BN111" s="5324"/>
      <c r="BO111" s="5324"/>
      <c r="BP111" s="5324"/>
      <c r="BQ111" s="5324"/>
      <c r="BR111" s="5324"/>
      <c r="BS111" s="5324"/>
      <c r="BT111" s="5324"/>
      <c r="BU111" s="5324"/>
      <c r="BV111" s="5325"/>
      <c r="BW111" s="1216"/>
      <c r="BX111" s="1210"/>
      <c r="BY111" s="1210"/>
      <c r="BZ111" s="2272"/>
      <c r="CA111" s="5321" t="s">
        <v>4705</v>
      </c>
      <c r="CB111" s="5322"/>
      <c r="CC111" s="1237">
        <f>IF(CA108=0,"",VLOOKUP(CA108,'Tablas Magia'!$D$6:$Z$680,8,FALSE))</f>
        <v>16</v>
      </c>
      <c r="CD111" s="1237">
        <f>IF(CA108=0,"",VLOOKUP(CA108,'Tablas Magia'!$D$6:$Z$680,12,FALSE))</f>
        <v>800</v>
      </c>
      <c r="CE111" s="1238">
        <f>IF(CA108=0,"",VLOOKUP(CA108,'Tablas Magia'!$D$6:$Z$680,16,FALSE))</f>
        <v>100</v>
      </c>
      <c r="CF111" s="5323" t="str">
        <f>IF(CA108=0,"",VLOOKUP(CA108,'Tablas Magia'!$D$6:$Z$680,20,FALSE))</f>
        <v>25 km de radio / RM 150</v>
      </c>
      <c r="CG111" s="5324"/>
      <c r="CH111" s="5324"/>
      <c r="CI111" s="5324"/>
      <c r="CJ111" s="5324"/>
      <c r="CK111" s="5324"/>
      <c r="CL111" s="5324"/>
      <c r="CM111" s="5324"/>
      <c r="CN111" s="5324"/>
      <c r="CO111" s="5325"/>
      <c r="CP111" s="1216"/>
      <c r="CQ111" s="1210"/>
    </row>
    <row r="112" spans="1:95" x14ac:dyDescent="0.2">
      <c r="A112" s="1210"/>
      <c r="B112" s="2258"/>
      <c r="C112" s="5316" t="s">
        <v>4706</v>
      </c>
      <c r="D112" s="5317"/>
      <c r="E112" s="1235">
        <f>IF(C108=0,"",VLOOKUP(C108,'Tablas Magia'!$D$6:$Z$680,9,FALSE))</f>
        <v>12</v>
      </c>
      <c r="F112" s="1235">
        <f>IF(C108=0,"",VLOOKUP(C108,'Tablas Magia'!$D$6:$Z$680,13,FALSE))</f>
        <v>120</v>
      </c>
      <c r="G112" s="1236">
        <f>IF(C108=0,"",VLOOKUP(C108,'Tablas Magia'!$D$6:$Z$680,17,FALSE))</f>
        <v>15</v>
      </c>
      <c r="H112" s="5318" t="str">
        <f>IF(C108=0,"",VLOOKUP(C108,'Tablas Magia'!$D$6:$Z$680,21,FALSE))</f>
        <v>RM 140/ 12 intensidades</v>
      </c>
      <c r="I112" s="5319"/>
      <c r="J112" s="5319"/>
      <c r="K112" s="5319"/>
      <c r="L112" s="5319"/>
      <c r="M112" s="5319"/>
      <c r="N112" s="5319"/>
      <c r="O112" s="5319"/>
      <c r="P112" s="5319"/>
      <c r="Q112" s="5320"/>
      <c r="R112" s="1216"/>
      <c r="S112" s="1210"/>
      <c r="T112" s="1210"/>
      <c r="U112" s="2258"/>
      <c r="V112" s="5316" t="s">
        <v>4706</v>
      </c>
      <c r="W112" s="5317"/>
      <c r="X112" s="1235">
        <f>IF(V108=0,"",VLOOKUP(V108,'Tablas Magia'!$D$6:$Z$680,9,FALSE))</f>
        <v>12</v>
      </c>
      <c r="Y112" s="1235">
        <f>IF(V108=0,"",VLOOKUP(V108,'Tablas Magia'!$D$6:$Z$680,13,FALSE))</f>
        <v>240</v>
      </c>
      <c r="Z112" s="1236">
        <f>IF(V108=0,"",VLOOKUP(V108,'Tablas Magia'!$D$6:$Z$680,17,FALSE))</f>
        <v>50</v>
      </c>
      <c r="AA112" s="5318" t="str">
        <f>IF(V108=0,"",VLOOKUP(V108,'Tablas Magia'!$D$6:$Z$680,21,FALSE))</f>
        <v>150 metros de radio/ Daño 180</v>
      </c>
      <c r="AB112" s="5319"/>
      <c r="AC112" s="5319"/>
      <c r="AD112" s="5319"/>
      <c r="AE112" s="5319"/>
      <c r="AF112" s="5319"/>
      <c r="AG112" s="5319"/>
      <c r="AH112" s="5319"/>
      <c r="AI112" s="5319"/>
      <c r="AJ112" s="5320"/>
      <c r="AK112" s="1216"/>
      <c r="AL112" s="1210"/>
      <c r="AM112" s="1210"/>
      <c r="AN112" s="2272"/>
      <c r="AO112" s="5316" t="s">
        <v>4706</v>
      </c>
      <c r="AP112" s="5317"/>
      <c r="AQ112" s="1235">
        <f>IF(AO108=0,"",VLOOKUP(AO108,'Tablas Magia'!$D$6:$Z$680,9,FALSE))</f>
        <v>12</v>
      </c>
      <c r="AR112" s="1235">
        <f>IF(AO108=0,"",VLOOKUP(AO108,'Tablas Magia'!$D$6:$Z$680,13,FALSE))</f>
        <v>200</v>
      </c>
      <c r="AS112" s="1236">
        <f>IF(AO108=0,"",VLOOKUP(AO108,'Tablas Magia'!$D$6:$Z$680,17,FALSE))</f>
        <v>15</v>
      </c>
      <c r="AT112" s="5318" t="str">
        <f>IF(AO108=0,"",VLOOKUP(AO108,'Tablas Magia'!$D$6:$Z$680,21,FALSE))</f>
        <v>RM 180/ +140 a la Tabla 76/ 150 metros de radio</v>
      </c>
      <c r="AU112" s="5319"/>
      <c r="AV112" s="5319"/>
      <c r="AW112" s="5319"/>
      <c r="AX112" s="5319"/>
      <c r="AY112" s="5319"/>
      <c r="AZ112" s="5319"/>
      <c r="BA112" s="5319"/>
      <c r="BB112" s="5319"/>
      <c r="BC112" s="5320"/>
      <c r="BD112" s="1216"/>
      <c r="BE112" s="1210"/>
      <c r="BF112" s="1210"/>
      <c r="BG112" s="2272"/>
      <c r="BH112" s="5316" t="s">
        <v>4706</v>
      </c>
      <c r="BI112" s="5317"/>
      <c r="BJ112" s="1235">
        <f>IF(BH108=0,"",VLOOKUP(BH108,'Tablas Magia'!$D$6:$Z$680,9,FALSE))</f>
        <v>12</v>
      </c>
      <c r="BK112" s="1235">
        <f>IF(BH108=0,"",VLOOKUP(BH108,'Tablas Magia'!$D$6:$Z$680,13,FALSE))</f>
        <v>240</v>
      </c>
      <c r="BL112" s="1236">
        <f>IF(BH108=0,"",VLOOKUP(BH108,'Tablas Magia'!$D$6:$Z$680,17,FALSE))</f>
        <v>15</v>
      </c>
      <c r="BM112" s="5318" t="str">
        <f>IF(BH108=0,"",VLOOKUP(BH108,'Tablas Magia'!$D$6:$Z$680,21,FALSE))</f>
        <v>140 PV por asalto</v>
      </c>
      <c r="BN112" s="5319"/>
      <c r="BO112" s="5319"/>
      <c r="BP112" s="5319"/>
      <c r="BQ112" s="5319"/>
      <c r="BR112" s="5319"/>
      <c r="BS112" s="5319"/>
      <c r="BT112" s="5319"/>
      <c r="BU112" s="5319"/>
      <c r="BV112" s="5320"/>
      <c r="BW112" s="1216"/>
      <c r="BX112" s="1210"/>
      <c r="BY112" s="1210"/>
      <c r="BZ112" s="2272"/>
      <c r="CA112" s="5316" t="s">
        <v>4706</v>
      </c>
      <c r="CB112" s="5317"/>
      <c r="CC112" s="1235">
        <f>IF(CA108=0,"",VLOOKUP(CA108,'Tablas Magia'!$D$6:$Z$680,9,FALSE))</f>
        <v>17</v>
      </c>
      <c r="CD112" s="1235">
        <f>IF(CA108=0,"",VLOOKUP(CA108,'Tablas Magia'!$D$6:$Z$680,13,FALSE))</f>
        <v>1200</v>
      </c>
      <c r="CE112" s="1236">
        <f>IF(CA108=0,"",VLOOKUP(CA108,'Tablas Magia'!$D$6:$Z$680,17,FALSE))</f>
        <v>105</v>
      </c>
      <c r="CF112" s="5318" t="str">
        <f>IF(CA108=0,"",VLOOKUP(CA108,'Tablas Magia'!$D$6:$Z$680,21,FALSE))</f>
        <v>50 km de radio / RM 160</v>
      </c>
      <c r="CG112" s="5319"/>
      <c r="CH112" s="5319"/>
      <c r="CI112" s="5319"/>
      <c r="CJ112" s="5319"/>
      <c r="CK112" s="5319"/>
      <c r="CL112" s="5319"/>
      <c r="CM112" s="5319"/>
      <c r="CN112" s="5319"/>
      <c r="CO112" s="5320"/>
      <c r="CP112" s="1216"/>
      <c r="CQ112" s="1210"/>
    </row>
    <row r="113" spans="1:95" ht="13.5" thickBot="1" x14ac:dyDescent="0.25">
      <c r="A113" s="1210"/>
      <c r="B113" s="2258"/>
      <c r="C113" s="5326" t="s">
        <v>4707</v>
      </c>
      <c r="D113" s="5327"/>
      <c r="E113" s="1239">
        <f>IF(C108=0,"",VLOOKUP(C108,'Tablas Magia'!$D$6:$Z$680,10,FALSE))</f>
        <v>15</v>
      </c>
      <c r="F113" s="1239">
        <f>IF(C108=0,"",VLOOKUP(C108,'Tablas Magia'!$D$6:$Z$680,14,FALSE))</f>
        <v>180</v>
      </c>
      <c r="G113" s="1240">
        <f>IF(C108=0,"",VLOOKUP(C108,'Tablas Magia'!$D$6:$Z$680,18,FALSE))</f>
        <v>20</v>
      </c>
      <c r="H113" s="5328" t="str">
        <f>IF(C108=0,"",VLOOKUP(C108,'Tablas Magia'!$D$6:$Z$680,22,FALSE))</f>
        <v>RM 180/ 15 intensidades</v>
      </c>
      <c r="I113" s="5329"/>
      <c r="J113" s="5329"/>
      <c r="K113" s="5329"/>
      <c r="L113" s="5329"/>
      <c r="M113" s="5329"/>
      <c r="N113" s="5329"/>
      <c r="O113" s="5329"/>
      <c r="P113" s="5329"/>
      <c r="Q113" s="5330"/>
      <c r="R113" s="1216"/>
      <c r="S113" s="1210"/>
      <c r="T113" s="1210"/>
      <c r="U113" s="2258"/>
      <c r="V113" s="5326" t="s">
        <v>4707</v>
      </c>
      <c r="W113" s="5327"/>
      <c r="X113" s="1239">
        <f>IF(V108=0,"",VLOOKUP(V108,'Tablas Magia'!$D$6:$Z$680,10,FALSE))</f>
        <v>15</v>
      </c>
      <c r="Y113" s="1239">
        <f>IF(V108=0,"",VLOOKUP(V108,'Tablas Magia'!$D$6:$Z$680,14,FALSE))</f>
        <v>320</v>
      </c>
      <c r="Z113" s="1240">
        <f>IF(V108=0,"",VLOOKUP(V108,'Tablas Magia'!$D$6:$Z$680,18,FALSE))</f>
        <v>60</v>
      </c>
      <c r="AA113" s="5328" t="str">
        <f>IF(V108=0,"",VLOOKUP(V108,'Tablas Magia'!$D$6:$Z$680,22,FALSE))</f>
        <v>250 metros de radio/ Daño 240</v>
      </c>
      <c r="AB113" s="5329"/>
      <c r="AC113" s="5329"/>
      <c r="AD113" s="5329"/>
      <c r="AE113" s="5329"/>
      <c r="AF113" s="5329"/>
      <c r="AG113" s="5329"/>
      <c r="AH113" s="5329"/>
      <c r="AI113" s="5329"/>
      <c r="AJ113" s="5330"/>
      <c r="AK113" s="1216"/>
      <c r="AL113" s="1210"/>
      <c r="AM113" s="1210"/>
      <c r="AN113" s="2272"/>
      <c r="AO113" s="5326" t="s">
        <v>4707</v>
      </c>
      <c r="AP113" s="5327"/>
      <c r="AQ113" s="1239">
        <f>IF(AO108=0,"",VLOOKUP(AO108,'Tablas Magia'!$D$6:$Z$680,10,FALSE))</f>
        <v>16</v>
      </c>
      <c r="AR113" s="1239">
        <f>IF(AO108=0,"",VLOOKUP(AO108,'Tablas Magia'!$D$6:$Z$680,14,FALSE))</f>
        <v>260</v>
      </c>
      <c r="AS113" s="1240">
        <f>IF(AO108=0,"",VLOOKUP(AO108,'Tablas Magia'!$D$6:$Z$680,18,FALSE))</f>
        <v>20</v>
      </c>
      <c r="AT113" s="5328" t="str">
        <f>IF(AO108=0,"",VLOOKUP(AO108,'Tablas Magia'!$D$6:$Z$680,22,FALSE))</f>
        <v>RM 200/ +160 a la Tabla 76/ 200 metros de radio</v>
      </c>
      <c r="AU113" s="5329"/>
      <c r="AV113" s="5329"/>
      <c r="AW113" s="5329"/>
      <c r="AX113" s="5329"/>
      <c r="AY113" s="5329"/>
      <c r="AZ113" s="5329"/>
      <c r="BA113" s="5329"/>
      <c r="BB113" s="5329"/>
      <c r="BC113" s="5330"/>
      <c r="BD113" s="1216"/>
      <c r="BE113" s="1210"/>
      <c r="BF113" s="1210"/>
      <c r="BG113" s="2272"/>
      <c r="BH113" s="5326" t="s">
        <v>4707</v>
      </c>
      <c r="BI113" s="5327"/>
      <c r="BJ113" s="1239">
        <f>IF(BH108=0,"",VLOOKUP(BH108,'Tablas Magia'!$D$6:$Z$680,10,FALSE))</f>
        <v>15</v>
      </c>
      <c r="BK113" s="1239">
        <f>IF(BH108=0,"",VLOOKUP(BH108,'Tablas Magia'!$D$6:$Z$680,14,FALSE))</f>
        <v>300</v>
      </c>
      <c r="BL113" s="1240">
        <f>IF(BH108=0,"",VLOOKUP(BH108,'Tablas Magia'!$D$6:$Z$680,18,FALSE))</f>
        <v>15</v>
      </c>
      <c r="BM113" s="5328" t="str">
        <f>IF(BH108=0,"",VLOOKUP(BH108,'Tablas Magia'!$D$6:$Z$680,22,FALSE))</f>
        <v>200 PV por asalto</v>
      </c>
      <c r="BN113" s="5329"/>
      <c r="BO113" s="5329"/>
      <c r="BP113" s="5329"/>
      <c r="BQ113" s="5329"/>
      <c r="BR113" s="5329"/>
      <c r="BS113" s="5329"/>
      <c r="BT113" s="5329"/>
      <c r="BU113" s="5329"/>
      <c r="BV113" s="5330"/>
      <c r="BW113" s="1216"/>
      <c r="BX113" s="1210"/>
      <c r="BY113" s="1210"/>
      <c r="BZ113" s="2272"/>
      <c r="CA113" s="5326" t="s">
        <v>4707</v>
      </c>
      <c r="CB113" s="5327"/>
      <c r="CC113" s="1239">
        <f>IF(CA108=0,"",VLOOKUP(CA108,'Tablas Magia'!$D$6:$Z$680,10,FALSE))</f>
        <v>18</v>
      </c>
      <c r="CD113" s="1239">
        <f>IF(CA108=0,"",VLOOKUP(CA108,'Tablas Magia'!$D$6:$Z$680,14,FALSE))</f>
        <v>1600</v>
      </c>
      <c r="CE113" s="1240">
        <f>IF(CA108=0,"",VLOOKUP(CA108,'Tablas Magia'!$D$6:$Z$680,18,FALSE))</f>
        <v>110</v>
      </c>
      <c r="CF113" s="5328" t="str">
        <f>IF(CA108=0,"",VLOOKUP(CA108,'Tablas Magia'!$D$6:$Z$680,22,FALSE))</f>
        <v>150 km de radio / RM 180</v>
      </c>
      <c r="CG113" s="5329"/>
      <c r="CH113" s="5329"/>
      <c r="CI113" s="5329"/>
      <c r="CJ113" s="5329"/>
      <c r="CK113" s="5329"/>
      <c r="CL113" s="5329"/>
      <c r="CM113" s="5329"/>
      <c r="CN113" s="5329"/>
      <c r="CO113" s="5330"/>
      <c r="CP113" s="1216"/>
      <c r="CQ113" s="1210"/>
    </row>
    <row r="114" spans="1:95" ht="12.75" customHeight="1" x14ac:dyDescent="0.2">
      <c r="A114" s="1210"/>
      <c r="B114" s="2258"/>
      <c r="C114" s="5331"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32"/>
      <c r="E114" s="5332"/>
      <c r="F114" s="5332"/>
      <c r="G114" s="5332"/>
      <c r="H114" s="5332"/>
      <c r="I114" s="5332"/>
      <c r="J114" s="5332"/>
      <c r="K114" s="5332"/>
      <c r="L114" s="5332"/>
      <c r="M114" s="5332"/>
      <c r="N114" s="5332"/>
      <c r="O114" s="5332"/>
      <c r="P114" s="5332"/>
      <c r="Q114" s="5333"/>
      <c r="R114" s="1216"/>
      <c r="S114" s="1210"/>
      <c r="T114" s="1210"/>
      <c r="U114" s="2258"/>
      <c r="V114" s="5331"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32"/>
      <c r="X114" s="5332"/>
      <c r="Y114" s="5332"/>
      <c r="Z114" s="5332"/>
      <c r="AA114" s="5332"/>
      <c r="AB114" s="5332"/>
      <c r="AC114" s="5332"/>
      <c r="AD114" s="5332"/>
      <c r="AE114" s="5332"/>
      <c r="AF114" s="5332"/>
      <c r="AG114" s="5332"/>
      <c r="AH114" s="5332"/>
      <c r="AI114" s="5332"/>
      <c r="AJ114" s="5333"/>
      <c r="AK114" s="1216"/>
      <c r="AL114" s="1210"/>
      <c r="AM114" s="1210"/>
      <c r="AN114" s="2272"/>
      <c r="AO114" s="5331"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32"/>
      <c r="AQ114" s="5332"/>
      <c r="AR114" s="5332"/>
      <c r="AS114" s="5332"/>
      <c r="AT114" s="5332"/>
      <c r="AU114" s="5332"/>
      <c r="AV114" s="5332"/>
      <c r="AW114" s="5332"/>
      <c r="AX114" s="5332"/>
      <c r="AY114" s="5332"/>
      <c r="AZ114" s="5332"/>
      <c r="BA114" s="5332"/>
      <c r="BB114" s="5332"/>
      <c r="BC114" s="5333"/>
      <c r="BD114" s="1216"/>
      <c r="BE114" s="1210"/>
      <c r="BF114" s="1210"/>
      <c r="BG114" s="2272"/>
      <c r="BH114" s="5331"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32"/>
      <c r="BJ114" s="5332"/>
      <c r="BK114" s="5332"/>
      <c r="BL114" s="5332"/>
      <c r="BM114" s="5332"/>
      <c r="BN114" s="5332"/>
      <c r="BO114" s="5332"/>
      <c r="BP114" s="5332"/>
      <c r="BQ114" s="5332"/>
      <c r="BR114" s="5332"/>
      <c r="BS114" s="5332"/>
      <c r="BT114" s="5332"/>
      <c r="BU114" s="5332"/>
      <c r="BV114" s="5333"/>
      <c r="BW114" s="1216"/>
      <c r="BX114" s="1210"/>
      <c r="BY114" s="1210"/>
      <c r="BZ114" s="2272"/>
      <c r="CA114" s="5331"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32"/>
      <c r="CC114" s="5332"/>
      <c r="CD114" s="5332"/>
      <c r="CE114" s="5332"/>
      <c r="CF114" s="5332"/>
      <c r="CG114" s="5332"/>
      <c r="CH114" s="5332"/>
      <c r="CI114" s="5332"/>
      <c r="CJ114" s="5332"/>
      <c r="CK114" s="5332"/>
      <c r="CL114" s="5332"/>
      <c r="CM114" s="5332"/>
      <c r="CN114" s="5332"/>
      <c r="CO114" s="5333"/>
      <c r="CP114" s="1216"/>
      <c r="CQ114" s="1210"/>
    </row>
    <row r="115" spans="1:95" x14ac:dyDescent="0.2">
      <c r="A115" s="1210"/>
      <c r="B115" s="2258"/>
      <c r="C115" s="5334"/>
      <c r="D115" s="5335"/>
      <c r="E115" s="5335"/>
      <c r="F115" s="5335"/>
      <c r="G115" s="5335"/>
      <c r="H115" s="5335"/>
      <c r="I115" s="5335"/>
      <c r="J115" s="5335"/>
      <c r="K115" s="5335"/>
      <c r="L115" s="5335"/>
      <c r="M115" s="5335"/>
      <c r="N115" s="5335"/>
      <c r="O115" s="5335"/>
      <c r="P115" s="5335"/>
      <c r="Q115" s="5336"/>
      <c r="R115" s="1216"/>
      <c r="S115" s="1210"/>
      <c r="T115" s="1210"/>
      <c r="U115" s="2258"/>
      <c r="V115" s="5334"/>
      <c r="W115" s="5335"/>
      <c r="X115" s="5335"/>
      <c r="Y115" s="5335"/>
      <c r="Z115" s="5335"/>
      <c r="AA115" s="5335"/>
      <c r="AB115" s="5335"/>
      <c r="AC115" s="5335"/>
      <c r="AD115" s="5335"/>
      <c r="AE115" s="5335"/>
      <c r="AF115" s="5335"/>
      <c r="AG115" s="5335"/>
      <c r="AH115" s="5335"/>
      <c r="AI115" s="5335"/>
      <c r="AJ115" s="5336"/>
      <c r="AK115" s="1216"/>
      <c r="AL115" s="1210"/>
      <c r="AM115" s="1210"/>
      <c r="AN115" s="2272"/>
      <c r="AO115" s="5334"/>
      <c r="AP115" s="5335"/>
      <c r="AQ115" s="5335"/>
      <c r="AR115" s="5335"/>
      <c r="AS115" s="5335"/>
      <c r="AT115" s="5335"/>
      <c r="AU115" s="5335"/>
      <c r="AV115" s="5335"/>
      <c r="AW115" s="5335"/>
      <c r="AX115" s="5335"/>
      <c r="AY115" s="5335"/>
      <c r="AZ115" s="5335"/>
      <c r="BA115" s="5335"/>
      <c r="BB115" s="5335"/>
      <c r="BC115" s="5336"/>
      <c r="BD115" s="1216"/>
      <c r="BE115" s="1210"/>
      <c r="BF115" s="1210"/>
      <c r="BG115" s="2272"/>
      <c r="BH115" s="5334"/>
      <c r="BI115" s="5335"/>
      <c r="BJ115" s="5335"/>
      <c r="BK115" s="5335"/>
      <c r="BL115" s="5335"/>
      <c r="BM115" s="5335"/>
      <c r="BN115" s="5335"/>
      <c r="BO115" s="5335"/>
      <c r="BP115" s="5335"/>
      <c r="BQ115" s="5335"/>
      <c r="BR115" s="5335"/>
      <c r="BS115" s="5335"/>
      <c r="BT115" s="5335"/>
      <c r="BU115" s="5335"/>
      <c r="BV115" s="5336"/>
      <c r="BW115" s="1216"/>
      <c r="BX115" s="1210"/>
      <c r="BY115" s="1210"/>
      <c r="BZ115" s="2272"/>
      <c r="CA115" s="5334"/>
      <c r="CB115" s="5335"/>
      <c r="CC115" s="5335"/>
      <c r="CD115" s="5335"/>
      <c r="CE115" s="5335"/>
      <c r="CF115" s="5335"/>
      <c r="CG115" s="5335"/>
      <c r="CH115" s="5335"/>
      <c r="CI115" s="5335"/>
      <c r="CJ115" s="5335"/>
      <c r="CK115" s="5335"/>
      <c r="CL115" s="5335"/>
      <c r="CM115" s="5335"/>
      <c r="CN115" s="5335"/>
      <c r="CO115" s="5336"/>
      <c r="CP115" s="1216"/>
      <c r="CQ115" s="1210"/>
    </row>
    <row r="116" spans="1:95" x14ac:dyDescent="0.2">
      <c r="A116" s="1210"/>
      <c r="B116" s="2258"/>
      <c r="C116" s="5334"/>
      <c r="D116" s="5335"/>
      <c r="E116" s="5335"/>
      <c r="F116" s="5335"/>
      <c r="G116" s="5335"/>
      <c r="H116" s="5335"/>
      <c r="I116" s="5335"/>
      <c r="J116" s="5335"/>
      <c r="K116" s="5335"/>
      <c r="L116" s="5335"/>
      <c r="M116" s="5335"/>
      <c r="N116" s="5335"/>
      <c r="O116" s="5335"/>
      <c r="P116" s="5335"/>
      <c r="Q116" s="5336"/>
      <c r="R116" s="1216"/>
      <c r="S116" s="1210"/>
      <c r="T116" s="1210"/>
      <c r="U116" s="2258"/>
      <c r="V116" s="5334"/>
      <c r="W116" s="5335"/>
      <c r="X116" s="5335"/>
      <c r="Y116" s="5335"/>
      <c r="Z116" s="5335"/>
      <c r="AA116" s="5335"/>
      <c r="AB116" s="5335"/>
      <c r="AC116" s="5335"/>
      <c r="AD116" s="5335"/>
      <c r="AE116" s="5335"/>
      <c r="AF116" s="5335"/>
      <c r="AG116" s="5335"/>
      <c r="AH116" s="5335"/>
      <c r="AI116" s="5335"/>
      <c r="AJ116" s="5336"/>
      <c r="AK116" s="1216"/>
      <c r="AL116" s="1210"/>
      <c r="AM116" s="1210"/>
      <c r="AN116" s="2272"/>
      <c r="AO116" s="5334"/>
      <c r="AP116" s="5335"/>
      <c r="AQ116" s="5335"/>
      <c r="AR116" s="5335"/>
      <c r="AS116" s="5335"/>
      <c r="AT116" s="5335"/>
      <c r="AU116" s="5335"/>
      <c r="AV116" s="5335"/>
      <c r="AW116" s="5335"/>
      <c r="AX116" s="5335"/>
      <c r="AY116" s="5335"/>
      <c r="AZ116" s="5335"/>
      <c r="BA116" s="5335"/>
      <c r="BB116" s="5335"/>
      <c r="BC116" s="5336"/>
      <c r="BD116" s="1216"/>
      <c r="BE116" s="1210"/>
      <c r="BF116" s="1210"/>
      <c r="BG116" s="2272"/>
      <c r="BH116" s="5334"/>
      <c r="BI116" s="5335"/>
      <c r="BJ116" s="5335"/>
      <c r="BK116" s="5335"/>
      <c r="BL116" s="5335"/>
      <c r="BM116" s="5335"/>
      <c r="BN116" s="5335"/>
      <c r="BO116" s="5335"/>
      <c r="BP116" s="5335"/>
      <c r="BQ116" s="5335"/>
      <c r="BR116" s="5335"/>
      <c r="BS116" s="5335"/>
      <c r="BT116" s="5335"/>
      <c r="BU116" s="5335"/>
      <c r="BV116" s="5336"/>
      <c r="BW116" s="1216"/>
      <c r="BX116" s="1210"/>
      <c r="BY116" s="1210"/>
      <c r="BZ116" s="2272"/>
      <c r="CA116" s="5334"/>
      <c r="CB116" s="5335"/>
      <c r="CC116" s="5335"/>
      <c r="CD116" s="5335"/>
      <c r="CE116" s="5335"/>
      <c r="CF116" s="5335"/>
      <c r="CG116" s="5335"/>
      <c r="CH116" s="5335"/>
      <c r="CI116" s="5335"/>
      <c r="CJ116" s="5335"/>
      <c r="CK116" s="5335"/>
      <c r="CL116" s="5335"/>
      <c r="CM116" s="5335"/>
      <c r="CN116" s="5335"/>
      <c r="CO116" s="5336"/>
      <c r="CP116" s="1216"/>
      <c r="CQ116" s="1210"/>
    </row>
    <row r="117" spans="1:95" ht="13.5" thickBot="1" x14ac:dyDescent="0.25">
      <c r="A117" s="1210"/>
      <c r="B117" s="2258"/>
      <c r="C117" s="5337"/>
      <c r="D117" s="5338"/>
      <c r="E117" s="5338"/>
      <c r="F117" s="5338"/>
      <c r="G117" s="5338"/>
      <c r="H117" s="5338"/>
      <c r="I117" s="5338"/>
      <c r="J117" s="5338"/>
      <c r="K117" s="5338"/>
      <c r="L117" s="5338"/>
      <c r="M117" s="5338"/>
      <c r="N117" s="5338"/>
      <c r="O117" s="5338"/>
      <c r="P117" s="5338"/>
      <c r="Q117" s="5339"/>
      <c r="R117" s="1216"/>
      <c r="S117" s="1210"/>
      <c r="T117" s="1210"/>
      <c r="U117" s="2258"/>
      <c r="V117" s="5337"/>
      <c r="W117" s="5338"/>
      <c r="X117" s="5338"/>
      <c r="Y117" s="5338"/>
      <c r="Z117" s="5338"/>
      <c r="AA117" s="5338"/>
      <c r="AB117" s="5338"/>
      <c r="AC117" s="5338"/>
      <c r="AD117" s="5338"/>
      <c r="AE117" s="5338"/>
      <c r="AF117" s="5338"/>
      <c r="AG117" s="5338"/>
      <c r="AH117" s="5338"/>
      <c r="AI117" s="5338"/>
      <c r="AJ117" s="5339"/>
      <c r="AK117" s="1216"/>
      <c r="AL117" s="1210"/>
      <c r="AM117" s="1210"/>
      <c r="AN117" s="2272"/>
      <c r="AO117" s="5337"/>
      <c r="AP117" s="5338"/>
      <c r="AQ117" s="5338"/>
      <c r="AR117" s="5338"/>
      <c r="AS117" s="5338"/>
      <c r="AT117" s="5338"/>
      <c r="AU117" s="5338"/>
      <c r="AV117" s="5338"/>
      <c r="AW117" s="5338"/>
      <c r="AX117" s="5338"/>
      <c r="AY117" s="5338"/>
      <c r="AZ117" s="5338"/>
      <c r="BA117" s="5338"/>
      <c r="BB117" s="5338"/>
      <c r="BC117" s="5339"/>
      <c r="BD117" s="1216"/>
      <c r="BE117" s="1210"/>
      <c r="BF117" s="1210"/>
      <c r="BG117" s="2272"/>
      <c r="BH117" s="5337"/>
      <c r="BI117" s="5338"/>
      <c r="BJ117" s="5338"/>
      <c r="BK117" s="5338"/>
      <c r="BL117" s="5338"/>
      <c r="BM117" s="5338"/>
      <c r="BN117" s="5338"/>
      <c r="BO117" s="5338"/>
      <c r="BP117" s="5338"/>
      <c r="BQ117" s="5338"/>
      <c r="BR117" s="5338"/>
      <c r="BS117" s="5338"/>
      <c r="BT117" s="5338"/>
      <c r="BU117" s="5338"/>
      <c r="BV117" s="5339"/>
      <c r="BW117" s="1216"/>
      <c r="BX117" s="1210"/>
      <c r="BY117" s="1210"/>
      <c r="BZ117" s="2272"/>
      <c r="CA117" s="5337"/>
      <c r="CB117" s="5338"/>
      <c r="CC117" s="5338"/>
      <c r="CD117" s="5338"/>
      <c r="CE117" s="5338"/>
      <c r="CF117" s="5338"/>
      <c r="CG117" s="5338"/>
      <c r="CH117" s="5338"/>
      <c r="CI117" s="5338"/>
      <c r="CJ117" s="5338"/>
      <c r="CK117" s="5338"/>
      <c r="CL117" s="5338"/>
      <c r="CM117" s="5338"/>
      <c r="CN117" s="5338"/>
      <c r="CO117" s="5339"/>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disablePrompts="1"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405"/>
      <c r="X3" s="5406"/>
      <c r="Y3" s="5406"/>
      <c r="Z3" s="5406"/>
      <c r="AA3" s="5406"/>
      <c r="AB3" s="5406"/>
      <c r="AC3" s="1346"/>
      <c r="AD3" s="1346"/>
      <c r="AE3" s="1346"/>
      <c r="AF3" s="1346"/>
      <c r="AG3" s="1346"/>
      <c r="AH3" s="1346"/>
      <c r="AI3" s="1346"/>
      <c r="AJ3" s="1346"/>
      <c r="AK3" s="1346"/>
      <c r="AL3" s="804"/>
      <c r="AM3" s="803"/>
      <c r="AN3" s="773"/>
      <c r="AO3" s="962"/>
    </row>
    <row r="4" spans="1:41" ht="12" customHeight="1" x14ac:dyDescent="0.2">
      <c r="A4" s="771"/>
      <c r="B4" s="1352"/>
      <c r="C4" s="812"/>
      <c r="D4" s="5402" t="s">
        <v>3452</v>
      </c>
      <c r="E4" s="5402"/>
      <c r="F4" s="5402"/>
      <c r="G4" s="5402"/>
      <c r="H4" s="5411" t="str">
        <f>Principal!L4</f>
        <v/>
      </c>
      <c r="I4" s="5411"/>
      <c r="J4" s="5411"/>
      <c r="K4" s="5411"/>
      <c r="L4" s="5411"/>
      <c r="M4" s="5412" t="s">
        <v>8179</v>
      </c>
      <c r="N4" s="5412"/>
      <c r="O4" s="5412"/>
      <c r="P4" s="5412"/>
      <c r="Q4" s="5412"/>
      <c r="R4" s="813"/>
      <c r="S4" s="803"/>
      <c r="T4" s="771"/>
      <c r="U4" s="772"/>
      <c r="V4" s="1352"/>
      <c r="W4" s="5407"/>
      <c r="X4" s="5408"/>
      <c r="Y4" s="5408"/>
      <c r="Z4" s="5408"/>
      <c r="AA4" s="5408"/>
      <c r="AB4" s="5408"/>
      <c r="AC4" s="1347"/>
      <c r="AD4" s="5413" t="s">
        <v>8179</v>
      </c>
      <c r="AE4" s="5413"/>
      <c r="AF4" s="5413"/>
      <c r="AG4" s="5413"/>
      <c r="AH4" s="5413"/>
      <c r="AI4" s="5413"/>
      <c r="AJ4" s="5413"/>
      <c r="AK4" s="5413"/>
      <c r="AL4" s="814"/>
      <c r="AM4" s="803"/>
      <c r="AN4" s="773"/>
      <c r="AO4" s="962"/>
    </row>
    <row r="5" spans="1:41" ht="12" customHeight="1" x14ac:dyDescent="0.2">
      <c r="A5" s="771"/>
      <c r="B5" s="1352"/>
      <c r="C5" s="5414"/>
      <c r="D5" s="5404"/>
      <c r="E5" s="5404"/>
      <c r="F5" s="5404"/>
      <c r="G5" s="5404"/>
      <c r="H5" s="5404"/>
      <c r="I5" s="5415"/>
      <c r="J5" s="5415"/>
      <c r="K5" s="5415"/>
      <c r="L5" s="5415"/>
      <c r="M5" s="5412"/>
      <c r="N5" s="5412"/>
      <c r="O5" s="5412"/>
      <c r="P5" s="5412"/>
      <c r="Q5" s="5412"/>
      <c r="R5" s="830"/>
      <c r="S5" s="803"/>
      <c r="T5" s="771"/>
      <c r="U5" s="772"/>
      <c r="V5" s="1352"/>
      <c r="W5" s="5407"/>
      <c r="X5" s="5408"/>
      <c r="Y5" s="5408"/>
      <c r="Z5" s="5408"/>
      <c r="AA5" s="5408"/>
      <c r="AB5" s="5408"/>
      <c r="AC5" s="1347"/>
      <c r="AD5" s="5413"/>
      <c r="AE5" s="5413"/>
      <c r="AF5" s="5413"/>
      <c r="AG5" s="5413"/>
      <c r="AH5" s="5413"/>
      <c r="AI5" s="5413"/>
      <c r="AJ5" s="5413"/>
      <c r="AK5" s="5413"/>
      <c r="AL5" s="814"/>
      <c r="AM5" s="803"/>
      <c r="AN5" s="773"/>
      <c r="AO5" s="962"/>
    </row>
    <row r="6" spans="1:41" ht="12" customHeight="1" x14ac:dyDescent="0.2">
      <c r="A6" s="771"/>
      <c r="B6" s="1352"/>
      <c r="C6" s="812"/>
      <c r="D6" s="5403" t="s">
        <v>3459</v>
      </c>
      <c r="E6" s="5403"/>
      <c r="F6" s="5404" t="str">
        <f>Principal!L5</f>
        <v>Hechicero</v>
      </c>
      <c r="G6" s="5404"/>
      <c r="H6" s="5404"/>
      <c r="I6" s="833"/>
      <c r="J6" s="833"/>
      <c r="K6" s="5403"/>
      <c r="L6" s="5403"/>
      <c r="M6" s="1343"/>
      <c r="N6" s="1341"/>
      <c r="O6" s="5401"/>
      <c r="P6" s="5401"/>
      <c r="Q6" s="834"/>
      <c r="R6" s="830"/>
      <c r="S6" s="803"/>
      <c r="T6" s="771"/>
      <c r="U6" s="772"/>
      <c r="V6" s="1352"/>
      <c r="W6" s="5407"/>
      <c r="X6" s="5408"/>
      <c r="Y6" s="5408"/>
      <c r="Z6" s="5408"/>
      <c r="AA6" s="5408"/>
      <c r="AB6" s="5408"/>
      <c r="AC6" s="1347"/>
      <c r="AD6" s="5402"/>
      <c r="AE6" s="5402"/>
      <c r="AF6" s="5402"/>
      <c r="AG6" s="5402"/>
      <c r="AH6" s="5402"/>
      <c r="AI6" s="5402"/>
      <c r="AJ6" s="5402"/>
      <c r="AK6" s="5402"/>
      <c r="AL6" s="814"/>
      <c r="AM6" s="803"/>
      <c r="AN6" s="773"/>
      <c r="AO6" s="962"/>
    </row>
    <row r="7" spans="1:41" ht="12" customHeight="1" x14ac:dyDescent="0.2">
      <c r="A7" s="771"/>
      <c r="B7" s="1352"/>
      <c r="C7" s="812"/>
      <c r="D7" s="5403" t="s">
        <v>1630</v>
      </c>
      <c r="E7" s="5403"/>
      <c r="F7" s="5404" t="str">
        <f>Principal!P5</f>
        <v>1</v>
      </c>
      <c r="G7" s="5404"/>
      <c r="H7" s="5404"/>
      <c r="I7" s="837"/>
      <c r="J7" s="837"/>
      <c r="K7" s="837"/>
      <c r="L7" s="837"/>
      <c r="M7" s="5403"/>
      <c r="N7" s="5403"/>
      <c r="O7" s="838"/>
      <c r="P7" s="1341"/>
      <c r="Q7" s="1341"/>
      <c r="R7" s="830"/>
      <c r="S7" s="803"/>
      <c r="T7" s="771"/>
      <c r="U7" s="772"/>
      <c r="V7" s="1352"/>
      <c r="W7" s="5407"/>
      <c r="X7" s="5408"/>
      <c r="Y7" s="5408"/>
      <c r="Z7" s="5408"/>
      <c r="AA7" s="5408"/>
      <c r="AB7" s="5408"/>
      <c r="AC7" s="1347"/>
      <c r="AD7" s="5404" t="str">
        <f>IF(C5&lt;1,"",C5)</f>
        <v/>
      </c>
      <c r="AE7" s="5404"/>
      <c r="AF7" s="5404"/>
      <c r="AG7" s="5404"/>
      <c r="AH7" s="5404"/>
      <c r="AI7" s="5404"/>
      <c r="AJ7" s="5404"/>
      <c r="AK7" s="5404"/>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409"/>
      <c r="X8" s="5410"/>
      <c r="Y8" s="5410"/>
      <c r="Z8" s="5410"/>
      <c r="AA8" s="5410"/>
      <c r="AB8" s="5410"/>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92" t="s">
        <v>8177</v>
      </c>
      <c r="D11" s="5393"/>
      <c r="E11" s="5393"/>
      <c r="F11" s="5393"/>
      <c r="G11" s="5393"/>
      <c r="H11" s="5393"/>
      <c r="I11" s="5393"/>
      <c r="J11" s="5393"/>
      <c r="K11" s="5393"/>
      <c r="L11" s="5393"/>
      <c r="M11" s="5393"/>
      <c r="N11" s="5393"/>
      <c r="O11" s="5393"/>
      <c r="P11" s="5393"/>
      <c r="Q11" s="5394"/>
      <c r="R11" s="5395">
        <f>IF(C11="","",IF(ISNA(VLOOKUP(C11,'Tablas Técnicas'!$AD$6:$AJ$188,3,FALSE)),"-",VLOOKUP(C11,'Tablas Técnicas'!$AD$6:$AJ$188,3,FALSE)))</f>
        <v>0</v>
      </c>
      <c r="S11" s="858"/>
      <c r="T11" s="771"/>
      <c r="U11" s="771"/>
      <c r="V11" s="1349">
        <v>6</v>
      </c>
      <c r="W11" s="5392" t="s">
        <v>8177</v>
      </c>
      <c r="X11" s="5393"/>
      <c r="Y11" s="5393"/>
      <c r="Z11" s="5393"/>
      <c r="AA11" s="5393"/>
      <c r="AB11" s="5393"/>
      <c r="AC11" s="5393"/>
      <c r="AD11" s="5393"/>
      <c r="AE11" s="5393"/>
      <c r="AF11" s="5393"/>
      <c r="AG11" s="5393"/>
      <c r="AH11" s="5393"/>
      <c r="AI11" s="5393"/>
      <c r="AJ11" s="5393"/>
      <c r="AK11" s="5394"/>
      <c r="AL11" s="5395">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2175</v>
      </c>
      <c r="F12" s="5397"/>
      <c r="G12" s="5397"/>
      <c r="H12" s="5397"/>
      <c r="I12" s="5398" t="s">
        <v>3480</v>
      </c>
      <c r="J12" s="5398"/>
      <c r="K12" s="5398"/>
      <c r="L12" s="5399" t="str">
        <f>IF(C11="","",IF(ISNA(VLOOKUP(C11,'Tablas Técnicas'!$AD$6:$AJ$188,7,FALSE)),"-",VLOOKUP(C11,'Tablas Técnicas'!$AD$6:$AJ$188,7,FALSE)))</f>
        <v/>
      </c>
      <c r="M12" s="5399"/>
      <c r="N12" s="5399"/>
      <c r="O12" s="5399"/>
      <c r="P12" s="5399"/>
      <c r="Q12" s="5400"/>
      <c r="R12" s="5396"/>
      <c r="S12" s="803"/>
      <c r="T12" s="771"/>
      <c r="U12" s="771"/>
      <c r="V12" s="1349"/>
      <c r="W12" s="864" t="s">
        <v>1630</v>
      </c>
      <c r="X12" s="865">
        <f>IF(W11="","",IF(ISNA(VLOOKUP(W11,'Tablas Técnicas'!$AD$6:$AJ$188,2,FALSE)),"-",VLOOKUP(W11,'Tablas Técnicas'!$AD$6:$AJ$188,2,FALSE)))</f>
        <v>1</v>
      </c>
      <c r="Y12" s="866" t="s">
        <v>2175</v>
      </c>
      <c r="Z12" s="5397"/>
      <c r="AA12" s="5397"/>
      <c r="AB12" s="5397"/>
      <c r="AC12" s="5398" t="s">
        <v>3480</v>
      </c>
      <c r="AD12" s="5398"/>
      <c r="AE12" s="5398"/>
      <c r="AF12" s="5399" t="str">
        <f>IF(W11="","",IF(ISNA(VLOOKUP(W11,'Tablas Técnicas'!$AD$6:$AJ$188,7,FALSE)),"-",VLOOKUP(W11,'Tablas Técnicas'!$AD$6:$AJ$188,7,FALSE)))</f>
        <v/>
      </c>
      <c r="AG12" s="5399"/>
      <c r="AH12" s="5399"/>
      <c r="AI12" s="5399"/>
      <c r="AJ12" s="5399"/>
      <c r="AK12" s="5400"/>
      <c r="AL12" s="5396"/>
      <c r="AM12" s="803"/>
      <c r="AN12" s="773"/>
      <c r="AO12" s="962"/>
    </row>
    <row r="13" spans="1:41" ht="12" customHeight="1" x14ac:dyDescent="0.2">
      <c r="A13" s="771"/>
      <c r="B13" s="1349"/>
      <c r="C13" s="5361" t="str">
        <f>IF(C11="","",IF(ISNA(VLOOKUP(C11,'Tablas Técnicas'!$AD$6:$AJ$188,5,FALSE)),"-",VLOOKUP(C11,'Tablas Técnicas'!$AD$6:$AJ$188,5,FALSE)))</f>
        <v/>
      </c>
      <c r="D13" s="5362"/>
      <c r="E13" s="5362"/>
      <c r="F13" s="5362"/>
      <c r="G13" s="5362"/>
      <c r="H13" s="5362"/>
      <c r="I13" s="5362"/>
      <c r="J13" s="5362"/>
      <c r="K13" s="5362"/>
      <c r="L13" s="5362"/>
      <c r="M13" s="5362"/>
      <c r="N13" s="5362"/>
      <c r="O13" s="5362"/>
      <c r="P13" s="5362"/>
      <c r="Q13" s="5362"/>
      <c r="R13" s="5363"/>
      <c r="S13" s="871"/>
      <c r="T13" s="870"/>
      <c r="U13" s="771"/>
      <c r="V13" s="1349"/>
      <c r="W13" s="5361" t="str">
        <f>IF(W11="","",IF(ISNA(VLOOKUP(W11,'Tablas Técnicas'!$AD$6:$AJ$188,5,FALSE)),"-",VLOOKUP(W11,'Tablas Técnicas'!$AD$6:$AJ$188,5,FALSE)))</f>
        <v/>
      </c>
      <c r="X13" s="5362"/>
      <c r="Y13" s="5362"/>
      <c r="Z13" s="5362"/>
      <c r="AA13" s="5362"/>
      <c r="AB13" s="5362"/>
      <c r="AC13" s="5362"/>
      <c r="AD13" s="5362"/>
      <c r="AE13" s="5362"/>
      <c r="AF13" s="5362"/>
      <c r="AG13" s="5362"/>
      <c r="AH13" s="5362"/>
      <c r="AI13" s="5362"/>
      <c r="AJ13" s="5362"/>
      <c r="AK13" s="5362"/>
      <c r="AL13" s="5363"/>
      <c r="AM13" s="871"/>
      <c r="AN13" s="773"/>
      <c r="AO13" s="962"/>
    </row>
    <row r="14" spans="1:41" ht="12" customHeight="1" x14ac:dyDescent="0.2">
      <c r="A14" s="771"/>
      <c r="B14" s="1349"/>
      <c r="C14" s="5364"/>
      <c r="D14" s="5365"/>
      <c r="E14" s="5365"/>
      <c r="F14" s="5365"/>
      <c r="G14" s="5365"/>
      <c r="H14" s="5365"/>
      <c r="I14" s="5365"/>
      <c r="J14" s="5365"/>
      <c r="K14" s="5365"/>
      <c r="L14" s="5365"/>
      <c r="M14" s="5365"/>
      <c r="N14" s="5365"/>
      <c r="O14" s="5365"/>
      <c r="P14" s="5365"/>
      <c r="Q14" s="5365"/>
      <c r="R14" s="5366"/>
      <c r="S14" s="880"/>
      <c r="T14" s="870"/>
      <c r="U14" s="771"/>
      <c r="V14" s="1349"/>
      <c r="W14" s="5364"/>
      <c r="X14" s="5365"/>
      <c r="Y14" s="5365"/>
      <c r="Z14" s="5365"/>
      <c r="AA14" s="5365"/>
      <c r="AB14" s="5365"/>
      <c r="AC14" s="5365"/>
      <c r="AD14" s="5365"/>
      <c r="AE14" s="5365"/>
      <c r="AF14" s="5365"/>
      <c r="AG14" s="5365"/>
      <c r="AH14" s="5365"/>
      <c r="AI14" s="5365"/>
      <c r="AJ14" s="5365"/>
      <c r="AK14" s="5365"/>
      <c r="AL14" s="5366"/>
      <c r="AM14" s="880"/>
      <c r="AN14" s="773"/>
      <c r="AO14" s="962"/>
    </row>
    <row r="15" spans="1:41" ht="12" customHeight="1" x14ac:dyDescent="0.2">
      <c r="A15" s="771"/>
      <c r="B15" s="1349"/>
      <c r="C15" s="5364"/>
      <c r="D15" s="5365"/>
      <c r="E15" s="5365"/>
      <c r="F15" s="5365"/>
      <c r="G15" s="5365"/>
      <c r="H15" s="5365"/>
      <c r="I15" s="5365"/>
      <c r="J15" s="5365"/>
      <c r="K15" s="5365"/>
      <c r="L15" s="5365"/>
      <c r="M15" s="5365"/>
      <c r="N15" s="5365"/>
      <c r="O15" s="5365"/>
      <c r="P15" s="5365"/>
      <c r="Q15" s="5365"/>
      <c r="R15" s="5366"/>
      <c r="S15" s="880"/>
      <c r="T15" s="870"/>
      <c r="U15" s="771"/>
      <c r="V15" s="1349"/>
      <c r="W15" s="5364"/>
      <c r="X15" s="5365"/>
      <c r="Y15" s="5365"/>
      <c r="Z15" s="5365"/>
      <c r="AA15" s="5365"/>
      <c r="AB15" s="5365"/>
      <c r="AC15" s="5365"/>
      <c r="AD15" s="5365"/>
      <c r="AE15" s="5365"/>
      <c r="AF15" s="5365"/>
      <c r="AG15" s="5365"/>
      <c r="AH15" s="5365"/>
      <c r="AI15" s="5365"/>
      <c r="AJ15" s="5365"/>
      <c r="AK15" s="5365"/>
      <c r="AL15" s="5366"/>
      <c r="AM15" s="880"/>
      <c r="AN15" s="773"/>
      <c r="AO15" s="962"/>
    </row>
    <row r="16" spans="1:41" ht="12" customHeight="1" x14ac:dyDescent="0.2">
      <c r="A16" s="771"/>
      <c r="B16" s="1349"/>
      <c r="C16" s="5367"/>
      <c r="D16" s="5368"/>
      <c r="E16" s="5368"/>
      <c r="F16" s="5368"/>
      <c r="G16" s="5368"/>
      <c r="H16" s="5368"/>
      <c r="I16" s="5368"/>
      <c r="J16" s="5368"/>
      <c r="K16" s="5368"/>
      <c r="L16" s="5368"/>
      <c r="M16" s="5368"/>
      <c r="N16" s="5368"/>
      <c r="O16" s="5368"/>
      <c r="P16" s="5368"/>
      <c r="Q16" s="5368"/>
      <c r="R16" s="5369"/>
      <c r="S16" s="880"/>
      <c r="T16" s="870"/>
      <c r="U16" s="771"/>
      <c r="V16" s="1349"/>
      <c r="W16" s="5367"/>
      <c r="X16" s="5368"/>
      <c r="Y16" s="5368"/>
      <c r="Z16" s="5368"/>
      <c r="AA16" s="5368"/>
      <c r="AB16" s="5368"/>
      <c r="AC16" s="5368"/>
      <c r="AD16" s="5368"/>
      <c r="AE16" s="5368"/>
      <c r="AF16" s="5368"/>
      <c r="AG16" s="5368"/>
      <c r="AH16" s="5368"/>
      <c r="AI16" s="5368"/>
      <c r="AJ16" s="5368"/>
      <c r="AK16" s="5368"/>
      <c r="AL16" s="5369"/>
      <c r="AM16" s="880"/>
      <c r="AN16" s="773"/>
      <c r="AO16" s="962"/>
    </row>
    <row r="17" spans="1:43" ht="12" customHeight="1" x14ac:dyDescent="0.2">
      <c r="A17" s="771"/>
      <c r="B17" s="1353"/>
      <c r="C17" s="5370" t="str">
        <f>"Desventajas: "&amp;IF(C11="","",IF(ISNA(VLOOKUP(C11,'Tablas Técnicas'!$AD$6:$AJ$188,6,FALSE)),"-",VLOOKUP(C11,'Tablas Técnicas'!$AD$6:$AJ$188,6,FALSE)))</f>
        <v xml:space="preserve">Desventajas: </v>
      </c>
      <c r="D17" s="5371"/>
      <c r="E17" s="5371"/>
      <c r="F17" s="5371"/>
      <c r="G17" s="5371"/>
      <c r="H17" s="5371"/>
      <c r="I17" s="5371"/>
      <c r="J17" s="5371"/>
      <c r="K17" s="5371"/>
      <c r="L17" s="5371"/>
      <c r="M17" s="5371"/>
      <c r="N17" s="5372"/>
      <c r="O17" s="5376" t="s">
        <v>3500</v>
      </c>
      <c r="P17" s="5377"/>
      <c r="Q17" s="5377"/>
      <c r="R17" s="5378"/>
      <c r="S17" s="803"/>
      <c r="T17" s="771"/>
      <c r="U17" s="771"/>
      <c r="V17" s="1353"/>
      <c r="W17" s="5370" t="str">
        <f>"Desventajas: "&amp;IF(W11="","",IF(ISNA(VLOOKUP(W11,'Tablas Técnicas'!$AD$6:$AJ$188,6,FALSE)),"-",VLOOKUP(W11,'Tablas Técnicas'!$AD$6:$AJ$188,6,FALSE)))</f>
        <v xml:space="preserve">Desventajas: </v>
      </c>
      <c r="X17" s="5371"/>
      <c r="Y17" s="5371"/>
      <c r="Z17" s="5371"/>
      <c r="AA17" s="5371"/>
      <c r="AB17" s="5371"/>
      <c r="AC17" s="5371"/>
      <c r="AD17" s="5371"/>
      <c r="AE17" s="5371"/>
      <c r="AF17" s="5371"/>
      <c r="AG17" s="5371"/>
      <c r="AH17" s="5372"/>
      <c r="AI17" s="5376" t="s">
        <v>3500</v>
      </c>
      <c r="AJ17" s="5377"/>
      <c r="AK17" s="5377"/>
      <c r="AL17" s="5378"/>
      <c r="AM17" s="803"/>
      <c r="AN17" s="773"/>
      <c r="AO17" s="962"/>
      <c r="AQ17" s="1473"/>
    </row>
    <row r="18" spans="1:43" ht="12" customHeight="1" x14ac:dyDescent="0.2">
      <c r="A18" s="771"/>
      <c r="B18" s="1349"/>
      <c r="C18" s="5373"/>
      <c r="D18" s="5374"/>
      <c r="E18" s="5374"/>
      <c r="F18" s="5374"/>
      <c r="G18" s="5374"/>
      <c r="H18" s="5374"/>
      <c r="I18" s="5374"/>
      <c r="J18" s="5374"/>
      <c r="K18" s="5374"/>
      <c r="L18" s="5374"/>
      <c r="M18" s="5374"/>
      <c r="N18" s="5375"/>
      <c r="O18" s="5379"/>
      <c r="P18" s="5380"/>
      <c r="Q18" s="5380"/>
      <c r="R18" s="5381"/>
      <c r="S18" s="803"/>
      <c r="T18" s="771"/>
      <c r="U18" s="771"/>
      <c r="V18" s="1349"/>
      <c r="W18" s="5373"/>
      <c r="X18" s="5374"/>
      <c r="Y18" s="5374"/>
      <c r="Z18" s="5374"/>
      <c r="AA18" s="5374"/>
      <c r="AB18" s="5374"/>
      <c r="AC18" s="5374"/>
      <c r="AD18" s="5374"/>
      <c r="AE18" s="5374"/>
      <c r="AF18" s="5374"/>
      <c r="AG18" s="5374"/>
      <c r="AH18" s="5375"/>
      <c r="AI18" s="5379"/>
      <c r="AJ18" s="5380"/>
      <c r="AK18" s="5380"/>
      <c r="AL18" s="5381"/>
      <c r="AM18" s="803"/>
      <c r="AN18" s="773"/>
      <c r="AO18" s="962"/>
    </row>
    <row r="19" spans="1:43" ht="12" customHeight="1" x14ac:dyDescent="0.2">
      <c r="A19" s="771"/>
      <c r="B19" s="1353"/>
      <c r="C19" s="5388" t="str">
        <f>IF(C11="","",IF(ISNA(VLOOKUP(C11,'Tablas Técnicas'!$AD$6:$AJ$188,4,FALSE)),"-",VLOOKUP(C11,'Tablas Técnicas'!$AD$6:$AJ$188,4,FALSE)))</f>
        <v/>
      </c>
      <c r="D19" s="5389"/>
      <c r="E19" s="5389"/>
      <c r="F19" s="5389"/>
      <c r="G19" s="5389"/>
      <c r="H19" s="5389"/>
      <c r="I19" s="5389"/>
      <c r="J19" s="5389"/>
      <c r="K19" s="5389"/>
      <c r="L19" s="5389"/>
      <c r="M19" s="5389"/>
      <c r="N19" s="5389"/>
      <c r="O19" s="5382"/>
      <c r="P19" s="5383"/>
      <c r="Q19" s="5383"/>
      <c r="R19" s="5384"/>
      <c r="S19" s="803"/>
      <c r="T19" s="771"/>
      <c r="U19" s="771"/>
      <c r="V19" s="1353"/>
      <c r="W19" s="5388" t="str">
        <f>IF(W11="","",IF(ISNA(VLOOKUP(W11,'Tablas Técnicas'!$AD$6:$AJ$188,4,FALSE)),"-",VLOOKUP(W11,'Tablas Técnicas'!$AD$6:$AJ$188,4,FALSE)))</f>
        <v/>
      </c>
      <c r="X19" s="5389"/>
      <c r="Y19" s="5389"/>
      <c r="Z19" s="5389"/>
      <c r="AA19" s="5389"/>
      <c r="AB19" s="5389"/>
      <c r="AC19" s="5389"/>
      <c r="AD19" s="5389"/>
      <c r="AE19" s="5389"/>
      <c r="AF19" s="5389"/>
      <c r="AG19" s="5389"/>
      <c r="AH19" s="5389"/>
      <c r="AI19" s="5382"/>
      <c r="AJ19" s="5383"/>
      <c r="AK19" s="5383"/>
      <c r="AL19" s="5384"/>
      <c r="AM19" s="803"/>
      <c r="AN19" s="773"/>
      <c r="AO19" s="962"/>
    </row>
    <row r="20" spans="1:43" ht="12" customHeight="1" thickBot="1" x14ac:dyDescent="0.25">
      <c r="A20" s="771"/>
      <c r="B20" s="1349"/>
      <c r="C20" s="5390"/>
      <c r="D20" s="5391"/>
      <c r="E20" s="5391"/>
      <c r="F20" s="5391"/>
      <c r="G20" s="5391"/>
      <c r="H20" s="5391"/>
      <c r="I20" s="5391"/>
      <c r="J20" s="5391"/>
      <c r="K20" s="5391"/>
      <c r="L20" s="5391"/>
      <c r="M20" s="5391"/>
      <c r="N20" s="5391"/>
      <c r="O20" s="5385"/>
      <c r="P20" s="5386"/>
      <c r="Q20" s="5386"/>
      <c r="R20" s="5387"/>
      <c r="S20" s="803"/>
      <c r="T20" s="771"/>
      <c r="U20" s="771"/>
      <c r="V20" s="1349"/>
      <c r="W20" s="5390"/>
      <c r="X20" s="5391"/>
      <c r="Y20" s="5391"/>
      <c r="Z20" s="5391"/>
      <c r="AA20" s="5391"/>
      <c r="AB20" s="5391"/>
      <c r="AC20" s="5391"/>
      <c r="AD20" s="5391"/>
      <c r="AE20" s="5391"/>
      <c r="AF20" s="5391"/>
      <c r="AG20" s="5391"/>
      <c r="AH20" s="5391"/>
      <c r="AI20" s="5385"/>
      <c r="AJ20" s="5386"/>
      <c r="AK20" s="5386"/>
      <c r="AL20" s="5387"/>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92" t="s">
        <v>8177</v>
      </c>
      <c r="D22" s="5393"/>
      <c r="E22" s="5393"/>
      <c r="F22" s="5393"/>
      <c r="G22" s="5393"/>
      <c r="H22" s="5393"/>
      <c r="I22" s="5393"/>
      <c r="J22" s="5393"/>
      <c r="K22" s="5393"/>
      <c r="L22" s="5393"/>
      <c r="M22" s="5393"/>
      <c r="N22" s="5393"/>
      <c r="O22" s="5393"/>
      <c r="P22" s="5393"/>
      <c r="Q22" s="5394"/>
      <c r="R22" s="5395">
        <f>IF(C22="","",IF(ISNA(VLOOKUP(C22,'Tablas Técnicas'!$AD$6:$AJ$188,3,FALSE)),"-",VLOOKUP(C22,'Tablas Técnicas'!$AD$6:$AJ$188,3,FALSE)))</f>
        <v>0</v>
      </c>
      <c r="S22" s="858"/>
      <c r="T22" s="771"/>
      <c r="U22" s="771"/>
      <c r="V22" s="1349">
        <v>7</v>
      </c>
      <c r="W22" s="5392" t="s">
        <v>8177</v>
      </c>
      <c r="X22" s="5393"/>
      <c r="Y22" s="5393"/>
      <c r="Z22" s="5393"/>
      <c r="AA22" s="5393"/>
      <c r="AB22" s="5393"/>
      <c r="AC22" s="5393"/>
      <c r="AD22" s="5393"/>
      <c r="AE22" s="5393"/>
      <c r="AF22" s="5393"/>
      <c r="AG22" s="5393"/>
      <c r="AH22" s="5393"/>
      <c r="AI22" s="5393"/>
      <c r="AJ22" s="5393"/>
      <c r="AK22" s="5394"/>
      <c r="AL22" s="5395">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2175</v>
      </c>
      <c r="F23" s="5397"/>
      <c r="G23" s="5397"/>
      <c r="H23" s="5397"/>
      <c r="I23" s="5398" t="s">
        <v>3480</v>
      </c>
      <c r="J23" s="5398"/>
      <c r="K23" s="5398"/>
      <c r="L23" s="5399" t="str">
        <f>IF(C22="","",IF(ISNA(VLOOKUP(C22,'Tablas Técnicas'!$AD$6:$AJ$188,7,FALSE)),"-",VLOOKUP(C22,'Tablas Técnicas'!$AD$6:$AJ$188,7,FALSE)))</f>
        <v/>
      </c>
      <c r="M23" s="5399"/>
      <c r="N23" s="5399"/>
      <c r="O23" s="5399"/>
      <c r="P23" s="5399"/>
      <c r="Q23" s="5400"/>
      <c r="R23" s="5396"/>
      <c r="S23" s="803"/>
      <c r="T23" s="771"/>
      <c r="U23" s="771"/>
      <c r="V23" s="1349"/>
      <c r="W23" s="864" t="s">
        <v>1630</v>
      </c>
      <c r="X23" s="865">
        <f>IF(W22="","",IF(ISNA(VLOOKUP(W22,'Tablas Técnicas'!$AD$6:$AJ$188,2,FALSE)),"-",VLOOKUP(W22,'Tablas Técnicas'!$AD$6:$AJ$188,2,FALSE)))</f>
        <v>1</v>
      </c>
      <c r="Y23" s="866" t="s">
        <v>2175</v>
      </c>
      <c r="Z23" s="5397"/>
      <c r="AA23" s="5397"/>
      <c r="AB23" s="5397"/>
      <c r="AC23" s="5398" t="s">
        <v>3480</v>
      </c>
      <c r="AD23" s="5398"/>
      <c r="AE23" s="5398"/>
      <c r="AF23" s="5399" t="str">
        <f>IF(W22="","",IF(ISNA(VLOOKUP(W22,'Tablas Técnicas'!$AD$6:$AJ$188,7,FALSE)),"-",VLOOKUP(W22,'Tablas Técnicas'!$AD$6:$AJ$188,7,FALSE)))</f>
        <v/>
      </c>
      <c r="AG23" s="5399"/>
      <c r="AH23" s="5399"/>
      <c r="AI23" s="5399"/>
      <c r="AJ23" s="5399"/>
      <c r="AK23" s="5400"/>
      <c r="AL23" s="5396"/>
      <c r="AM23" s="803"/>
      <c r="AN23" s="773"/>
      <c r="AO23" s="962"/>
    </row>
    <row r="24" spans="1:43" ht="12" customHeight="1" x14ac:dyDescent="0.2">
      <c r="A24" s="771"/>
      <c r="B24" s="1349"/>
      <c r="C24" s="5361" t="str">
        <f>IF(C22="","",IF(ISNA(VLOOKUP(C22,'Tablas Técnicas'!$AD$6:$AJ$188,5,FALSE)),"-",VLOOKUP(C22,'Tablas Técnicas'!$AD$6:$AJ$188,5,FALSE)))</f>
        <v/>
      </c>
      <c r="D24" s="5362"/>
      <c r="E24" s="5362"/>
      <c r="F24" s="5362"/>
      <c r="G24" s="5362"/>
      <c r="H24" s="5362"/>
      <c r="I24" s="5362"/>
      <c r="J24" s="5362"/>
      <c r="K24" s="5362"/>
      <c r="L24" s="5362"/>
      <c r="M24" s="5362"/>
      <c r="N24" s="5362"/>
      <c r="O24" s="5362"/>
      <c r="P24" s="5362"/>
      <c r="Q24" s="5362"/>
      <c r="R24" s="5363"/>
      <c r="S24" s="871"/>
      <c r="T24" s="870"/>
      <c r="U24" s="771"/>
      <c r="V24" s="1349"/>
      <c r="W24" s="5361" t="str">
        <f>IF(W22="","",IF(ISNA(VLOOKUP(W22,'Tablas Técnicas'!$AD$6:$AJ$188,5,FALSE)),"-",VLOOKUP(W22,'Tablas Técnicas'!$AD$6:$AJ$188,5,FALSE)))</f>
        <v/>
      </c>
      <c r="X24" s="5362"/>
      <c r="Y24" s="5362"/>
      <c r="Z24" s="5362"/>
      <c r="AA24" s="5362"/>
      <c r="AB24" s="5362"/>
      <c r="AC24" s="5362"/>
      <c r="AD24" s="5362"/>
      <c r="AE24" s="5362"/>
      <c r="AF24" s="5362"/>
      <c r="AG24" s="5362"/>
      <c r="AH24" s="5362"/>
      <c r="AI24" s="5362"/>
      <c r="AJ24" s="5362"/>
      <c r="AK24" s="5362"/>
      <c r="AL24" s="5363"/>
      <c r="AM24" s="871"/>
      <c r="AN24" s="773"/>
      <c r="AO24" s="962"/>
    </row>
    <row r="25" spans="1:43" ht="12" customHeight="1" x14ac:dyDescent="0.2">
      <c r="A25" s="771"/>
      <c r="B25" s="1349"/>
      <c r="C25" s="5364"/>
      <c r="D25" s="5365"/>
      <c r="E25" s="5365"/>
      <c r="F25" s="5365"/>
      <c r="G25" s="5365"/>
      <c r="H25" s="5365"/>
      <c r="I25" s="5365"/>
      <c r="J25" s="5365"/>
      <c r="K25" s="5365"/>
      <c r="L25" s="5365"/>
      <c r="M25" s="5365"/>
      <c r="N25" s="5365"/>
      <c r="O25" s="5365"/>
      <c r="P25" s="5365"/>
      <c r="Q25" s="5365"/>
      <c r="R25" s="5366"/>
      <c r="S25" s="880"/>
      <c r="T25" s="870"/>
      <c r="U25" s="771"/>
      <c r="V25" s="1349"/>
      <c r="W25" s="5364"/>
      <c r="X25" s="5365"/>
      <c r="Y25" s="5365"/>
      <c r="Z25" s="5365"/>
      <c r="AA25" s="5365"/>
      <c r="AB25" s="5365"/>
      <c r="AC25" s="5365"/>
      <c r="AD25" s="5365"/>
      <c r="AE25" s="5365"/>
      <c r="AF25" s="5365"/>
      <c r="AG25" s="5365"/>
      <c r="AH25" s="5365"/>
      <c r="AI25" s="5365"/>
      <c r="AJ25" s="5365"/>
      <c r="AK25" s="5365"/>
      <c r="AL25" s="5366"/>
      <c r="AM25" s="880"/>
      <c r="AN25" s="773"/>
      <c r="AO25" s="962"/>
    </row>
    <row r="26" spans="1:43" ht="12" customHeight="1" x14ac:dyDescent="0.2">
      <c r="A26" s="771"/>
      <c r="B26" s="1349"/>
      <c r="C26" s="5364"/>
      <c r="D26" s="5365"/>
      <c r="E26" s="5365"/>
      <c r="F26" s="5365"/>
      <c r="G26" s="5365"/>
      <c r="H26" s="5365"/>
      <c r="I26" s="5365"/>
      <c r="J26" s="5365"/>
      <c r="K26" s="5365"/>
      <c r="L26" s="5365"/>
      <c r="M26" s="5365"/>
      <c r="N26" s="5365"/>
      <c r="O26" s="5365"/>
      <c r="P26" s="5365"/>
      <c r="Q26" s="5365"/>
      <c r="R26" s="5366"/>
      <c r="S26" s="880"/>
      <c r="T26" s="870"/>
      <c r="U26" s="771"/>
      <c r="V26" s="1349"/>
      <c r="W26" s="5364"/>
      <c r="X26" s="5365"/>
      <c r="Y26" s="5365"/>
      <c r="Z26" s="5365"/>
      <c r="AA26" s="5365"/>
      <c r="AB26" s="5365"/>
      <c r="AC26" s="5365"/>
      <c r="AD26" s="5365"/>
      <c r="AE26" s="5365"/>
      <c r="AF26" s="5365"/>
      <c r="AG26" s="5365"/>
      <c r="AH26" s="5365"/>
      <c r="AI26" s="5365"/>
      <c r="AJ26" s="5365"/>
      <c r="AK26" s="5365"/>
      <c r="AL26" s="5366"/>
      <c r="AM26" s="880"/>
      <c r="AN26" s="773"/>
      <c r="AO26" s="962"/>
    </row>
    <row r="27" spans="1:43" ht="12" customHeight="1" x14ac:dyDescent="0.2">
      <c r="A27" s="771"/>
      <c r="B27" s="1349"/>
      <c r="C27" s="5367"/>
      <c r="D27" s="5368"/>
      <c r="E27" s="5368"/>
      <c r="F27" s="5368"/>
      <c r="G27" s="5368"/>
      <c r="H27" s="5368"/>
      <c r="I27" s="5368"/>
      <c r="J27" s="5368"/>
      <c r="K27" s="5368"/>
      <c r="L27" s="5368"/>
      <c r="M27" s="5368"/>
      <c r="N27" s="5368"/>
      <c r="O27" s="5368"/>
      <c r="P27" s="5368"/>
      <c r="Q27" s="5368"/>
      <c r="R27" s="5369"/>
      <c r="S27" s="880"/>
      <c r="T27" s="870"/>
      <c r="U27" s="771"/>
      <c r="V27" s="1349"/>
      <c r="W27" s="5367"/>
      <c r="X27" s="5368"/>
      <c r="Y27" s="5368"/>
      <c r="Z27" s="5368"/>
      <c r="AA27" s="5368"/>
      <c r="AB27" s="5368"/>
      <c r="AC27" s="5368"/>
      <c r="AD27" s="5368"/>
      <c r="AE27" s="5368"/>
      <c r="AF27" s="5368"/>
      <c r="AG27" s="5368"/>
      <c r="AH27" s="5368"/>
      <c r="AI27" s="5368"/>
      <c r="AJ27" s="5368"/>
      <c r="AK27" s="5368"/>
      <c r="AL27" s="5369"/>
      <c r="AM27" s="880"/>
      <c r="AN27" s="773"/>
      <c r="AO27" s="962"/>
    </row>
    <row r="28" spans="1:43" ht="12" customHeight="1" x14ac:dyDescent="0.2">
      <c r="A28" s="771"/>
      <c r="B28" s="1353"/>
      <c r="C28" s="5370" t="str">
        <f>"Desventajas: "&amp;IF(C22="","",IF(ISNA(VLOOKUP(C22,'Tablas Técnicas'!$AD$6:$AJ$188,6,FALSE)),"-",VLOOKUP(C22,'Tablas Técnicas'!$AD$6:$AJ$188,6,FALSE)))</f>
        <v xml:space="preserve">Desventajas: </v>
      </c>
      <c r="D28" s="5371"/>
      <c r="E28" s="5371"/>
      <c r="F28" s="5371"/>
      <c r="G28" s="5371"/>
      <c r="H28" s="5371"/>
      <c r="I28" s="5371"/>
      <c r="J28" s="5371"/>
      <c r="K28" s="5371"/>
      <c r="L28" s="5371"/>
      <c r="M28" s="5371"/>
      <c r="N28" s="5372"/>
      <c r="O28" s="5376" t="s">
        <v>3500</v>
      </c>
      <c r="P28" s="5377"/>
      <c r="Q28" s="5377"/>
      <c r="R28" s="5378"/>
      <c r="S28" s="803"/>
      <c r="T28" s="771"/>
      <c r="U28" s="771"/>
      <c r="V28" s="1353"/>
      <c r="W28" s="5370" t="str">
        <f>"Desventajas: "&amp;IF(W22="","",IF(ISNA(VLOOKUP(W22,'Tablas Técnicas'!$AD$6:$AJ$188,6,FALSE)),"-",VLOOKUP(W22,'Tablas Técnicas'!$AD$6:$AJ$188,6,FALSE)))</f>
        <v xml:space="preserve">Desventajas: </v>
      </c>
      <c r="X28" s="5371"/>
      <c r="Y28" s="5371"/>
      <c r="Z28" s="5371"/>
      <c r="AA28" s="5371"/>
      <c r="AB28" s="5371"/>
      <c r="AC28" s="5371"/>
      <c r="AD28" s="5371"/>
      <c r="AE28" s="5371"/>
      <c r="AF28" s="5371"/>
      <c r="AG28" s="5371"/>
      <c r="AH28" s="5372"/>
      <c r="AI28" s="5376" t="s">
        <v>3500</v>
      </c>
      <c r="AJ28" s="5377"/>
      <c r="AK28" s="5377"/>
      <c r="AL28" s="5378"/>
      <c r="AM28" s="803"/>
      <c r="AN28" s="773"/>
      <c r="AO28" s="962"/>
    </row>
    <row r="29" spans="1:43" ht="12" customHeight="1" x14ac:dyDescent="0.2">
      <c r="A29" s="771"/>
      <c r="B29" s="1349"/>
      <c r="C29" s="5373"/>
      <c r="D29" s="5374"/>
      <c r="E29" s="5374"/>
      <c r="F29" s="5374"/>
      <c r="G29" s="5374"/>
      <c r="H29" s="5374"/>
      <c r="I29" s="5374"/>
      <c r="J29" s="5374"/>
      <c r="K29" s="5374"/>
      <c r="L29" s="5374"/>
      <c r="M29" s="5374"/>
      <c r="N29" s="5375"/>
      <c r="O29" s="5379"/>
      <c r="P29" s="5380"/>
      <c r="Q29" s="5380"/>
      <c r="R29" s="5381"/>
      <c r="S29" s="803"/>
      <c r="T29" s="771"/>
      <c r="U29" s="771"/>
      <c r="V29" s="1349"/>
      <c r="W29" s="5373"/>
      <c r="X29" s="5374"/>
      <c r="Y29" s="5374"/>
      <c r="Z29" s="5374"/>
      <c r="AA29" s="5374"/>
      <c r="AB29" s="5374"/>
      <c r="AC29" s="5374"/>
      <c r="AD29" s="5374"/>
      <c r="AE29" s="5374"/>
      <c r="AF29" s="5374"/>
      <c r="AG29" s="5374"/>
      <c r="AH29" s="5375"/>
      <c r="AI29" s="5379"/>
      <c r="AJ29" s="5380"/>
      <c r="AK29" s="5380"/>
      <c r="AL29" s="5381"/>
      <c r="AM29" s="803"/>
      <c r="AN29" s="773"/>
      <c r="AO29" s="962"/>
    </row>
    <row r="30" spans="1:43" ht="12" customHeight="1" x14ac:dyDescent="0.2">
      <c r="A30" s="771"/>
      <c r="B30" s="1353"/>
      <c r="C30" s="5388" t="str">
        <f>IF(C22="","",IF(ISNA(VLOOKUP(C22,'Tablas Técnicas'!$AD$6:$AJ$188,4,FALSE)),"-",VLOOKUP(C22,'Tablas Técnicas'!$AD$6:$AJ$188,4,FALSE)))</f>
        <v/>
      </c>
      <c r="D30" s="5389"/>
      <c r="E30" s="5389"/>
      <c r="F30" s="5389"/>
      <c r="G30" s="5389"/>
      <c r="H30" s="5389"/>
      <c r="I30" s="5389"/>
      <c r="J30" s="5389"/>
      <c r="K30" s="5389"/>
      <c r="L30" s="5389"/>
      <c r="M30" s="5389"/>
      <c r="N30" s="5389"/>
      <c r="O30" s="5382"/>
      <c r="P30" s="5383"/>
      <c r="Q30" s="5383"/>
      <c r="R30" s="5384"/>
      <c r="S30" s="803"/>
      <c r="T30" s="771"/>
      <c r="U30" s="771"/>
      <c r="V30" s="1353"/>
      <c r="W30" s="5388" t="str">
        <f>IF(W22="","",IF(ISNA(VLOOKUP(W22,'Tablas Técnicas'!$AD$6:$AJ$188,4,FALSE)),"-",VLOOKUP(W22,'Tablas Técnicas'!$AD$6:$AJ$188,4,FALSE)))</f>
        <v/>
      </c>
      <c r="X30" s="5389"/>
      <c r="Y30" s="5389"/>
      <c r="Z30" s="5389"/>
      <c r="AA30" s="5389"/>
      <c r="AB30" s="5389"/>
      <c r="AC30" s="5389"/>
      <c r="AD30" s="5389"/>
      <c r="AE30" s="5389"/>
      <c r="AF30" s="5389"/>
      <c r="AG30" s="5389"/>
      <c r="AH30" s="5389"/>
      <c r="AI30" s="5382"/>
      <c r="AJ30" s="5383"/>
      <c r="AK30" s="5383"/>
      <c r="AL30" s="5384"/>
      <c r="AM30" s="803"/>
      <c r="AN30" s="773"/>
      <c r="AO30" s="962"/>
    </row>
    <row r="31" spans="1:43" ht="12" customHeight="1" thickBot="1" x14ac:dyDescent="0.25">
      <c r="A31" s="771"/>
      <c r="B31" s="1349"/>
      <c r="C31" s="5390"/>
      <c r="D31" s="5391"/>
      <c r="E31" s="5391"/>
      <c r="F31" s="5391"/>
      <c r="G31" s="5391"/>
      <c r="H31" s="5391"/>
      <c r="I31" s="5391"/>
      <c r="J31" s="5391"/>
      <c r="K31" s="5391"/>
      <c r="L31" s="5391"/>
      <c r="M31" s="5391"/>
      <c r="N31" s="5391"/>
      <c r="O31" s="5385"/>
      <c r="P31" s="5386"/>
      <c r="Q31" s="5386"/>
      <c r="R31" s="5387"/>
      <c r="S31" s="803"/>
      <c r="T31" s="771"/>
      <c r="U31" s="771"/>
      <c r="V31" s="1349"/>
      <c r="W31" s="5390"/>
      <c r="X31" s="5391"/>
      <c r="Y31" s="5391"/>
      <c r="Z31" s="5391"/>
      <c r="AA31" s="5391"/>
      <c r="AB31" s="5391"/>
      <c r="AC31" s="5391"/>
      <c r="AD31" s="5391"/>
      <c r="AE31" s="5391"/>
      <c r="AF31" s="5391"/>
      <c r="AG31" s="5391"/>
      <c r="AH31" s="5391"/>
      <c r="AI31" s="5385"/>
      <c r="AJ31" s="5386"/>
      <c r="AK31" s="5386"/>
      <c r="AL31" s="5387"/>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92" t="s">
        <v>8177</v>
      </c>
      <c r="D33" s="5393"/>
      <c r="E33" s="5393"/>
      <c r="F33" s="5393"/>
      <c r="G33" s="5393"/>
      <c r="H33" s="5393"/>
      <c r="I33" s="5393"/>
      <c r="J33" s="5393"/>
      <c r="K33" s="5393"/>
      <c r="L33" s="5393"/>
      <c r="M33" s="5393"/>
      <c r="N33" s="5393"/>
      <c r="O33" s="5393"/>
      <c r="P33" s="5393"/>
      <c r="Q33" s="5394"/>
      <c r="R33" s="5395">
        <f>IF(C33="","",IF(ISNA(VLOOKUP(C33,'Tablas Técnicas'!$AD$6:$AJ$188,3,FALSE)),"-",VLOOKUP(C33,'Tablas Técnicas'!$AD$6:$AJ$188,3,FALSE)))</f>
        <v>0</v>
      </c>
      <c r="S33" s="858"/>
      <c r="T33" s="771"/>
      <c r="U33" s="771"/>
      <c r="V33" s="1349">
        <v>8</v>
      </c>
      <c r="W33" s="5392" t="s">
        <v>8177</v>
      </c>
      <c r="X33" s="5393"/>
      <c r="Y33" s="5393"/>
      <c r="Z33" s="5393"/>
      <c r="AA33" s="5393"/>
      <c r="AB33" s="5393"/>
      <c r="AC33" s="5393"/>
      <c r="AD33" s="5393"/>
      <c r="AE33" s="5393"/>
      <c r="AF33" s="5393"/>
      <c r="AG33" s="5393"/>
      <c r="AH33" s="5393"/>
      <c r="AI33" s="5393"/>
      <c r="AJ33" s="5393"/>
      <c r="AK33" s="5394"/>
      <c r="AL33" s="5395">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2175</v>
      </c>
      <c r="F34" s="5397"/>
      <c r="G34" s="5397"/>
      <c r="H34" s="5397"/>
      <c r="I34" s="5398" t="s">
        <v>3480</v>
      </c>
      <c r="J34" s="5398"/>
      <c r="K34" s="5398"/>
      <c r="L34" s="5399" t="str">
        <f>IF(C33="","",IF(ISNA(VLOOKUP(C33,'Tablas Técnicas'!$AD$6:$AJ$188,7,FALSE)),"-",VLOOKUP(C33,'Tablas Técnicas'!$AD$6:$AJ$188,7,FALSE)))</f>
        <v/>
      </c>
      <c r="M34" s="5399"/>
      <c r="N34" s="5399"/>
      <c r="O34" s="5399"/>
      <c r="P34" s="5399"/>
      <c r="Q34" s="5400"/>
      <c r="R34" s="5396"/>
      <c r="S34" s="803"/>
      <c r="T34" s="771"/>
      <c r="U34" s="771"/>
      <c r="V34" s="1349"/>
      <c r="W34" s="864" t="s">
        <v>1630</v>
      </c>
      <c r="X34" s="865">
        <f>IF(W33="","",IF(ISNA(VLOOKUP(W33,'Tablas Técnicas'!$AD$6:$AJ$188,2,FALSE)),"-",VLOOKUP(W33,'Tablas Técnicas'!$AD$6:$AJ$188,2,FALSE)))</f>
        <v>1</v>
      </c>
      <c r="Y34" s="866" t="s">
        <v>2175</v>
      </c>
      <c r="Z34" s="5397"/>
      <c r="AA34" s="5397"/>
      <c r="AB34" s="5397"/>
      <c r="AC34" s="5398" t="s">
        <v>3480</v>
      </c>
      <c r="AD34" s="5398"/>
      <c r="AE34" s="5398"/>
      <c r="AF34" s="5399" t="str">
        <f>IF(W33="","",IF(ISNA(VLOOKUP(W33,'Tablas Técnicas'!$AD$6:$AJ$188,7,FALSE)),"-",VLOOKUP(W33,'Tablas Técnicas'!$AD$6:$AJ$188,7,FALSE)))</f>
        <v/>
      </c>
      <c r="AG34" s="5399"/>
      <c r="AH34" s="5399"/>
      <c r="AI34" s="5399"/>
      <c r="AJ34" s="5399"/>
      <c r="AK34" s="5400"/>
      <c r="AL34" s="5396"/>
      <c r="AM34" s="803"/>
      <c r="AN34" s="773"/>
      <c r="AO34" s="962"/>
    </row>
    <row r="35" spans="1:41" ht="12" customHeight="1" x14ac:dyDescent="0.2">
      <c r="A35" s="771"/>
      <c r="B35" s="1349"/>
      <c r="C35" s="5361" t="str">
        <f>IF(C33="","",IF(ISNA(VLOOKUP(C33,'Tablas Técnicas'!$AD$6:$AJ$188,5,FALSE)),"-",VLOOKUP(C33,'Tablas Técnicas'!$AD$6:$AJ$188,5,FALSE)))</f>
        <v/>
      </c>
      <c r="D35" s="5362"/>
      <c r="E35" s="5362"/>
      <c r="F35" s="5362"/>
      <c r="G35" s="5362"/>
      <c r="H35" s="5362"/>
      <c r="I35" s="5362"/>
      <c r="J35" s="5362"/>
      <c r="K35" s="5362"/>
      <c r="L35" s="5362"/>
      <c r="M35" s="5362"/>
      <c r="N35" s="5362"/>
      <c r="O35" s="5362"/>
      <c r="P35" s="5362"/>
      <c r="Q35" s="5362"/>
      <c r="R35" s="5363"/>
      <c r="S35" s="871"/>
      <c r="T35" s="870"/>
      <c r="U35" s="771"/>
      <c r="V35" s="1349"/>
      <c r="W35" s="5361" t="str">
        <f>IF(W33="","",IF(ISNA(VLOOKUP(W33,'Tablas Técnicas'!$AD$6:$AJ$188,5,FALSE)),"-",VLOOKUP(W33,'Tablas Técnicas'!$AD$6:$AJ$188,5,FALSE)))</f>
        <v/>
      </c>
      <c r="X35" s="5362"/>
      <c r="Y35" s="5362"/>
      <c r="Z35" s="5362"/>
      <c r="AA35" s="5362"/>
      <c r="AB35" s="5362"/>
      <c r="AC35" s="5362"/>
      <c r="AD35" s="5362"/>
      <c r="AE35" s="5362"/>
      <c r="AF35" s="5362"/>
      <c r="AG35" s="5362"/>
      <c r="AH35" s="5362"/>
      <c r="AI35" s="5362"/>
      <c r="AJ35" s="5362"/>
      <c r="AK35" s="5362"/>
      <c r="AL35" s="5363"/>
      <c r="AM35" s="871"/>
      <c r="AN35" s="773"/>
      <c r="AO35" s="962"/>
    </row>
    <row r="36" spans="1:41" ht="12" customHeight="1" x14ac:dyDescent="0.2">
      <c r="A36" s="771"/>
      <c r="B36" s="1349"/>
      <c r="C36" s="5364"/>
      <c r="D36" s="5365"/>
      <c r="E36" s="5365"/>
      <c r="F36" s="5365"/>
      <c r="G36" s="5365"/>
      <c r="H36" s="5365"/>
      <c r="I36" s="5365"/>
      <c r="J36" s="5365"/>
      <c r="K36" s="5365"/>
      <c r="L36" s="5365"/>
      <c r="M36" s="5365"/>
      <c r="N36" s="5365"/>
      <c r="O36" s="5365"/>
      <c r="P36" s="5365"/>
      <c r="Q36" s="5365"/>
      <c r="R36" s="5366"/>
      <c r="S36" s="880"/>
      <c r="T36" s="870"/>
      <c r="U36" s="771"/>
      <c r="V36" s="1349"/>
      <c r="W36" s="5364"/>
      <c r="X36" s="5365"/>
      <c r="Y36" s="5365"/>
      <c r="Z36" s="5365"/>
      <c r="AA36" s="5365"/>
      <c r="AB36" s="5365"/>
      <c r="AC36" s="5365"/>
      <c r="AD36" s="5365"/>
      <c r="AE36" s="5365"/>
      <c r="AF36" s="5365"/>
      <c r="AG36" s="5365"/>
      <c r="AH36" s="5365"/>
      <c r="AI36" s="5365"/>
      <c r="AJ36" s="5365"/>
      <c r="AK36" s="5365"/>
      <c r="AL36" s="5366"/>
      <c r="AM36" s="880"/>
      <c r="AN36" s="773"/>
      <c r="AO36" s="962"/>
    </row>
    <row r="37" spans="1:41" ht="12" customHeight="1" x14ac:dyDescent="0.2">
      <c r="A37" s="771"/>
      <c r="B37" s="1349"/>
      <c r="C37" s="5364"/>
      <c r="D37" s="5365"/>
      <c r="E37" s="5365"/>
      <c r="F37" s="5365"/>
      <c r="G37" s="5365"/>
      <c r="H37" s="5365"/>
      <c r="I37" s="5365"/>
      <c r="J37" s="5365"/>
      <c r="K37" s="5365"/>
      <c r="L37" s="5365"/>
      <c r="M37" s="5365"/>
      <c r="N37" s="5365"/>
      <c r="O37" s="5365"/>
      <c r="P37" s="5365"/>
      <c r="Q37" s="5365"/>
      <c r="R37" s="5366"/>
      <c r="S37" s="880"/>
      <c r="T37" s="870"/>
      <c r="U37" s="771"/>
      <c r="V37" s="1349"/>
      <c r="W37" s="5364"/>
      <c r="X37" s="5365"/>
      <c r="Y37" s="5365"/>
      <c r="Z37" s="5365"/>
      <c r="AA37" s="5365"/>
      <c r="AB37" s="5365"/>
      <c r="AC37" s="5365"/>
      <c r="AD37" s="5365"/>
      <c r="AE37" s="5365"/>
      <c r="AF37" s="5365"/>
      <c r="AG37" s="5365"/>
      <c r="AH37" s="5365"/>
      <c r="AI37" s="5365"/>
      <c r="AJ37" s="5365"/>
      <c r="AK37" s="5365"/>
      <c r="AL37" s="5366"/>
      <c r="AM37" s="880"/>
      <c r="AN37" s="773"/>
      <c r="AO37" s="962"/>
    </row>
    <row r="38" spans="1:41" ht="12" customHeight="1" x14ac:dyDescent="0.2">
      <c r="A38" s="771"/>
      <c r="B38" s="1349"/>
      <c r="C38" s="5367"/>
      <c r="D38" s="5368"/>
      <c r="E38" s="5368"/>
      <c r="F38" s="5368"/>
      <c r="G38" s="5368"/>
      <c r="H38" s="5368"/>
      <c r="I38" s="5368"/>
      <c r="J38" s="5368"/>
      <c r="K38" s="5368"/>
      <c r="L38" s="5368"/>
      <c r="M38" s="5368"/>
      <c r="N38" s="5368"/>
      <c r="O38" s="5368"/>
      <c r="P38" s="5368"/>
      <c r="Q38" s="5368"/>
      <c r="R38" s="5369"/>
      <c r="S38" s="880"/>
      <c r="T38" s="870"/>
      <c r="U38" s="771"/>
      <c r="V38" s="1349"/>
      <c r="W38" s="5367"/>
      <c r="X38" s="5368"/>
      <c r="Y38" s="5368"/>
      <c r="Z38" s="5368"/>
      <c r="AA38" s="5368"/>
      <c r="AB38" s="5368"/>
      <c r="AC38" s="5368"/>
      <c r="AD38" s="5368"/>
      <c r="AE38" s="5368"/>
      <c r="AF38" s="5368"/>
      <c r="AG38" s="5368"/>
      <c r="AH38" s="5368"/>
      <c r="AI38" s="5368"/>
      <c r="AJ38" s="5368"/>
      <c r="AK38" s="5368"/>
      <c r="AL38" s="5369"/>
      <c r="AM38" s="880"/>
      <c r="AN38" s="773"/>
      <c r="AO38" s="962"/>
    </row>
    <row r="39" spans="1:41" ht="12" customHeight="1" x14ac:dyDescent="0.2">
      <c r="A39" s="771"/>
      <c r="B39" s="1353"/>
      <c r="C39" s="5370" t="str">
        <f>"Desventajas: "&amp;IF(C33="","",IF(ISNA(VLOOKUP(C33,'Tablas Técnicas'!$AD$6:$AJ$188,6,FALSE)),"-",VLOOKUP(C33,'Tablas Técnicas'!$AD$6:$AJ$188,6,FALSE)))</f>
        <v xml:space="preserve">Desventajas: </v>
      </c>
      <c r="D39" s="5371"/>
      <c r="E39" s="5371"/>
      <c r="F39" s="5371"/>
      <c r="G39" s="5371"/>
      <c r="H39" s="5371"/>
      <c r="I39" s="5371"/>
      <c r="J39" s="5371"/>
      <c r="K39" s="5371"/>
      <c r="L39" s="5371"/>
      <c r="M39" s="5371"/>
      <c r="N39" s="5372"/>
      <c r="O39" s="5376" t="s">
        <v>3500</v>
      </c>
      <c r="P39" s="5377"/>
      <c r="Q39" s="5377"/>
      <c r="R39" s="5378"/>
      <c r="S39" s="803"/>
      <c r="T39" s="771"/>
      <c r="U39" s="771"/>
      <c r="V39" s="1353"/>
      <c r="W39" s="5370" t="str">
        <f>"Desventajas: "&amp;IF(W33="","",IF(ISNA(VLOOKUP(W33,'Tablas Técnicas'!$AD$6:$AJ$188,6,FALSE)),"-",VLOOKUP(W33,'Tablas Técnicas'!$AD$6:$AJ$188,6,FALSE)))</f>
        <v xml:space="preserve">Desventajas: </v>
      </c>
      <c r="X39" s="5371"/>
      <c r="Y39" s="5371"/>
      <c r="Z39" s="5371"/>
      <c r="AA39" s="5371"/>
      <c r="AB39" s="5371"/>
      <c r="AC39" s="5371"/>
      <c r="AD39" s="5371"/>
      <c r="AE39" s="5371"/>
      <c r="AF39" s="5371"/>
      <c r="AG39" s="5371"/>
      <c r="AH39" s="5372"/>
      <c r="AI39" s="5376" t="s">
        <v>3500</v>
      </c>
      <c r="AJ39" s="5377"/>
      <c r="AK39" s="5377"/>
      <c r="AL39" s="5378"/>
      <c r="AM39" s="803"/>
      <c r="AN39" s="773"/>
      <c r="AO39" s="962"/>
    </row>
    <row r="40" spans="1:41" ht="12" customHeight="1" x14ac:dyDescent="0.2">
      <c r="A40" s="771"/>
      <c r="B40" s="1349"/>
      <c r="C40" s="5373"/>
      <c r="D40" s="5374"/>
      <c r="E40" s="5374"/>
      <c r="F40" s="5374"/>
      <c r="G40" s="5374"/>
      <c r="H40" s="5374"/>
      <c r="I40" s="5374"/>
      <c r="J40" s="5374"/>
      <c r="K40" s="5374"/>
      <c r="L40" s="5374"/>
      <c r="M40" s="5374"/>
      <c r="N40" s="5375"/>
      <c r="O40" s="5379"/>
      <c r="P40" s="5380"/>
      <c r="Q40" s="5380"/>
      <c r="R40" s="5381"/>
      <c r="S40" s="803"/>
      <c r="T40" s="771"/>
      <c r="U40" s="771"/>
      <c r="V40" s="1349"/>
      <c r="W40" s="5373"/>
      <c r="X40" s="5374"/>
      <c r="Y40" s="5374"/>
      <c r="Z40" s="5374"/>
      <c r="AA40" s="5374"/>
      <c r="AB40" s="5374"/>
      <c r="AC40" s="5374"/>
      <c r="AD40" s="5374"/>
      <c r="AE40" s="5374"/>
      <c r="AF40" s="5374"/>
      <c r="AG40" s="5374"/>
      <c r="AH40" s="5375"/>
      <c r="AI40" s="5379"/>
      <c r="AJ40" s="5380"/>
      <c r="AK40" s="5380"/>
      <c r="AL40" s="5381"/>
      <c r="AM40" s="803"/>
      <c r="AN40" s="773"/>
      <c r="AO40" s="962"/>
    </row>
    <row r="41" spans="1:41" ht="12" customHeight="1" x14ac:dyDescent="0.2">
      <c r="A41" s="771"/>
      <c r="B41" s="1353"/>
      <c r="C41" s="5388" t="str">
        <f>IF(C33="","",IF(ISNA(VLOOKUP(C33,'Tablas Técnicas'!$AD$6:$AJ$188,4,FALSE)),"-",VLOOKUP(C33,'Tablas Técnicas'!$AD$6:$AJ$188,4,FALSE)))</f>
        <v/>
      </c>
      <c r="D41" s="5389"/>
      <c r="E41" s="5389"/>
      <c r="F41" s="5389"/>
      <c r="G41" s="5389"/>
      <c r="H41" s="5389"/>
      <c r="I41" s="5389"/>
      <c r="J41" s="5389"/>
      <c r="K41" s="5389"/>
      <c r="L41" s="5389"/>
      <c r="M41" s="5389"/>
      <c r="N41" s="5389"/>
      <c r="O41" s="5382"/>
      <c r="P41" s="5383"/>
      <c r="Q41" s="5383"/>
      <c r="R41" s="5384"/>
      <c r="S41" s="803"/>
      <c r="T41" s="771"/>
      <c r="U41" s="771"/>
      <c r="V41" s="1353"/>
      <c r="W41" s="5388" t="str">
        <f>IF(W33="","",IF(ISNA(VLOOKUP(W33,'Tablas Técnicas'!$AD$6:$AJ$188,4,FALSE)),"-",VLOOKUP(W33,'Tablas Técnicas'!$AD$6:$AJ$188,4,FALSE)))</f>
        <v/>
      </c>
      <c r="X41" s="5389"/>
      <c r="Y41" s="5389"/>
      <c r="Z41" s="5389"/>
      <c r="AA41" s="5389"/>
      <c r="AB41" s="5389"/>
      <c r="AC41" s="5389"/>
      <c r="AD41" s="5389"/>
      <c r="AE41" s="5389"/>
      <c r="AF41" s="5389"/>
      <c r="AG41" s="5389"/>
      <c r="AH41" s="5389"/>
      <c r="AI41" s="5382"/>
      <c r="AJ41" s="5383"/>
      <c r="AK41" s="5383"/>
      <c r="AL41" s="5384"/>
      <c r="AM41" s="803"/>
      <c r="AN41" s="773"/>
      <c r="AO41" s="962"/>
    </row>
    <row r="42" spans="1:41" ht="12" customHeight="1" thickBot="1" x14ac:dyDescent="0.25">
      <c r="A42" s="771"/>
      <c r="B42" s="1349"/>
      <c r="C42" s="5390"/>
      <c r="D42" s="5391"/>
      <c r="E42" s="5391"/>
      <c r="F42" s="5391"/>
      <c r="G42" s="5391"/>
      <c r="H42" s="5391"/>
      <c r="I42" s="5391"/>
      <c r="J42" s="5391"/>
      <c r="K42" s="5391"/>
      <c r="L42" s="5391"/>
      <c r="M42" s="5391"/>
      <c r="N42" s="5391"/>
      <c r="O42" s="5385"/>
      <c r="P42" s="5386"/>
      <c r="Q42" s="5386"/>
      <c r="R42" s="5387"/>
      <c r="S42" s="803"/>
      <c r="T42" s="771"/>
      <c r="U42" s="771"/>
      <c r="V42" s="1349"/>
      <c r="W42" s="5390"/>
      <c r="X42" s="5391"/>
      <c r="Y42" s="5391"/>
      <c r="Z42" s="5391"/>
      <c r="AA42" s="5391"/>
      <c r="AB42" s="5391"/>
      <c r="AC42" s="5391"/>
      <c r="AD42" s="5391"/>
      <c r="AE42" s="5391"/>
      <c r="AF42" s="5391"/>
      <c r="AG42" s="5391"/>
      <c r="AH42" s="5391"/>
      <c r="AI42" s="5385"/>
      <c r="AJ42" s="5386"/>
      <c r="AK42" s="5386"/>
      <c r="AL42" s="5387"/>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92" t="s">
        <v>8177</v>
      </c>
      <c r="D44" s="5393"/>
      <c r="E44" s="5393"/>
      <c r="F44" s="5393"/>
      <c r="G44" s="5393"/>
      <c r="H44" s="5393"/>
      <c r="I44" s="5393"/>
      <c r="J44" s="5393"/>
      <c r="K44" s="5393"/>
      <c r="L44" s="5393"/>
      <c r="M44" s="5393"/>
      <c r="N44" s="5393"/>
      <c r="O44" s="5393"/>
      <c r="P44" s="5393"/>
      <c r="Q44" s="5394"/>
      <c r="R44" s="5395">
        <f>IF(C44="","",IF(ISNA(VLOOKUP(C44,'Tablas Técnicas'!$AD$6:$AJ$188,3,FALSE)),"-",VLOOKUP(C44,'Tablas Técnicas'!$AD$6:$AJ$188,3,FALSE)))</f>
        <v>0</v>
      </c>
      <c r="S44" s="858"/>
      <c r="T44" s="771"/>
      <c r="U44" s="771"/>
      <c r="V44" s="1349">
        <v>9</v>
      </c>
      <c r="W44" s="5392" t="s">
        <v>8177</v>
      </c>
      <c r="X44" s="5393"/>
      <c r="Y44" s="5393"/>
      <c r="Z44" s="5393"/>
      <c r="AA44" s="5393"/>
      <c r="AB44" s="5393"/>
      <c r="AC44" s="5393"/>
      <c r="AD44" s="5393"/>
      <c r="AE44" s="5393"/>
      <c r="AF44" s="5393"/>
      <c r="AG44" s="5393"/>
      <c r="AH44" s="5393"/>
      <c r="AI44" s="5393"/>
      <c r="AJ44" s="5393"/>
      <c r="AK44" s="5394"/>
      <c r="AL44" s="5395">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2175</v>
      </c>
      <c r="F45" s="5397"/>
      <c r="G45" s="5397"/>
      <c r="H45" s="5397"/>
      <c r="I45" s="5398" t="s">
        <v>3480</v>
      </c>
      <c r="J45" s="5398"/>
      <c r="K45" s="5398"/>
      <c r="L45" s="5399" t="str">
        <f>IF(C44="","",IF(ISNA(VLOOKUP(C44,'Tablas Técnicas'!$AD$6:$AJ$188,7,FALSE)),"-",VLOOKUP(C44,'Tablas Técnicas'!$AD$6:$AJ$188,7,FALSE)))</f>
        <v/>
      </c>
      <c r="M45" s="5399"/>
      <c r="N45" s="5399"/>
      <c r="O45" s="5399"/>
      <c r="P45" s="5399"/>
      <c r="Q45" s="5400"/>
      <c r="R45" s="5396"/>
      <c r="S45" s="803"/>
      <c r="T45" s="771"/>
      <c r="U45" s="771"/>
      <c r="V45" s="1349"/>
      <c r="W45" s="864" t="s">
        <v>1630</v>
      </c>
      <c r="X45" s="865">
        <f>IF(W44="","",IF(ISNA(VLOOKUP(W44,'Tablas Técnicas'!$AD$6:$AJ$188,2,FALSE)),"-",VLOOKUP(W44,'Tablas Técnicas'!$AD$6:$AJ$188,2,FALSE)))</f>
        <v>1</v>
      </c>
      <c r="Y45" s="866" t="s">
        <v>2175</v>
      </c>
      <c r="Z45" s="5397"/>
      <c r="AA45" s="5397"/>
      <c r="AB45" s="5397"/>
      <c r="AC45" s="5398" t="s">
        <v>3480</v>
      </c>
      <c r="AD45" s="5398"/>
      <c r="AE45" s="5398"/>
      <c r="AF45" s="5399" t="str">
        <f>IF(W44="","",IF(ISNA(VLOOKUP(W44,'Tablas Técnicas'!$AD$6:$AJ$188,7,FALSE)),"-",VLOOKUP(W44,'Tablas Técnicas'!$AD$6:$AJ$188,7,FALSE)))</f>
        <v/>
      </c>
      <c r="AG45" s="5399"/>
      <c r="AH45" s="5399"/>
      <c r="AI45" s="5399"/>
      <c r="AJ45" s="5399"/>
      <c r="AK45" s="5400"/>
      <c r="AL45" s="5396"/>
      <c r="AM45" s="803"/>
      <c r="AN45" s="773"/>
      <c r="AO45" s="962"/>
    </row>
    <row r="46" spans="1:41" ht="12" customHeight="1" x14ac:dyDescent="0.2">
      <c r="A46" s="771"/>
      <c r="B46" s="1349"/>
      <c r="C46" s="5361" t="str">
        <f>IF(C44="","",IF(ISNA(VLOOKUP(C44,'Tablas Técnicas'!$AD$6:$AJ$188,5,FALSE)),"-",VLOOKUP(C44,'Tablas Técnicas'!$AD$6:$AJ$188,5,FALSE)))</f>
        <v/>
      </c>
      <c r="D46" s="5362"/>
      <c r="E46" s="5362"/>
      <c r="F46" s="5362"/>
      <c r="G46" s="5362"/>
      <c r="H46" s="5362"/>
      <c r="I46" s="5362"/>
      <c r="J46" s="5362"/>
      <c r="K46" s="5362"/>
      <c r="L46" s="5362"/>
      <c r="M46" s="5362"/>
      <c r="N46" s="5362"/>
      <c r="O46" s="5362"/>
      <c r="P46" s="5362"/>
      <c r="Q46" s="5362"/>
      <c r="R46" s="5363"/>
      <c r="S46" s="871"/>
      <c r="T46" s="870"/>
      <c r="U46" s="771"/>
      <c r="V46" s="1349"/>
      <c r="W46" s="5361" t="str">
        <f>IF(W44="","",IF(ISNA(VLOOKUP(W44,'Tablas Técnicas'!$AD$6:$AJ$188,5,FALSE)),"-",VLOOKUP(W44,'Tablas Técnicas'!$AD$6:$AJ$188,5,FALSE)))</f>
        <v/>
      </c>
      <c r="X46" s="5362"/>
      <c r="Y46" s="5362"/>
      <c r="Z46" s="5362"/>
      <c r="AA46" s="5362"/>
      <c r="AB46" s="5362"/>
      <c r="AC46" s="5362"/>
      <c r="AD46" s="5362"/>
      <c r="AE46" s="5362"/>
      <c r="AF46" s="5362"/>
      <c r="AG46" s="5362"/>
      <c r="AH46" s="5362"/>
      <c r="AI46" s="5362"/>
      <c r="AJ46" s="5362"/>
      <c r="AK46" s="5362"/>
      <c r="AL46" s="5363"/>
      <c r="AM46" s="871"/>
      <c r="AN46" s="773"/>
      <c r="AO46" s="962"/>
    </row>
    <row r="47" spans="1:41" ht="12" customHeight="1" x14ac:dyDescent="0.2">
      <c r="A47" s="771"/>
      <c r="B47" s="1349"/>
      <c r="C47" s="5364"/>
      <c r="D47" s="5365"/>
      <c r="E47" s="5365"/>
      <c r="F47" s="5365"/>
      <c r="G47" s="5365"/>
      <c r="H47" s="5365"/>
      <c r="I47" s="5365"/>
      <c r="J47" s="5365"/>
      <c r="K47" s="5365"/>
      <c r="L47" s="5365"/>
      <c r="M47" s="5365"/>
      <c r="N47" s="5365"/>
      <c r="O47" s="5365"/>
      <c r="P47" s="5365"/>
      <c r="Q47" s="5365"/>
      <c r="R47" s="5366"/>
      <c r="S47" s="880"/>
      <c r="T47" s="870"/>
      <c r="U47" s="771"/>
      <c r="V47" s="1349"/>
      <c r="W47" s="5364"/>
      <c r="X47" s="5365"/>
      <c r="Y47" s="5365"/>
      <c r="Z47" s="5365"/>
      <c r="AA47" s="5365"/>
      <c r="AB47" s="5365"/>
      <c r="AC47" s="5365"/>
      <c r="AD47" s="5365"/>
      <c r="AE47" s="5365"/>
      <c r="AF47" s="5365"/>
      <c r="AG47" s="5365"/>
      <c r="AH47" s="5365"/>
      <c r="AI47" s="5365"/>
      <c r="AJ47" s="5365"/>
      <c r="AK47" s="5365"/>
      <c r="AL47" s="5366"/>
      <c r="AM47" s="880"/>
      <c r="AN47" s="773"/>
      <c r="AO47" s="962"/>
    </row>
    <row r="48" spans="1:41" ht="12" customHeight="1" x14ac:dyDescent="0.2">
      <c r="A48" s="771"/>
      <c r="B48" s="1349"/>
      <c r="C48" s="5364"/>
      <c r="D48" s="5365"/>
      <c r="E48" s="5365"/>
      <c r="F48" s="5365"/>
      <c r="G48" s="5365"/>
      <c r="H48" s="5365"/>
      <c r="I48" s="5365"/>
      <c r="J48" s="5365"/>
      <c r="K48" s="5365"/>
      <c r="L48" s="5365"/>
      <c r="M48" s="5365"/>
      <c r="N48" s="5365"/>
      <c r="O48" s="5365"/>
      <c r="P48" s="5365"/>
      <c r="Q48" s="5365"/>
      <c r="R48" s="5366"/>
      <c r="S48" s="880"/>
      <c r="T48" s="870"/>
      <c r="U48" s="771"/>
      <c r="V48" s="1349"/>
      <c r="W48" s="5364"/>
      <c r="X48" s="5365"/>
      <c r="Y48" s="5365"/>
      <c r="Z48" s="5365"/>
      <c r="AA48" s="5365"/>
      <c r="AB48" s="5365"/>
      <c r="AC48" s="5365"/>
      <c r="AD48" s="5365"/>
      <c r="AE48" s="5365"/>
      <c r="AF48" s="5365"/>
      <c r="AG48" s="5365"/>
      <c r="AH48" s="5365"/>
      <c r="AI48" s="5365"/>
      <c r="AJ48" s="5365"/>
      <c r="AK48" s="5365"/>
      <c r="AL48" s="5366"/>
      <c r="AM48" s="880"/>
      <c r="AN48" s="773"/>
      <c r="AO48" s="962"/>
    </row>
    <row r="49" spans="1:41" ht="12" customHeight="1" x14ac:dyDescent="0.2">
      <c r="A49" s="771"/>
      <c r="B49" s="1349"/>
      <c r="C49" s="5367"/>
      <c r="D49" s="5368"/>
      <c r="E49" s="5368"/>
      <c r="F49" s="5368"/>
      <c r="G49" s="5368"/>
      <c r="H49" s="5368"/>
      <c r="I49" s="5368"/>
      <c r="J49" s="5368"/>
      <c r="K49" s="5368"/>
      <c r="L49" s="5368"/>
      <c r="M49" s="5368"/>
      <c r="N49" s="5368"/>
      <c r="O49" s="5368"/>
      <c r="P49" s="5368"/>
      <c r="Q49" s="5368"/>
      <c r="R49" s="5369"/>
      <c r="S49" s="880"/>
      <c r="T49" s="870"/>
      <c r="U49" s="771"/>
      <c r="V49" s="1349"/>
      <c r="W49" s="5367"/>
      <c r="X49" s="5368"/>
      <c r="Y49" s="5368"/>
      <c r="Z49" s="5368"/>
      <c r="AA49" s="5368"/>
      <c r="AB49" s="5368"/>
      <c r="AC49" s="5368"/>
      <c r="AD49" s="5368"/>
      <c r="AE49" s="5368"/>
      <c r="AF49" s="5368"/>
      <c r="AG49" s="5368"/>
      <c r="AH49" s="5368"/>
      <c r="AI49" s="5368"/>
      <c r="AJ49" s="5368"/>
      <c r="AK49" s="5368"/>
      <c r="AL49" s="5369"/>
      <c r="AM49" s="880"/>
      <c r="AN49" s="773"/>
      <c r="AO49" s="962"/>
    </row>
    <row r="50" spans="1:41" ht="12" customHeight="1" x14ac:dyDescent="0.2">
      <c r="A50" s="771"/>
      <c r="B50" s="1353"/>
      <c r="C50" s="5370" t="str">
        <f>"Desventajas: "&amp;IF(C44="","",IF(ISNA(VLOOKUP(C44,'Tablas Técnicas'!$AD$6:$AJ$188,6,FALSE)),"-",VLOOKUP(C44,'Tablas Técnicas'!$AD$6:$AJ$188,6,FALSE)))</f>
        <v xml:space="preserve">Desventajas: </v>
      </c>
      <c r="D50" s="5371"/>
      <c r="E50" s="5371"/>
      <c r="F50" s="5371"/>
      <c r="G50" s="5371"/>
      <c r="H50" s="5371"/>
      <c r="I50" s="5371"/>
      <c r="J50" s="5371"/>
      <c r="K50" s="5371"/>
      <c r="L50" s="5371"/>
      <c r="M50" s="5371"/>
      <c r="N50" s="5372"/>
      <c r="O50" s="5376" t="s">
        <v>3500</v>
      </c>
      <c r="P50" s="5377"/>
      <c r="Q50" s="5377"/>
      <c r="R50" s="5378"/>
      <c r="S50" s="803"/>
      <c r="T50" s="771"/>
      <c r="U50" s="771"/>
      <c r="V50" s="1353"/>
      <c r="W50" s="5370" t="str">
        <f>"Desventajas: "&amp;IF(W44="","",IF(ISNA(VLOOKUP(W44,'Tablas Técnicas'!$AD$6:$AJ$188,6,FALSE)),"-",VLOOKUP(W44,'Tablas Técnicas'!$AD$6:$AJ$188,6,FALSE)))</f>
        <v xml:space="preserve">Desventajas: </v>
      </c>
      <c r="X50" s="5371"/>
      <c r="Y50" s="5371"/>
      <c r="Z50" s="5371"/>
      <c r="AA50" s="5371"/>
      <c r="AB50" s="5371"/>
      <c r="AC50" s="5371"/>
      <c r="AD50" s="5371"/>
      <c r="AE50" s="5371"/>
      <c r="AF50" s="5371"/>
      <c r="AG50" s="5371"/>
      <c r="AH50" s="5372"/>
      <c r="AI50" s="5376" t="s">
        <v>3500</v>
      </c>
      <c r="AJ50" s="5377"/>
      <c r="AK50" s="5377"/>
      <c r="AL50" s="5378"/>
      <c r="AM50" s="803"/>
      <c r="AN50" s="773"/>
      <c r="AO50" s="962"/>
    </row>
    <row r="51" spans="1:41" ht="12" customHeight="1" x14ac:dyDescent="0.2">
      <c r="A51" s="771"/>
      <c r="B51" s="1349"/>
      <c r="C51" s="5373"/>
      <c r="D51" s="5374"/>
      <c r="E51" s="5374"/>
      <c r="F51" s="5374"/>
      <c r="G51" s="5374"/>
      <c r="H51" s="5374"/>
      <c r="I51" s="5374"/>
      <c r="J51" s="5374"/>
      <c r="K51" s="5374"/>
      <c r="L51" s="5374"/>
      <c r="M51" s="5374"/>
      <c r="N51" s="5375"/>
      <c r="O51" s="5379"/>
      <c r="P51" s="5380"/>
      <c r="Q51" s="5380"/>
      <c r="R51" s="5381"/>
      <c r="S51" s="803"/>
      <c r="T51" s="771"/>
      <c r="U51" s="771"/>
      <c r="V51" s="1349"/>
      <c r="W51" s="5373"/>
      <c r="X51" s="5374"/>
      <c r="Y51" s="5374"/>
      <c r="Z51" s="5374"/>
      <c r="AA51" s="5374"/>
      <c r="AB51" s="5374"/>
      <c r="AC51" s="5374"/>
      <c r="AD51" s="5374"/>
      <c r="AE51" s="5374"/>
      <c r="AF51" s="5374"/>
      <c r="AG51" s="5374"/>
      <c r="AH51" s="5375"/>
      <c r="AI51" s="5379"/>
      <c r="AJ51" s="5380"/>
      <c r="AK51" s="5380"/>
      <c r="AL51" s="5381"/>
      <c r="AM51" s="803"/>
      <c r="AN51" s="773"/>
      <c r="AO51" s="962"/>
    </row>
    <row r="52" spans="1:41" ht="12" customHeight="1" x14ac:dyDescent="0.2">
      <c r="A52" s="771"/>
      <c r="B52" s="1353"/>
      <c r="C52" s="5388" t="str">
        <f>IF(C44="","",IF(ISNA(VLOOKUP(C44,'Tablas Técnicas'!$AD$6:$AJ$188,4,FALSE)),"-",VLOOKUP(C44,'Tablas Técnicas'!$AD$6:$AJ$188,4,FALSE)))</f>
        <v/>
      </c>
      <c r="D52" s="5389"/>
      <c r="E52" s="5389"/>
      <c r="F52" s="5389"/>
      <c r="G52" s="5389"/>
      <c r="H52" s="5389"/>
      <c r="I52" s="5389"/>
      <c r="J52" s="5389"/>
      <c r="K52" s="5389"/>
      <c r="L52" s="5389"/>
      <c r="M52" s="5389"/>
      <c r="N52" s="5389"/>
      <c r="O52" s="5382"/>
      <c r="P52" s="5383"/>
      <c r="Q52" s="5383"/>
      <c r="R52" s="5384"/>
      <c r="S52" s="803"/>
      <c r="T52" s="771"/>
      <c r="U52" s="771"/>
      <c r="V52" s="1353"/>
      <c r="W52" s="5388" t="str">
        <f>IF(W44="","",IF(ISNA(VLOOKUP(W44,'Tablas Técnicas'!$AD$6:$AJ$188,4,FALSE)),"-",VLOOKUP(W44,'Tablas Técnicas'!$AD$6:$AJ$188,4,FALSE)))</f>
        <v/>
      </c>
      <c r="X52" s="5389"/>
      <c r="Y52" s="5389"/>
      <c r="Z52" s="5389"/>
      <c r="AA52" s="5389"/>
      <c r="AB52" s="5389"/>
      <c r="AC52" s="5389"/>
      <c r="AD52" s="5389"/>
      <c r="AE52" s="5389"/>
      <c r="AF52" s="5389"/>
      <c r="AG52" s="5389"/>
      <c r="AH52" s="5389"/>
      <c r="AI52" s="5382"/>
      <c r="AJ52" s="5383"/>
      <c r="AK52" s="5383"/>
      <c r="AL52" s="5384"/>
      <c r="AM52" s="803"/>
      <c r="AN52" s="773"/>
      <c r="AO52" s="962"/>
    </row>
    <row r="53" spans="1:41" ht="12" customHeight="1" thickBot="1" x14ac:dyDescent="0.25">
      <c r="A53" s="771"/>
      <c r="B53" s="1349"/>
      <c r="C53" s="5390"/>
      <c r="D53" s="5391"/>
      <c r="E53" s="5391"/>
      <c r="F53" s="5391"/>
      <c r="G53" s="5391"/>
      <c r="H53" s="5391"/>
      <c r="I53" s="5391"/>
      <c r="J53" s="5391"/>
      <c r="K53" s="5391"/>
      <c r="L53" s="5391"/>
      <c r="M53" s="5391"/>
      <c r="N53" s="5391"/>
      <c r="O53" s="5385"/>
      <c r="P53" s="5386"/>
      <c r="Q53" s="5386"/>
      <c r="R53" s="5387"/>
      <c r="S53" s="803"/>
      <c r="T53" s="771"/>
      <c r="U53" s="771"/>
      <c r="V53" s="1349"/>
      <c r="W53" s="5390"/>
      <c r="X53" s="5391"/>
      <c r="Y53" s="5391"/>
      <c r="Z53" s="5391"/>
      <c r="AA53" s="5391"/>
      <c r="AB53" s="5391"/>
      <c r="AC53" s="5391"/>
      <c r="AD53" s="5391"/>
      <c r="AE53" s="5391"/>
      <c r="AF53" s="5391"/>
      <c r="AG53" s="5391"/>
      <c r="AH53" s="5391"/>
      <c r="AI53" s="5385"/>
      <c r="AJ53" s="5386"/>
      <c r="AK53" s="5386"/>
      <c r="AL53" s="5387"/>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92" t="s">
        <v>8177</v>
      </c>
      <c r="D55" s="5393"/>
      <c r="E55" s="5393"/>
      <c r="F55" s="5393"/>
      <c r="G55" s="5393"/>
      <c r="H55" s="5393"/>
      <c r="I55" s="5393"/>
      <c r="J55" s="5393"/>
      <c r="K55" s="5393"/>
      <c r="L55" s="5393"/>
      <c r="M55" s="5393"/>
      <c r="N55" s="5393"/>
      <c r="O55" s="5393"/>
      <c r="P55" s="5393"/>
      <c r="Q55" s="5394"/>
      <c r="R55" s="5395">
        <f>IF(C55="","",IF(ISNA(VLOOKUP(C55,'Tablas Técnicas'!$AD$6:$AJ$188,3,FALSE)),"-",VLOOKUP(C55,'Tablas Técnicas'!$AD$6:$AJ$188,3,FALSE)))</f>
        <v>0</v>
      </c>
      <c r="S55" s="858"/>
      <c r="T55" s="771"/>
      <c r="U55" s="771"/>
      <c r="V55" s="1349">
        <v>10</v>
      </c>
      <c r="W55" s="5392" t="s">
        <v>8177</v>
      </c>
      <c r="X55" s="5393"/>
      <c r="Y55" s="5393"/>
      <c r="Z55" s="5393"/>
      <c r="AA55" s="5393"/>
      <c r="AB55" s="5393"/>
      <c r="AC55" s="5393"/>
      <c r="AD55" s="5393"/>
      <c r="AE55" s="5393"/>
      <c r="AF55" s="5393"/>
      <c r="AG55" s="5393"/>
      <c r="AH55" s="5393"/>
      <c r="AI55" s="5393"/>
      <c r="AJ55" s="5393"/>
      <c r="AK55" s="5394"/>
      <c r="AL55" s="5395">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2175</v>
      </c>
      <c r="F56" s="5397"/>
      <c r="G56" s="5397"/>
      <c r="H56" s="5397"/>
      <c r="I56" s="5398" t="s">
        <v>3480</v>
      </c>
      <c r="J56" s="5398"/>
      <c r="K56" s="5398"/>
      <c r="L56" s="5399" t="str">
        <f>IF(C55="","",IF(ISNA(VLOOKUP(C55,'Tablas Técnicas'!$AD$6:$AJ$188,7,FALSE)),"-",VLOOKUP(C55,'Tablas Técnicas'!$AD$6:$AJ$188,7,FALSE)))</f>
        <v/>
      </c>
      <c r="M56" s="5399"/>
      <c r="N56" s="5399"/>
      <c r="O56" s="5399"/>
      <c r="P56" s="5399"/>
      <c r="Q56" s="5400"/>
      <c r="R56" s="5396"/>
      <c r="S56" s="803"/>
      <c r="T56" s="771"/>
      <c r="U56" s="771"/>
      <c r="V56" s="1349"/>
      <c r="W56" s="864" t="s">
        <v>1630</v>
      </c>
      <c r="X56" s="865">
        <f>IF(W55="","",IF(ISNA(VLOOKUP(W55,'Tablas Técnicas'!$AD$6:$AJ$188,2,FALSE)),"-",VLOOKUP(W55,'Tablas Técnicas'!$AD$6:$AJ$188,2,FALSE)))</f>
        <v>1</v>
      </c>
      <c r="Y56" s="866" t="s">
        <v>2175</v>
      </c>
      <c r="Z56" s="5397"/>
      <c r="AA56" s="5397"/>
      <c r="AB56" s="5397"/>
      <c r="AC56" s="5398" t="s">
        <v>3480</v>
      </c>
      <c r="AD56" s="5398"/>
      <c r="AE56" s="5398"/>
      <c r="AF56" s="5399" t="str">
        <f>IF(W55="","",IF(ISNA(VLOOKUP(W55,'Tablas Técnicas'!$AD$6:$AJ$188,7,FALSE)),"-",VLOOKUP(W55,'Tablas Técnicas'!$AD$6:$AJ$188,7,FALSE)))</f>
        <v/>
      </c>
      <c r="AG56" s="5399"/>
      <c r="AH56" s="5399"/>
      <c r="AI56" s="5399"/>
      <c r="AJ56" s="5399"/>
      <c r="AK56" s="5400"/>
      <c r="AL56" s="5396"/>
      <c r="AM56" s="803"/>
      <c r="AN56" s="773"/>
      <c r="AO56" s="962"/>
    </row>
    <row r="57" spans="1:41" ht="12" customHeight="1" x14ac:dyDescent="0.2">
      <c r="A57" s="771"/>
      <c r="B57" s="1349"/>
      <c r="C57" s="5361" t="str">
        <f>IF(C55="","",IF(ISNA(VLOOKUP(C55,'Tablas Técnicas'!$AD$6:$AJ$188,5,FALSE)),"-",VLOOKUP(C55,'Tablas Técnicas'!$AD$6:$AJ$188,5,FALSE)))</f>
        <v/>
      </c>
      <c r="D57" s="5362"/>
      <c r="E57" s="5362"/>
      <c r="F57" s="5362"/>
      <c r="G57" s="5362"/>
      <c r="H57" s="5362"/>
      <c r="I57" s="5362"/>
      <c r="J57" s="5362"/>
      <c r="K57" s="5362"/>
      <c r="L57" s="5362"/>
      <c r="M57" s="5362"/>
      <c r="N57" s="5362"/>
      <c r="O57" s="5362"/>
      <c r="P57" s="5362"/>
      <c r="Q57" s="5362"/>
      <c r="R57" s="5363"/>
      <c r="S57" s="871"/>
      <c r="T57" s="870"/>
      <c r="U57" s="771"/>
      <c r="V57" s="1349"/>
      <c r="W57" s="5361" t="str">
        <f>IF(W55="","",IF(ISNA(VLOOKUP(W55,'Tablas Técnicas'!$AD$6:$AJ$188,5,FALSE)),"-",VLOOKUP(W55,'Tablas Técnicas'!$AD$6:$AJ$188,5,FALSE)))</f>
        <v/>
      </c>
      <c r="X57" s="5362"/>
      <c r="Y57" s="5362"/>
      <c r="Z57" s="5362"/>
      <c r="AA57" s="5362"/>
      <c r="AB57" s="5362"/>
      <c r="AC57" s="5362"/>
      <c r="AD57" s="5362"/>
      <c r="AE57" s="5362"/>
      <c r="AF57" s="5362"/>
      <c r="AG57" s="5362"/>
      <c r="AH57" s="5362"/>
      <c r="AI57" s="5362"/>
      <c r="AJ57" s="5362"/>
      <c r="AK57" s="5362"/>
      <c r="AL57" s="5363"/>
      <c r="AM57" s="871"/>
      <c r="AN57" s="773"/>
      <c r="AO57" s="962"/>
    </row>
    <row r="58" spans="1:41" ht="12" customHeight="1" x14ac:dyDescent="0.2">
      <c r="A58" s="771"/>
      <c r="B58" s="1349"/>
      <c r="C58" s="5364"/>
      <c r="D58" s="5365"/>
      <c r="E58" s="5365"/>
      <c r="F58" s="5365"/>
      <c r="G58" s="5365"/>
      <c r="H58" s="5365"/>
      <c r="I58" s="5365"/>
      <c r="J58" s="5365"/>
      <c r="K58" s="5365"/>
      <c r="L58" s="5365"/>
      <c r="M58" s="5365"/>
      <c r="N58" s="5365"/>
      <c r="O58" s="5365"/>
      <c r="P58" s="5365"/>
      <c r="Q58" s="5365"/>
      <c r="R58" s="5366"/>
      <c r="S58" s="880"/>
      <c r="T58" s="870"/>
      <c r="U58" s="771"/>
      <c r="V58" s="1349"/>
      <c r="W58" s="5364"/>
      <c r="X58" s="5365"/>
      <c r="Y58" s="5365"/>
      <c r="Z58" s="5365"/>
      <c r="AA58" s="5365"/>
      <c r="AB58" s="5365"/>
      <c r="AC58" s="5365"/>
      <c r="AD58" s="5365"/>
      <c r="AE58" s="5365"/>
      <c r="AF58" s="5365"/>
      <c r="AG58" s="5365"/>
      <c r="AH58" s="5365"/>
      <c r="AI58" s="5365"/>
      <c r="AJ58" s="5365"/>
      <c r="AK58" s="5365"/>
      <c r="AL58" s="5366"/>
      <c r="AM58" s="880"/>
      <c r="AN58" s="773"/>
      <c r="AO58" s="962"/>
    </row>
    <row r="59" spans="1:41" ht="12" customHeight="1" x14ac:dyDescent="0.2">
      <c r="A59" s="771"/>
      <c r="B59" s="1349"/>
      <c r="C59" s="5364"/>
      <c r="D59" s="5365"/>
      <c r="E59" s="5365"/>
      <c r="F59" s="5365"/>
      <c r="G59" s="5365"/>
      <c r="H59" s="5365"/>
      <c r="I59" s="5365"/>
      <c r="J59" s="5365"/>
      <c r="K59" s="5365"/>
      <c r="L59" s="5365"/>
      <c r="M59" s="5365"/>
      <c r="N59" s="5365"/>
      <c r="O59" s="5365"/>
      <c r="P59" s="5365"/>
      <c r="Q59" s="5365"/>
      <c r="R59" s="5366"/>
      <c r="S59" s="880"/>
      <c r="T59" s="870"/>
      <c r="U59" s="771"/>
      <c r="V59" s="1349"/>
      <c r="W59" s="5364"/>
      <c r="X59" s="5365"/>
      <c r="Y59" s="5365"/>
      <c r="Z59" s="5365"/>
      <c r="AA59" s="5365"/>
      <c r="AB59" s="5365"/>
      <c r="AC59" s="5365"/>
      <c r="AD59" s="5365"/>
      <c r="AE59" s="5365"/>
      <c r="AF59" s="5365"/>
      <c r="AG59" s="5365"/>
      <c r="AH59" s="5365"/>
      <c r="AI59" s="5365"/>
      <c r="AJ59" s="5365"/>
      <c r="AK59" s="5365"/>
      <c r="AL59" s="5366"/>
      <c r="AM59" s="880"/>
      <c r="AN59" s="773"/>
      <c r="AO59" s="962"/>
    </row>
    <row r="60" spans="1:41" ht="12" customHeight="1" x14ac:dyDescent="0.2">
      <c r="A60" s="771"/>
      <c r="B60" s="1349"/>
      <c r="C60" s="5367"/>
      <c r="D60" s="5368"/>
      <c r="E60" s="5368"/>
      <c r="F60" s="5368"/>
      <c r="G60" s="5368"/>
      <c r="H60" s="5368"/>
      <c r="I60" s="5368"/>
      <c r="J60" s="5368"/>
      <c r="K60" s="5368"/>
      <c r="L60" s="5368"/>
      <c r="M60" s="5368"/>
      <c r="N60" s="5368"/>
      <c r="O60" s="5368"/>
      <c r="P60" s="5368"/>
      <c r="Q60" s="5368"/>
      <c r="R60" s="5369"/>
      <c r="S60" s="880"/>
      <c r="T60" s="870"/>
      <c r="U60" s="771"/>
      <c r="V60" s="1349"/>
      <c r="W60" s="5367"/>
      <c r="X60" s="5368"/>
      <c r="Y60" s="5368"/>
      <c r="Z60" s="5368"/>
      <c r="AA60" s="5368"/>
      <c r="AB60" s="5368"/>
      <c r="AC60" s="5368"/>
      <c r="AD60" s="5368"/>
      <c r="AE60" s="5368"/>
      <c r="AF60" s="5368"/>
      <c r="AG60" s="5368"/>
      <c r="AH60" s="5368"/>
      <c r="AI60" s="5368"/>
      <c r="AJ60" s="5368"/>
      <c r="AK60" s="5368"/>
      <c r="AL60" s="5369"/>
      <c r="AM60" s="880"/>
      <c r="AN60" s="773"/>
      <c r="AO60" s="962"/>
    </row>
    <row r="61" spans="1:41" ht="12" customHeight="1" x14ac:dyDescent="0.2">
      <c r="A61" s="771"/>
      <c r="B61" s="1353"/>
      <c r="C61" s="5370" t="str">
        <f>"Desventajas: "&amp;IF(C55="","",IF(ISNA(VLOOKUP(C55,'Tablas Técnicas'!$AD$6:$AJ$188,6,FALSE)),"-",VLOOKUP(C55,'Tablas Técnicas'!$AD$6:$AJ$188,6,FALSE)))</f>
        <v xml:space="preserve">Desventajas: </v>
      </c>
      <c r="D61" s="5371"/>
      <c r="E61" s="5371"/>
      <c r="F61" s="5371"/>
      <c r="G61" s="5371"/>
      <c r="H61" s="5371"/>
      <c r="I61" s="5371"/>
      <c r="J61" s="5371"/>
      <c r="K61" s="5371"/>
      <c r="L61" s="5371"/>
      <c r="M61" s="5371"/>
      <c r="N61" s="5372"/>
      <c r="O61" s="5376" t="s">
        <v>3500</v>
      </c>
      <c r="P61" s="5377"/>
      <c r="Q61" s="5377"/>
      <c r="R61" s="5378"/>
      <c r="S61" s="803"/>
      <c r="T61" s="771"/>
      <c r="U61" s="771"/>
      <c r="V61" s="1353"/>
      <c r="W61" s="5370" t="str">
        <f>"Desventajas: "&amp;IF(W55="","",IF(ISNA(VLOOKUP(W55,'Tablas Técnicas'!$AD$6:$AJ$188,6,FALSE)),"-",VLOOKUP(W55,'Tablas Técnicas'!$AD$6:$AJ$188,6,FALSE)))</f>
        <v xml:space="preserve">Desventajas: </v>
      </c>
      <c r="X61" s="5371"/>
      <c r="Y61" s="5371"/>
      <c r="Z61" s="5371"/>
      <c r="AA61" s="5371"/>
      <c r="AB61" s="5371"/>
      <c r="AC61" s="5371"/>
      <c r="AD61" s="5371"/>
      <c r="AE61" s="5371"/>
      <c r="AF61" s="5371"/>
      <c r="AG61" s="5371"/>
      <c r="AH61" s="5372"/>
      <c r="AI61" s="5376" t="s">
        <v>3500</v>
      </c>
      <c r="AJ61" s="5377"/>
      <c r="AK61" s="5377"/>
      <c r="AL61" s="5378"/>
      <c r="AM61" s="803"/>
      <c r="AN61" s="773"/>
      <c r="AO61" s="962"/>
    </row>
    <row r="62" spans="1:41" ht="12" customHeight="1" x14ac:dyDescent="0.2">
      <c r="A62" s="771"/>
      <c r="B62" s="1349"/>
      <c r="C62" s="5373"/>
      <c r="D62" s="5374"/>
      <c r="E62" s="5374"/>
      <c r="F62" s="5374"/>
      <c r="G62" s="5374"/>
      <c r="H62" s="5374"/>
      <c r="I62" s="5374"/>
      <c r="J62" s="5374"/>
      <c r="K62" s="5374"/>
      <c r="L62" s="5374"/>
      <c r="M62" s="5374"/>
      <c r="N62" s="5375"/>
      <c r="O62" s="5379"/>
      <c r="P62" s="5380"/>
      <c r="Q62" s="5380"/>
      <c r="R62" s="5381"/>
      <c r="S62" s="803"/>
      <c r="T62" s="771"/>
      <c r="U62" s="771"/>
      <c r="V62" s="1349"/>
      <c r="W62" s="5373"/>
      <c r="X62" s="5374"/>
      <c r="Y62" s="5374"/>
      <c r="Z62" s="5374"/>
      <c r="AA62" s="5374"/>
      <c r="AB62" s="5374"/>
      <c r="AC62" s="5374"/>
      <c r="AD62" s="5374"/>
      <c r="AE62" s="5374"/>
      <c r="AF62" s="5374"/>
      <c r="AG62" s="5374"/>
      <c r="AH62" s="5375"/>
      <c r="AI62" s="5379"/>
      <c r="AJ62" s="5380"/>
      <c r="AK62" s="5380"/>
      <c r="AL62" s="5381"/>
      <c r="AM62" s="803"/>
      <c r="AN62" s="773"/>
      <c r="AO62" s="962"/>
    </row>
    <row r="63" spans="1:41" ht="12" customHeight="1" x14ac:dyDescent="0.2">
      <c r="A63" s="771"/>
      <c r="B63" s="1353"/>
      <c r="C63" s="5388" t="str">
        <f>IF(C55="","",IF(ISNA(VLOOKUP(C55,'Tablas Técnicas'!$AD$6:$AJ$188,4,FALSE)),"-",VLOOKUP(C55,'Tablas Técnicas'!$AD$6:$AJ$188,4,FALSE)))</f>
        <v/>
      </c>
      <c r="D63" s="5389"/>
      <c r="E63" s="5389"/>
      <c r="F63" s="5389"/>
      <c r="G63" s="5389"/>
      <c r="H63" s="5389"/>
      <c r="I63" s="5389"/>
      <c r="J63" s="5389"/>
      <c r="K63" s="5389"/>
      <c r="L63" s="5389"/>
      <c r="M63" s="5389"/>
      <c r="N63" s="5389"/>
      <c r="O63" s="5382"/>
      <c r="P63" s="5383"/>
      <c r="Q63" s="5383"/>
      <c r="R63" s="5384"/>
      <c r="S63" s="803"/>
      <c r="T63" s="771"/>
      <c r="U63" s="771"/>
      <c r="V63" s="1353"/>
      <c r="W63" s="5388" t="str">
        <f>IF(W55="","",IF(ISNA(VLOOKUP(W55,'Tablas Técnicas'!$AD$6:$AJ$188,4,FALSE)),"-",VLOOKUP(W55,'Tablas Técnicas'!$AD$6:$AJ$188,4,FALSE)))</f>
        <v/>
      </c>
      <c r="X63" s="5389"/>
      <c r="Y63" s="5389"/>
      <c r="Z63" s="5389"/>
      <c r="AA63" s="5389"/>
      <c r="AB63" s="5389"/>
      <c r="AC63" s="5389"/>
      <c r="AD63" s="5389"/>
      <c r="AE63" s="5389"/>
      <c r="AF63" s="5389"/>
      <c r="AG63" s="5389"/>
      <c r="AH63" s="5389"/>
      <c r="AI63" s="5382"/>
      <c r="AJ63" s="5383"/>
      <c r="AK63" s="5383"/>
      <c r="AL63" s="5384"/>
      <c r="AM63" s="803"/>
      <c r="AN63" s="773"/>
      <c r="AO63" s="962"/>
    </row>
    <row r="64" spans="1:41" ht="12" customHeight="1" thickBot="1" x14ac:dyDescent="0.25">
      <c r="A64" s="771"/>
      <c r="B64" s="1349"/>
      <c r="C64" s="5390"/>
      <c r="D64" s="5391"/>
      <c r="E64" s="5391"/>
      <c r="F64" s="5391"/>
      <c r="G64" s="5391"/>
      <c r="H64" s="5391"/>
      <c r="I64" s="5391"/>
      <c r="J64" s="5391"/>
      <c r="K64" s="5391"/>
      <c r="L64" s="5391"/>
      <c r="M64" s="5391"/>
      <c r="N64" s="5391"/>
      <c r="O64" s="5385"/>
      <c r="P64" s="5386"/>
      <c r="Q64" s="5386"/>
      <c r="R64" s="5387"/>
      <c r="S64" s="803"/>
      <c r="T64" s="771"/>
      <c r="U64" s="771"/>
      <c r="V64" s="1349"/>
      <c r="W64" s="5390"/>
      <c r="X64" s="5391"/>
      <c r="Y64" s="5391"/>
      <c r="Z64" s="5391"/>
      <c r="AA64" s="5391"/>
      <c r="AB64" s="5391"/>
      <c r="AC64" s="5391"/>
      <c r="AD64" s="5391"/>
      <c r="AE64" s="5391"/>
      <c r="AF64" s="5391"/>
      <c r="AG64" s="5391"/>
      <c r="AH64" s="5391"/>
      <c r="AI64" s="5385"/>
      <c r="AJ64" s="5386"/>
      <c r="AK64" s="5386"/>
      <c r="AL64" s="5387"/>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360" t="s">
        <v>3740</v>
      </c>
      <c r="K67" s="5360"/>
      <c r="L67" s="907"/>
      <c r="M67" s="907"/>
      <c r="N67" s="907"/>
      <c r="O67" s="907"/>
      <c r="P67" s="907"/>
      <c r="Q67" s="907"/>
      <c r="R67" s="907"/>
      <c r="S67" s="908"/>
      <c r="T67" s="773"/>
      <c r="U67" s="772"/>
      <c r="V67" s="1355"/>
      <c r="W67" s="907"/>
      <c r="X67" s="907"/>
      <c r="Y67" s="907"/>
      <c r="Z67" s="907"/>
      <c r="AA67" s="907"/>
      <c r="AB67" s="907"/>
      <c r="AC67" s="907"/>
      <c r="AD67" s="5360" t="s">
        <v>3741</v>
      </c>
      <c r="AE67" s="5360"/>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C10" sqref="C10:H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633"/>
      <c r="D3" s="4634"/>
      <c r="E3" s="4634"/>
      <c r="F3" s="4634"/>
      <c r="G3" s="4634"/>
      <c r="H3" s="4634"/>
      <c r="I3" s="1214"/>
      <c r="J3" s="1214"/>
      <c r="K3" s="1214"/>
      <c r="L3" s="1214"/>
      <c r="M3" s="1214"/>
      <c r="N3" s="1214"/>
      <c r="O3" s="1214"/>
      <c r="P3" s="1214"/>
      <c r="Q3" s="1215"/>
      <c r="R3" s="1216"/>
      <c r="S3" s="1210"/>
      <c r="T3" s="1210"/>
      <c r="U3" s="615"/>
      <c r="V3" s="4633"/>
      <c r="W3" s="4634"/>
      <c r="X3" s="4634"/>
      <c r="Y3" s="4634"/>
      <c r="Z3" s="4634"/>
      <c r="AA3" s="4634"/>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635"/>
      <c r="D4" s="4636"/>
      <c r="E4" s="4636"/>
      <c r="F4" s="4636"/>
      <c r="G4" s="4636"/>
      <c r="H4" s="4636"/>
      <c r="I4" s="1219"/>
      <c r="J4" s="4639" t="s">
        <v>1628</v>
      </c>
      <c r="K4" s="4640"/>
      <c r="L4" s="3163" t="str">
        <f>IF(OR(General!$G$22="",General!$G$22=0),"",General!$G$22)</f>
        <v/>
      </c>
      <c r="M4" s="3163"/>
      <c r="N4" s="3163"/>
      <c r="O4" s="3163"/>
      <c r="P4" s="3163"/>
      <c r="Q4" s="813"/>
      <c r="R4" s="1216"/>
      <c r="S4" s="1210"/>
      <c r="T4" s="1210"/>
      <c r="U4" s="615"/>
      <c r="V4" s="4635"/>
      <c r="W4" s="4636"/>
      <c r="X4" s="4636"/>
      <c r="Y4" s="4636"/>
      <c r="Z4" s="4636"/>
      <c r="AA4" s="4636"/>
      <c r="AB4" s="1219"/>
      <c r="AC4" s="4631" t="s">
        <v>2125</v>
      </c>
      <c r="AD4" s="4632"/>
      <c r="AE4" s="4632"/>
      <c r="AF4" s="4632"/>
      <c r="AG4" s="4632"/>
      <c r="AH4" s="4632"/>
      <c r="AI4" s="4632"/>
      <c r="AJ4" s="813"/>
      <c r="AK4" s="1216"/>
      <c r="AL4" s="1210"/>
      <c r="AM4" s="1217"/>
      <c r="AN4" s="1217"/>
      <c r="AO4" s="1217"/>
      <c r="AP4" s="1220"/>
      <c r="AQ4" s="1220"/>
      <c r="AR4" s="1218"/>
      <c r="AS4" s="698"/>
    </row>
    <row r="5" spans="1:45" ht="12" customHeight="1" x14ac:dyDescent="0.2">
      <c r="A5" s="1210"/>
      <c r="B5" s="615"/>
      <c r="C5" s="4635"/>
      <c r="D5" s="4636"/>
      <c r="E5" s="4636"/>
      <c r="F5" s="4636"/>
      <c r="G5" s="4636"/>
      <c r="H5" s="4636"/>
      <c r="I5" s="1219"/>
      <c r="J5" s="4627" t="s">
        <v>1629</v>
      </c>
      <c r="K5" s="4628"/>
      <c r="L5" s="4629" t="str">
        <f>Principal!$L$5</f>
        <v>Hechicero</v>
      </c>
      <c r="M5" s="4630"/>
      <c r="N5" s="4630"/>
      <c r="O5" s="1221" t="s">
        <v>1630</v>
      </c>
      <c r="P5" s="1222" t="str">
        <f>Principal!$P$5</f>
        <v>1</v>
      </c>
      <c r="Q5" s="1223"/>
      <c r="R5" s="1216"/>
      <c r="S5" s="1210"/>
      <c r="T5" s="1210"/>
      <c r="U5" s="615"/>
      <c r="V5" s="4635"/>
      <c r="W5" s="4636"/>
      <c r="X5" s="4636"/>
      <c r="Y5" s="4636"/>
      <c r="Z5" s="4636"/>
      <c r="AA5" s="4636"/>
      <c r="AB5" s="1219"/>
      <c r="AC5" s="4632"/>
      <c r="AD5" s="4632"/>
      <c r="AE5" s="4632"/>
      <c r="AF5" s="4632"/>
      <c r="AG5" s="4632"/>
      <c r="AH5" s="4632"/>
      <c r="AI5" s="4632"/>
      <c r="AJ5" s="1223"/>
      <c r="AK5" s="1216"/>
      <c r="AL5" s="1210"/>
      <c r="AM5" s="1224"/>
      <c r="AN5" s="1224"/>
      <c r="AO5" s="1224"/>
      <c r="AP5" s="1225"/>
      <c r="AQ5" s="1225"/>
      <c r="AR5" s="1218"/>
      <c r="AS5" s="698"/>
    </row>
    <row r="6" spans="1:45" ht="12" customHeight="1" x14ac:dyDescent="0.2">
      <c r="A6" s="1210"/>
      <c r="B6" s="615"/>
      <c r="C6" s="4635"/>
      <c r="D6" s="4636"/>
      <c r="E6" s="4636"/>
      <c r="F6" s="4636"/>
      <c r="G6" s="4636"/>
      <c r="H6" s="4636"/>
      <c r="I6" s="1219"/>
      <c r="J6" s="4631" t="s">
        <v>8167</v>
      </c>
      <c r="K6" s="4632"/>
      <c r="L6" s="4632"/>
      <c r="M6" s="4632"/>
      <c r="N6" s="4632"/>
      <c r="O6" s="4632"/>
      <c r="P6" s="4632"/>
      <c r="Q6" s="1223"/>
      <c r="R6" s="1216"/>
      <c r="S6" s="1210"/>
      <c r="T6" s="1210"/>
      <c r="U6" s="615"/>
      <c r="V6" s="4635"/>
      <c r="W6" s="4636"/>
      <c r="X6" s="4636"/>
      <c r="Y6" s="4636"/>
      <c r="Z6" s="4636"/>
      <c r="AA6" s="4636"/>
      <c r="AB6" s="1219"/>
      <c r="AC6" s="5347"/>
      <c r="AD6" s="5348"/>
      <c r="AE6" s="5348"/>
      <c r="AF6" s="5348"/>
      <c r="AG6" s="5348"/>
      <c r="AH6" s="5348"/>
      <c r="AI6" s="5348"/>
      <c r="AJ6" s="1223"/>
      <c r="AK6" s="1216"/>
      <c r="AL6" s="1210"/>
      <c r="AM6" s="1226"/>
      <c r="AN6" s="1226"/>
      <c r="AO6" s="1226"/>
      <c r="AP6" s="1227"/>
      <c r="AQ6" s="1227"/>
      <c r="AR6" s="1218"/>
      <c r="AS6" s="698"/>
    </row>
    <row r="7" spans="1:45" ht="12" customHeight="1" x14ac:dyDescent="0.2">
      <c r="A7" s="1210"/>
      <c r="B7" s="615"/>
      <c r="C7" s="4635"/>
      <c r="D7" s="4636"/>
      <c r="E7" s="4636"/>
      <c r="F7" s="4636"/>
      <c r="G7" s="4636"/>
      <c r="H7" s="4636"/>
      <c r="I7" s="1219"/>
      <c r="J7" s="4632"/>
      <c r="K7" s="4632"/>
      <c r="L7" s="4632"/>
      <c r="M7" s="4632"/>
      <c r="N7" s="4632"/>
      <c r="O7" s="4632"/>
      <c r="P7" s="4632"/>
      <c r="Q7" s="1223"/>
      <c r="R7" s="1216"/>
      <c r="S7" s="1210"/>
      <c r="T7" s="1210"/>
      <c r="U7" s="615"/>
      <c r="V7" s="4635"/>
      <c r="W7" s="4636"/>
      <c r="X7" s="4636"/>
      <c r="Y7" s="4636"/>
      <c r="Z7" s="4636"/>
      <c r="AA7" s="4636"/>
      <c r="AB7" s="1219"/>
      <c r="AC7" s="5348"/>
      <c r="AD7" s="5348"/>
      <c r="AE7" s="5348"/>
      <c r="AF7" s="5348"/>
      <c r="AG7" s="5348"/>
      <c r="AH7" s="5348"/>
      <c r="AI7" s="5348"/>
      <c r="AJ7" s="1223"/>
      <c r="AK7" s="1216"/>
      <c r="AL7" s="1210"/>
      <c r="AM7" s="1224"/>
      <c r="AN7" s="1224"/>
      <c r="AO7" s="1224"/>
      <c r="AP7" s="1225"/>
      <c r="AQ7" s="1225"/>
      <c r="AR7" s="1218"/>
      <c r="AS7" s="698"/>
    </row>
    <row r="8" spans="1:45" ht="12" customHeight="1" thickBot="1" x14ac:dyDescent="0.25">
      <c r="A8" s="1210"/>
      <c r="B8" s="615"/>
      <c r="C8" s="4637"/>
      <c r="D8" s="4638"/>
      <c r="E8" s="4638"/>
      <c r="F8" s="4638"/>
      <c r="G8" s="4638"/>
      <c r="H8" s="4638"/>
      <c r="I8" s="1228"/>
      <c r="J8" s="1228"/>
      <c r="K8" s="1228"/>
      <c r="L8" s="1228"/>
      <c r="M8" s="1228"/>
      <c r="N8" s="1228"/>
      <c r="O8" s="1228"/>
      <c r="P8" s="1228"/>
      <c r="Q8" s="1229"/>
      <c r="R8" s="1216"/>
      <c r="S8" s="1210"/>
      <c r="T8" s="1210"/>
      <c r="U8" s="615"/>
      <c r="V8" s="4637"/>
      <c r="W8" s="4638"/>
      <c r="X8" s="4638"/>
      <c r="Y8" s="4638"/>
      <c r="Z8" s="4638"/>
      <c r="AA8" s="4638"/>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42"/>
      <c r="D10" s="5343"/>
      <c r="E10" s="5343"/>
      <c r="F10" s="5343"/>
      <c r="G10" s="5343"/>
      <c r="H10" s="5343"/>
      <c r="I10" s="1263" t="s">
        <v>1715</v>
      </c>
      <c r="K10" s="5342"/>
      <c r="L10" s="5343"/>
      <c r="M10" s="5343"/>
      <c r="N10" s="5343"/>
      <c r="O10" s="5343"/>
      <c r="P10" s="5343"/>
      <c r="Q10" s="1263" t="s">
        <v>1715</v>
      </c>
      <c r="R10" s="1216"/>
      <c r="S10" s="1210"/>
      <c r="T10" s="1210"/>
      <c r="U10" s="615"/>
      <c r="V10" s="5342"/>
      <c r="W10" s="5343"/>
      <c r="X10" s="5343"/>
      <c r="Y10" s="5343"/>
      <c r="Z10" s="5343"/>
      <c r="AA10" s="5343"/>
      <c r="AB10" s="1263" t="s">
        <v>1715</v>
      </c>
      <c r="AC10" s="1264"/>
      <c r="AD10" s="5342"/>
      <c r="AE10" s="5343"/>
      <c r="AF10" s="5343"/>
      <c r="AG10" s="5343"/>
      <c r="AH10" s="5343"/>
      <c r="AI10" s="5343"/>
      <c r="AJ10" s="1263" t="s">
        <v>1715</v>
      </c>
      <c r="AK10" s="1216"/>
      <c r="AL10" s="1210"/>
      <c r="AM10" s="1226"/>
      <c r="AN10" s="1226"/>
      <c r="AO10" s="1226"/>
      <c r="AP10" s="1227"/>
      <c r="AQ10" s="1227"/>
      <c r="AR10" s="1218"/>
      <c r="AS10" s="698"/>
    </row>
    <row r="11" spans="1:45" ht="12" customHeight="1" x14ac:dyDescent="0.2">
      <c r="A11" s="1210"/>
      <c r="B11" s="615"/>
      <c r="C11" s="5432" t="str">
        <f>IF(C10=0,"",VLOOKUP(C10,'Tablas psiquica'!$D$7:$R$145,2,FALSE))</f>
        <v/>
      </c>
      <c r="D11" s="5433"/>
      <c r="E11" s="5433"/>
      <c r="F11" s="5433"/>
      <c r="G11" s="5433"/>
      <c r="H11" s="5433"/>
      <c r="I11" s="1265" t="str">
        <f>IF(C10=0,"",VLOOKUP(C10,'Tablas psiquica'!$D$7:$R$145,3,FALSE))</f>
        <v/>
      </c>
      <c r="K11" s="5432" t="str">
        <f>IF(K10=0,"",VLOOKUP(K10,'Tablas psiquica'!$D$7:$R$145,2,FALSE))</f>
        <v/>
      </c>
      <c r="L11" s="5433"/>
      <c r="M11" s="5433"/>
      <c r="N11" s="5433"/>
      <c r="O11" s="5433"/>
      <c r="P11" s="5433"/>
      <c r="Q11" s="1265" t="str">
        <f>IF(K10=0,"",VLOOKUP(K10,'Tablas psiquica'!$D$7:$R$145,3,FALSE))</f>
        <v/>
      </c>
      <c r="R11" s="1216"/>
      <c r="S11" s="1210"/>
      <c r="T11" s="1210"/>
      <c r="U11" s="615"/>
      <c r="V11" s="5432" t="str">
        <f>IF(V10=0,"",VLOOKUP(V10,'Tablas psiquica'!$D$7:$R$145,2,FALSE))</f>
        <v/>
      </c>
      <c r="W11" s="5433"/>
      <c r="X11" s="5433"/>
      <c r="Y11" s="5433"/>
      <c r="Z11" s="5433"/>
      <c r="AA11" s="5433"/>
      <c r="AB11" s="1265" t="str">
        <f>IF(V10=0,"",VLOOKUP(V10,'Tablas psiquica'!$D$7:$R$145,3,FALSE))</f>
        <v/>
      </c>
      <c r="AC11" s="741"/>
      <c r="AD11" s="5432" t="str">
        <f>IF(AD10=0,"",VLOOKUP(AD10,'Tablas psiquica'!$D$7:$R$145,2,FALSE))</f>
        <v/>
      </c>
      <c r="AE11" s="5433"/>
      <c r="AF11" s="5433"/>
      <c r="AG11" s="5433"/>
      <c r="AH11" s="5433"/>
      <c r="AI11" s="5433"/>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19" t="s">
        <v>2055</v>
      </c>
      <c r="E12" s="5317"/>
      <c r="F12" s="5420" t="str">
        <f>IF(C10=0,"",VLOOKUP(C10,'Tablas psiquica'!$D$7:$R$145,6,FALSE))</f>
        <v/>
      </c>
      <c r="G12" s="5421"/>
      <c r="H12" s="5421"/>
      <c r="I12" s="5422"/>
      <c r="K12" s="1266">
        <v>20</v>
      </c>
      <c r="L12" s="5419" t="s">
        <v>2055</v>
      </c>
      <c r="M12" s="5317"/>
      <c r="N12" s="5420" t="str">
        <f>IF(K10=0,"",VLOOKUP(K10,'Tablas psiquica'!$D$7:$R$145,6,FALSE))</f>
        <v/>
      </c>
      <c r="O12" s="5421"/>
      <c r="P12" s="5421"/>
      <c r="Q12" s="5422"/>
      <c r="R12" s="1216"/>
      <c r="S12" s="1210"/>
      <c r="T12" s="1210"/>
      <c r="U12" s="615"/>
      <c r="V12" s="1266">
        <v>20</v>
      </c>
      <c r="W12" s="5419" t="s">
        <v>2055</v>
      </c>
      <c r="X12" s="5317"/>
      <c r="Y12" s="5420" t="str">
        <f>IF(V10=0,"",VLOOKUP(V10,'Tablas psiquica'!$D$7:$R$145,6,FALSE))</f>
        <v/>
      </c>
      <c r="Z12" s="5421"/>
      <c r="AA12" s="5421"/>
      <c r="AB12" s="5422"/>
      <c r="AC12" s="1267"/>
      <c r="AD12" s="1266">
        <v>20</v>
      </c>
      <c r="AE12" s="5419" t="s">
        <v>2055</v>
      </c>
      <c r="AF12" s="5317"/>
      <c r="AG12" s="5420" t="str">
        <f>IF(AD10=0,"",VLOOKUP(AD10,'Tablas psiquica'!$D$7:$R$145,6,FALSE))</f>
        <v/>
      </c>
      <c r="AH12" s="5421"/>
      <c r="AI12" s="5421"/>
      <c r="AJ12" s="5422"/>
      <c r="AK12" s="1216"/>
      <c r="AL12" s="1210"/>
      <c r="AM12" s="1226"/>
      <c r="AN12" s="1226"/>
      <c r="AO12" s="1226"/>
      <c r="AP12" s="1227"/>
      <c r="AQ12" s="1227"/>
      <c r="AR12" s="1218"/>
      <c r="AS12" s="698"/>
    </row>
    <row r="13" spans="1:45" ht="12" customHeight="1" x14ac:dyDescent="0.2">
      <c r="A13" s="1210"/>
      <c r="B13" s="615"/>
      <c r="C13" s="1268">
        <v>40</v>
      </c>
      <c r="D13" s="5428" t="s">
        <v>2059</v>
      </c>
      <c r="E13" s="5322"/>
      <c r="F13" s="5429" t="str">
        <f>IF(C10=0,"",VLOOKUP(C10,'Tablas psiquica'!$D$7:$R$145,7,FALSE))</f>
        <v/>
      </c>
      <c r="G13" s="5430"/>
      <c r="H13" s="5430"/>
      <c r="I13" s="5431"/>
      <c r="K13" s="1268">
        <v>40</v>
      </c>
      <c r="L13" s="5428" t="s">
        <v>2059</v>
      </c>
      <c r="M13" s="5322"/>
      <c r="N13" s="5429" t="str">
        <f>IF(K10=0,"",VLOOKUP(K10,'Tablas psiquica'!$D$7:$R$145,7,FALSE))</f>
        <v/>
      </c>
      <c r="O13" s="5430"/>
      <c r="P13" s="5430"/>
      <c r="Q13" s="5431"/>
      <c r="R13" s="1216"/>
      <c r="S13" s="1210"/>
      <c r="T13" s="1210"/>
      <c r="U13" s="615"/>
      <c r="V13" s="1268">
        <v>40</v>
      </c>
      <c r="W13" s="5428" t="s">
        <v>2059</v>
      </c>
      <c r="X13" s="5322"/>
      <c r="Y13" s="5429" t="str">
        <f>IF(V10=0,"",VLOOKUP(V10,'Tablas psiquica'!$D$7:$R$145,7,FALSE))</f>
        <v/>
      </c>
      <c r="Z13" s="5430"/>
      <c r="AA13" s="5430"/>
      <c r="AB13" s="5431"/>
      <c r="AC13" s="1267"/>
      <c r="AD13" s="1268">
        <v>40</v>
      </c>
      <c r="AE13" s="5428" t="s">
        <v>2059</v>
      </c>
      <c r="AF13" s="5322"/>
      <c r="AG13" s="5429" t="str">
        <f>IF(AD10=0,"",VLOOKUP(AD10,'Tablas psiquica'!$D$7:$R$145,7,FALSE))</f>
        <v/>
      </c>
      <c r="AH13" s="5430"/>
      <c r="AI13" s="5430"/>
      <c r="AJ13" s="5431"/>
      <c r="AK13" s="1216"/>
      <c r="AL13" s="1210"/>
      <c r="AM13" s="1224"/>
      <c r="AP13" s="1225"/>
      <c r="AQ13" s="1225"/>
      <c r="AR13" s="1218"/>
      <c r="AS13" s="698"/>
    </row>
    <row r="14" spans="1:45" ht="12" customHeight="1" x14ac:dyDescent="0.2">
      <c r="A14" s="1210"/>
      <c r="B14" s="615"/>
      <c r="C14" s="1266">
        <v>80</v>
      </c>
      <c r="D14" s="5419" t="s">
        <v>2062</v>
      </c>
      <c r="E14" s="5317"/>
      <c r="F14" s="5420" t="str">
        <f>IF(C10=0,"",VLOOKUP(C10,'Tablas psiquica'!$D$7:$R$145,8,FALSE))</f>
        <v/>
      </c>
      <c r="G14" s="5421"/>
      <c r="H14" s="5421"/>
      <c r="I14" s="5422"/>
      <c r="K14" s="1266">
        <v>80</v>
      </c>
      <c r="L14" s="5419" t="s">
        <v>2062</v>
      </c>
      <c r="M14" s="5317"/>
      <c r="N14" s="5420" t="str">
        <f>IF(K10=0,"",VLOOKUP(K10,'Tablas psiquica'!$D$7:$R$145,8,FALSE))</f>
        <v/>
      </c>
      <c r="O14" s="5421"/>
      <c r="P14" s="5421"/>
      <c r="Q14" s="5422"/>
      <c r="R14" s="1216"/>
      <c r="S14" s="1210"/>
      <c r="T14" s="1210"/>
      <c r="U14" s="615"/>
      <c r="V14" s="1266">
        <v>80</v>
      </c>
      <c r="W14" s="5419" t="s">
        <v>2062</v>
      </c>
      <c r="X14" s="5317"/>
      <c r="Y14" s="5420" t="str">
        <f>IF(V10=0,"",VLOOKUP(V10,'Tablas psiquica'!$D$7:$R$145,8,FALSE))</f>
        <v/>
      </c>
      <c r="Z14" s="5421"/>
      <c r="AA14" s="5421"/>
      <c r="AB14" s="5422"/>
      <c r="AC14" s="1267"/>
      <c r="AD14" s="1266">
        <v>80</v>
      </c>
      <c r="AE14" s="5419" t="s">
        <v>2062</v>
      </c>
      <c r="AF14" s="5317"/>
      <c r="AG14" s="5420" t="str">
        <f>IF(AD10=0,"",VLOOKUP(AD10,'Tablas psiquica'!$D$7:$R$145,8,FALSE))</f>
        <v/>
      </c>
      <c r="AH14" s="5421"/>
      <c r="AI14" s="5421"/>
      <c r="AJ14" s="5422"/>
      <c r="AK14" s="1216"/>
      <c r="AL14" s="1210"/>
      <c r="AM14" s="1226"/>
      <c r="AN14" s="1226"/>
      <c r="AO14" s="1226"/>
      <c r="AP14" s="1227"/>
      <c r="AQ14" s="1227"/>
      <c r="AR14" s="1218"/>
      <c r="AS14" s="698"/>
    </row>
    <row r="15" spans="1:45" ht="12" customHeight="1" x14ac:dyDescent="0.2">
      <c r="A15" s="1210"/>
      <c r="B15" s="615"/>
      <c r="C15" s="1268">
        <v>120</v>
      </c>
      <c r="D15" s="5428" t="s">
        <v>2066</v>
      </c>
      <c r="E15" s="5322"/>
      <c r="F15" s="5429" t="str">
        <f>IF(C10=0,"",VLOOKUP(C10,'Tablas psiquica'!$D$7:$R$145,9,FALSE))</f>
        <v/>
      </c>
      <c r="G15" s="5430"/>
      <c r="H15" s="5430"/>
      <c r="I15" s="5431"/>
      <c r="K15" s="1268">
        <v>120</v>
      </c>
      <c r="L15" s="5428" t="s">
        <v>2066</v>
      </c>
      <c r="M15" s="5322"/>
      <c r="N15" s="5429" t="str">
        <f>IF(K10=0,"",VLOOKUP(K10,'Tablas psiquica'!$D$7:$R$145,9,FALSE))</f>
        <v/>
      </c>
      <c r="O15" s="5430"/>
      <c r="P15" s="5430"/>
      <c r="Q15" s="5431"/>
      <c r="R15" s="1216"/>
      <c r="S15" s="1210"/>
      <c r="T15" s="1210"/>
      <c r="U15" s="615"/>
      <c r="V15" s="1268">
        <v>120</v>
      </c>
      <c r="W15" s="5428" t="s">
        <v>2066</v>
      </c>
      <c r="X15" s="5322"/>
      <c r="Y15" s="5429" t="str">
        <f>IF(V10=0,"",VLOOKUP(V10,'Tablas psiquica'!$D$7:$R$145,9,FALSE))</f>
        <v/>
      </c>
      <c r="Z15" s="5430"/>
      <c r="AA15" s="5430"/>
      <c r="AB15" s="5431"/>
      <c r="AC15" s="1269"/>
      <c r="AD15" s="1268">
        <v>120</v>
      </c>
      <c r="AE15" s="5428" t="s">
        <v>2066</v>
      </c>
      <c r="AF15" s="5322"/>
      <c r="AG15" s="5429" t="str">
        <f>IF(AD10=0,"",VLOOKUP(AD10,'Tablas psiquica'!$D$7:$R$145,9,FALSE))</f>
        <v/>
      </c>
      <c r="AH15" s="5430"/>
      <c r="AI15" s="5430"/>
      <c r="AJ15" s="5431"/>
      <c r="AK15" s="1216"/>
      <c r="AL15" s="1210"/>
      <c r="AM15" s="1224"/>
      <c r="AN15" s="1224"/>
      <c r="AO15" s="1224"/>
      <c r="AP15" s="1225"/>
      <c r="AQ15" s="1225"/>
      <c r="AR15" s="1218"/>
      <c r="AS15" s="698"/>
    </row>
    <row r="16" spans="1:45" ht="12" customHeight="1" x14ac:dyDescent="0.2">
      <c r="A16" s="1210"/>
      <c r="B16" s="615"/>
      <c r="C16" s="1266">
        <v>140</v>
      </c>
      <c r="D16" s="5419" t="s">
        <v>8168</v>
      </c>
      <c r="E16" s="5317"/>
      <c r="F16" s="5420" t="str">
        <f>IF(C10=0,"",VLOOKUP(C10,'Tablas psiquica'!$D$7:$R$145,10,FALSE))</f>
        <v/>
      </c>
      <c r="G16" s="5421"/>
      <c r="H16" s="5421"/>
      <c r="I16" s="5422"/>
      <c r="K16" s="1266">
        <v>140</v>
      </c>
      <c r="L16" s="5419" t="s">
        <v>8168</v>
      </c>
      <c r="M16" s="5317"/>
      <c r="N16" s="5420" t="str">
        <f>IF(K10=0,"",VLOOKUP(K10,'Tablas psiquica'!$D$7:$R$145,10,FALSE))</f>
        <v/>
      </c>
      <c r="O16" s="5421"/>
      <c r="P16" s="5421"/>
      <c r="Q16" s="5422"/>
      <c r="R16" s="1216"/>
      <c r="S16" s="1210"/>
      <c r="T16" s="1210"/>
      <c r="U16" s="615"/>
      <c r="V16" s="1266">
        <v>140</v>
      </c>
      <c r="W16" s="5419" t="s">
        <v>8168</v>
      </c>
      <c r="X16" s="5317"/>
      <c r="Y16" s="5420" t="str">
        <f>IF(V10=0,"",VLOOKUP(V10,'Tablas psiquica'!$D$7:$R$145,10,FALSE))</f>
        <v/>
      </c>
      <c r="Z16" s="5421"/>
      <c r="AA16" s="5421"/>
      <c r="AB16" s="5422"/>
      <c r="AC16" s="1270"/>
      <c r="AD16" s="1266">
        <v>140</v>
      </c>
      <c r="AE16" s="5419" t="s">
        <v>8168</v>
      </c>
      <c r="AF16" s="5317"/>
      <c r="AG16" s="5420" t="str">
        <f>IF(AD10=0,"",VLOOKUP(AD10,'Tablas psiquica'!$D$7:$R$145,10,FALSE))</f>
        <v/>
      </c>
      <c r="AH16" s="5421"/>
      <c r="AI16" s="5421"/>
      <c r="AJ16" s="5422"/>
      <c r="AK16" s="1216"/>
      <c r="AL16" s="1210"/>
      <c r="AM16" s="1226"/>
      <c r="AN16" s="1226"/>
      <c r="AO16" s="1226"/>
      <c r="AP16" s="1227"/>
      <c r="AQ16" s="1227"/>
      <c r="AR16" s="1218"/>
      <c r="AS16" s="698"/>
    </row>
    <row r="17" spans="1:45" ht="12" customHeight="1" x14ac:dyDescent="0.2">
      <c r="A17" s="1210"/>
      <c r="B17" s="615"/>
      <c r="C17" s="1268">
        <v>180</v>
      </c>
      <c r="D17" s="5428" t="s">
        <v>2071</v>
      </c>
      <c r="E17" s="5322"/>
      <c r="F17" s="5429" t="str">
        <f>IF(C10=0,"",VLOOKUP(C10,'Tablas psiquica'!$D$7:$R$145,11,FALSE))</f>
        <v/>
      </c>
      <c r="G17" s="5430"/>
      <c r="H17" s="5430"/>
      <c r="I17" s="5431"/>
      <c r="K17" s="1268">
        <v>180</v>
      </c>
      <c r="L17" s="5428" t="s">
        <v>2071</v>
      </c>
      <c r="M17" s="5322"/>
      <c r="N17" s="5429" t="str">
        <f>IF(K10=0,"",VLOOKUP(K10,'Tablas psiquica'!$D$7:$R$145,11,FALSE))</f>
        <v/>
      </c>
      <c r="O17" s="5430"/>
      <c r="P17" s="5430"/>
      <c r="Q17" s="5431"/>
      <c r="R17" s="1216"/>
      <c r="S17" s="1210"/>
      <c r="T17" s="1210"/>
      <c r="U17" s="615"/>
      <c r="V17" s="1268">
        <v>180</v>
      </c>
      <c r="W17" s="5428" t="s">
        <v>2071</v>
      </c>
      <c r="X17" s="5322"/>
      <c r="Y17" s="5429" t="str">
        <f>IF(V10=0,"",VLOOKUP(V10,'Tablas psiquica'!$D$7:$R$145,11,FALSE))</f>
        <v/>
      </c>
      <c r="Z17" s="5430"/>
      <c r="AA17" s="5430"/>
      <c r="AB17" s="5431"/>
      <c r="AC17" s="1258"/>
      <c r="AD17" s="1268">
        <v>180</v>
      </c>
      <c r="AE17" s="5428" t="s">
        <v>2071</v>
      </c>
      <c r="AF17" s="5322"/>
      <c r="AG17" s="5429" t="str">
        <f>IF(AD10=0,"",VLOOKUP(AD10,'Tablas psiquica'!$D$7:$R$145,11,FALSE))</f>
        <v/>
      </c>
      <c r="AH17" s="5430"/>
      <c r="AI17" s="5430"/>
      <c r="AJ17" s="5431"/>
      <c r="AK17" s="1216"/>
      <c r="AL17" s="1210"/>
      <c r="AM17" s="1224"/>
      <c r="AP17" s="1225"/>
      <c r="AQ17" s="1225"/>
      <c r="AR17" s="1218"/>
      <c r="AS17" s="698"/>
    </row>
    <row r="18" spans="1:45" ht="12" customHeight="1" x14ac:dyDescent="0.2">
      <c r="A18" s="1210"/>
      <c r="B18" s="615"/>
      <c r="C18" s="1266">
        <v>240</v>
      </c>
      <c r="D18" s="5419" t="s">
        <v>8169</v>
      </c>
      <c r="E18" s="5317"/>
      <c r="F18" s="5420" t="str">
        <f>IF(C10=0,"",VLOOKUP(C10,'Tablas psiquica'!$D$7:$R$145,12,FALSE))</f>
        <v/>
      </c>
      <c r="G18" s="5421"/>
      <c r="H18" s="5421"/>
      <c r="I18" s="5422"/>
      <c r="K18" s="1266">
        <v>240</v>
      </c>
      <c r="L18" s="5419" t="s">
        <v>8169</v>
      </c>
      <c r="M18" s="5317"/>
      <c r="N18" s="5420" t="str">
        <f>IF(K10=0,"",VLOOKUP(K10,'Tablas psiquica'!$D$7:$R$145,12,FALSE))</f>
        <v/>
      </c>
      <c r="O18" s="5421"/>
      <c r="P18" s="5421"/>
      <c r="Q18" s="5422"/>
      <c r="R18" s="1216"/>
      <c r="S18" s="1210"/>
      <c r="T18" s="1210"/>
      <c r="U18" s="615"/>
      <c r="V18" s="1266">
        <v>240</v>
      </c>
      <c r="W18" s="5419" t="s">
        <v>8169</v>
      </c>
      <c r="X18" s="5317"/>
      <c r="Y18" s="5420" t="str">
        <f>IF(V10=0,"",VLOOKUP(V10,'Tablas psiquica'!$D$7:$R$145,12,FALSE))</f>
        <v/>
      </c>
      <c r="Z18" s="5421"/>
      <c r="AA18" s="5421"/>
      <c r="AB18" s="5422"/>
      <c r="AC18" s="1258"/>
      <c r="AD18" s="1266">
        <v>240</v>
      </c>
      <c r="AE18" s="5419" t="s">
        <v>8169</v>
      </c>
      <c r="AF18" s="5317"/>
      <c r="AG18" s="5420" t="str">
        <f>IF(AD10=0,"",VLOOKUP(AD10,'Tablas psiquica'!$D$7:$R$145,12,FALSE))</f>
        <v/>
      </c>
      <c r="AH18" s="5421"/>
      <c r="AI18" s="5421"/>
      <c r="AJ18" s="5422"/>
      <c r="AK18" s="1216"/>
      <c r="AL18" s="1210"/>
      <c r="AM18" s="1226"/>
      <c r="AP18" s="1227"/>
      <c r="AQ18" s="1227"/>
      <c r="AR18" s="1218"/>
      <c r="AS18" s="698"/>
    </row>
    <row r="19" spans="1:45" ht="12" customHeight="1" x14ac:dyDescent="0.2">
      <c r="A19" s="1210"/>
      <c r="B19" s="615"/>
      <c r="C19" s="1268">
        <v>280</v>
      </c>
      <c r="D19" s="5428" t="s">
        <v>2076</v>
      </c>
      <c r="E19" s="5322"/>
      <c r="F19" s="5429" t="str">
        <f>IF(C10=0,"",VLOOKUP(C10,'Tablas psiquica'!$D$7:$R$145,13,FALSE))</f>
        <v/>
      </c>
      <c r="G19" s="5430"/>
      <c r="H19" s="5430"/>
      <c r="I19" s="5431"/>
      <c r="K19" s="1268">
        <v>280</v>
      </c>
      <c r="L19" s="5428" t="s">
        <v>2076</v>
      </c>
      <c r="M19" s="5322"/>
      <c r="N19" s="5429" t="str">
        <f>IF(K10=0,"",VLOOKUP(K10,'Tablas psiquica'!$D$7:$R$145,13,FALSE))</f>
        <v/>
      </c>
      <c r="O19" s="5430"/>
      <c r="P19" s="5430"/>
      <c r="Q19" s="5431"/>
      <c r="R19" s="1216"/>
      <c r="S19" s="1210"/>
      <c r="T19" s="1210"/>
      <c r="U19" s="615"/>
      <c r="V19" s="1268">
        <v>280</v>
      </c>
      <c r="W19" s="5428" t="s">
        <v>2076</v>
      </c>
      <c r="X19" s="5322"/>
      <c r="Y19" s="5429" t="str">
        <f>IF(V10=0,"",VLOOKUP(V10,'Tablas psiquica'!$D$7:$R$145,13,FALSE))</f>
        <v/>
      </c>
      <c r="Z19" s="5430"/>
      <c r="AA19" s="5430"/>
      <c r="AB19" s="5431"/>
      <c r="AC19" s="1258"/>
      <c r="AD19" s="1268">
        <v>280</v>
      </c>
      <c r="AE19" s="5428" t="s">
        <v>2076</v>
      </c>
      <c r="AF19" s="5322"/>
      <c r="AG19" s="5429" t="str">
        <f>IF(AD10=0,"",VLOOKUP(AD10,'Tablas psiquica'!$D$7:$R$145,13,FALSE))</f>
        <v/>
      </c>
      <c r="AH19" s="5430"/>
      <c r="AI19" s="5430"/>
      <c r="AJ19" s="5431"/>
      <c r="AK19" s="1216"/>
      <c r="AL19" s="1210"/>
      <c r="AM19" s="1224"/>
      <c r="AP19" s="1225"/>
      <c r="AQ19" s="1225"/>
      <c r="AR19" s="1218"/>
      <c r="AS19" s="698"/>
    </row>
    <row r="20" spans="1:45" ht="12" customHeight="1" x14ac:dyDescent="0.2">
      <c r="A20" s="1210"/>
      <c r="B20" s="615"/>
      <c r="C20" s="1266">
        <v>320</v>
      </c>
      <c r="D20" s="5419" t="s">
        <v>2078</v>
      </c>
      <c r="E20" s="5317"/>
      <c r="F20" s="5420" t="str">
        <f>IF(C10=0,"",VLOOKUP(C10,'Tablas psiquica'!$D$7:$R$145,14,FALSE))</f>
        <v/>
      </c>
      <c r="G20" s="5421"/>
      <c r="H20" s="5421"/>
      <c r="I20" s="5422"/>
      <c r="K20" s="1266">
        <v>320</v>
      </c>
      <c r="L20" s="5419" t="s">
        <v>2078</v>
      </c>
      <c r="M20" s="5317"/>
      <c r="N20" s="5420" t="str">
        <f>IF(K10=0,"",VLOOKUP(K10,'Tablas psiquica'!$D$7:$R$145,14,FALSE))</f>
        <v/>
      </c>
      <c r="O20" s="5421"/>
      <c r="P20" s="5421"/>
      <c r="Q20" s="5422"/>
      <c r="R20" s="1216"/>
      <c r="S20" s="1210"/>
      <c r="T20" s="1210"/>
      <c r="U20" s="615"/>
      <c r="V20" s="1266">
        <v>320</v>
      </c>
      <c r="W20" s="5419" t="s">
        <v>2078</v>
      </c>
      <c r="X20" s="5317"/>
      <c r="Y20" s="5420" t="str">
        <f>IF(V10=0,"",VLOOKUP(V10,'Tablas psiquica'!$D$7:$R$145,14,FALSE))</f>
        <v/>
      </c>
      <c r="Z20" s="5421"/>
      <c r="AA20" s="5421"/>
      <c r="AB20" s="5422"/>
      <c r="AC20" s="1258"/>
      <c r="AD20" s="1266">
        <v>320</v>
      </c>
      <c r="AE20" s="5419" t="s">
        <v>2078</v>
      </c>
      <c r="AF20" s="5317"/>
      <c r="AG20" s="5420" t="str">
        <f>IF(AD10=0,"",VLOOKUP(AD10,'Tablas psiquica'!$D$7:$R$145,14,FALSE))</f>
        <v/>
      </c>
      <c r="AH20" s="5421"/>
      <c r="AI20" s="5421"/>
      <c r="AJ20" s="5422"/>
      <c r="AK20" s="1216"/>
      <c r="AL20" s="1210"/>
      <c r="AM20" s="1226"/>
      <c r="AP20" s="1227"/>
      <c r="AQ20" s="1227"/>
      <c r="AR20" s="1218"/>
      <c r="AS20" s="698"/>
    </row>
    <row r="21" spans="1:45" ht="12" customHeight="1" x14ac:dyDescent="0.2">
      <c r="A21" s="1210"/>
      <c r="B21" s="615"/>
      <c r="C21" s="1271">
        <v>440</v>
      </c>
      <c r="D21" s="5423" t="s">
        <v>2012</v>
      </c>
      <c r="E21" s="5424"/>
      <c r="F21" s="5425" t="str">
        <f>IF(C10=0,"",VLOOKUP(C10,'Tablas psiquica'!$D$7:$R$145,15,FALSE))</f>
        <v/>
      </c>
      <c r="G21" s="5426"/>
      <c r="H21" s="5426"/>
      <c r="I21" s="5427"/>
      <c r="K21" s="1271">
        <v>440</v>
      </c>
      <c r="L21" s="5423" t="s">
        <v>2012</v>
      </c>
      <c r="M21" s="5424"/>
      <c r="N21" s="5425" t="str">
        <f>IF(K10=0,"",VLOOKUP(K10,'Tablas psiquica'!$D$7:$R$145,15,FALSE))</f>
        <v/>
      </c>
      <c r="O21" s="5426"/>
      <c r="P21" s="5426"/>
      <c r="Q21" s="5427"/>
      <c r="R21" s="1216"/>
      <c r="S21" s="1210"/>
      <c r="T21" s="1210"/>
      <c r="U21" s="615"/>
      <c r="V21" s="1271">
        <v>440</v>
      </c>
      <c r="W21" s="5423" t="s">
        <v>2012</v>
      </c>
      <c r="X21" s="5424"/>
      <c r="Y21" s="5425" t="str">
        <f>IF(V10=0,"",VLOOKUP(V10,'Tablas psiquica'!$D$7:$R$145,15,FALSE))</f>
        <v/>
      </c>
      <c r="Z21" s="5426"/>
      <c r="AA21" s="5426"/>
      <c r="AB21" s="5427"/>
      <c r="AC21" s="1258"/>
      <c r="AD21" s="1271">
        <v>440</v>
      </c>
      <c r="AE21" s="5423" t="s">
        <v>2012</v>
      </c>
      <c r="AF21" s="5424"/>
      <c r="AG21" s="5425" t="str">
        <f>IF(AD10=0,"",VLOOKUP(AD10,'Tablas psiquica'!$D$7:$R$145,15,FALSE))</f>
        <v/>
      </c>
      <c r="AH21" s="5426"/>
      <c r="AI21" s="5426"/>
      <c r="AJ21" s="5427"/>
      <c r="AK21" s="1216"/>
      <c r="AL21" s="1210"/>
      <c r="AM21" s="1224"/>
      <c r="AP21" s="1225"/>
      <c r="AQ21" s="1225"/>
      <c r="AR21" s="1218"/>
      <c r="AS21" s="698"/>
    </row>
    <row r="22" spans="1:45" ht="12" customHeight="1" thickBot="1" x14ac:dyDescent="0.25">
      <c r="A22" s="1210"/>
      <c r="B22" s="615"/>
      <c r="C22" s="5416" t="s">
        <v>8170</v>
      </c>
      <c r="D22" s="5417"/>
      <c r="E22" s="1272" t="str">
        <f>IF(C10=0,"",VLOOKUP(C10,'Tablas psiquica'!$D$7:$R$145,4,FALSE))</f>
        <v/>
      </c>
      <c r="F22" s="5418" t="s">
        <v>8165</v>
      </c>
      <c r="G22" s="5418"/>
      <c r="H22" s="4251" t="str">
        <f>IF(C10=0,"",VLOOKUP(C10,'Tablas psiquica'!$D$7:$R$145,5,FALSE))</f>
        <v/>
      </c>
      <c r="I22" s="4252"/>
      <c r="K22" s="5416" t="s">
        <v>8170</v>
      </c>
      <c r="L22" s="5417"/>
      <c r="M22" s="1272" t="str">
        <f>IF(K10=0,"",VLOOKUP(K10,'Tablas psiquica'!$D$7:$R$145,4,FALSE))</f>
        <v/>
      </c>
      <c r="N22" s="5418" t="s">
        <v>8165</v>
      </c>
      <c r="O22" s="5418"/>
      <c r="P22" s="4251" t="str">
        <f>IF(K10=0,"",VLOOKUP(K10,'Tablas psiquica'!$D$7:$R$145,5,FALSE))</f>
        <v/>
      </c>
      <c r="Q22" s="4252"/>
      <c r="R22" s="1216"/>
      <c r="S22" s="1210"/>
      <c r="T22" s="1210"/>
      <c r="U22" s="615"/>
      <c r="V22" s="5416" t="s">
        <v>8170</v>
      </c>
      <c r="W22" s="5417"/>
      <c r="X22" s="1272" t="str">
        <f>IF(V10=0,"",VLOOKUP(V10,'Tablas psiquica'!$D$7:$R$145,4,FALSE))</f>
        <v/>
      </c>
      <c r="Y22" s="5418" t="s">
        <v>8165</v>
      </c>
      <c r="Z22" s="5418"/>
      <c r="AA22" s="4251" t="str">
        <f>IF(V10=0,"",VLOOKUP(V10,'Tablas psiquica'!$D$7:$R$145,5,FALSE))</f>
        <v/>
      </c>
      <c r="AB22" s="4252"/>
      <c r="AC22" s="1258"/>
      <c r="AD22" s="5416" t="s">
        <v>8170</v>
      </c>
      <c r="AE22" s="5417"/>
      <c r="AF22" s="1272" t="str">
        <f>IF(AD10=0,"",VLOOKUP(AD10,'Tablas psiquica'!$D$7:$R$145,4,FALSE))</f>
        <v/>
      </c>
      <c r="AG22" s="5418" t="s">
        <v>8165</v>
      </c>
      <c r="AH22" s="5418"/>
      <c r="AI22" s="4251" t="str">
        <f>IF(AD10=0,"",VLOOKUP(AD10,'Tablas psiquica'!$D$7:$R$145,5,FALSE))</f>
        <v/>
      </c>
      <c r="AJ22" s="4252"/>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42"/>
      <c r="D24" s="5343"/>
      <c r="E24" s="5343"/>
      <c r="F24" s="5343"/>
      <c r="G24" s="5343"/>
      <c r="H24" s="5343"/>
      <c r="I24" s="1263" t="s">
        <v>1715</v>
      </c>
      <c r="K24" s="5342"/>
      <c r="L24" s="5343"/>
      <c r="M24" s="5343"/>
      <c r="N24" s="5343"/>
      <c r="O24" s="5343"/>
      <c r="P24" s="5343"/>
      <c r="Q24" s="1263" t="s">
        <v>1715</v>
      </c>
      <c r="R24" s="1216"/>
      <c r="S24" s="1210"/>
      <c r="T24" s="1210"/>
      <c r="U24" s="615"/>
      <c r="V24" s="5342"/>
      <c r="W24" s="5343"/>
      <c r="X24" s="5343"/>
      <c r="Y24" s="5343"/>
      <c r="Z24" s="5343"/>
      <c r="AA24" s="5343"/>
      <c r="AB24" s="1263" t="s">
        <v>1715</v>
      </c>
      <c r="AC24" s="1258"/>
      <c r="AD24" s="5342"/>
      <c r="AE24" s="5343"/>
      <c r="AF24" s="5343"/>
      <c r="AG24" s="5343"/>
      <c r="AH24" s="5343"/>
      <c r="AI24" s="5343"/>
      <c r="AJ24" s="1263" t="s">
        <v>1715</v>
      </c>
      <c r="AK24" s="1216"/>
      <c r="AL24" s="1210"/>
      <c r="AM24" s="1226"/>
      <c r="AN24" s="1226"/>
      <c r="AO24" s="1226"/>
      <c r="AP24" s="1227"/>
      <c r="AQ24" s="1227"/>
      <c r="AR24" s="1218"/>
      <c r="AS24" s="698"/>
    </row>
    <row r="25" spans="1:45" ht="12" customHeight="1" x14ac:dyDescent="0.2">
      <c r="A25" s="1210"/>
      <c r="B25" s="615"/>
      <c r="C25" s="5432" t="str">
        <f>IF(C24=0,"",VLOOKUP(C24,'Tablas psiquica'!$D$7:$R$145,2,FALSE))</f>
        <v/>
      </c>
      <c r="D25" s="5433"/>
      <c r="E25" s="5433"/>
      <c r="F25" s="5433"/>
      <c r="G25" s="5433"/>
      <c r="H25" s="5433"/>
      <c r="I25" s="1265" t="str">
        <f>IF(C24=0,"",VLOOKUP(C24,'Tablas psiquica'!$D$7:$R$145,3,FALSE))</f>
        <v/>
      </c>
      <c r="K25" s="5432" t="str">
        <f>IF(K24=0,"",VLOOKUP(K24,'Tablas psiquica'!$D$7:$R$145,2,FALSE))</f>
        <v/>
      </c>
      <c r="L25" s="5433"/>
      <c r="M25" s="5433"/>
      <c r="N25" s="5433"/>
      <c r="O25" s="5433"/>
      <c r="P25" s="5433"/>
      <c r="Q25" s="1265" t="str">
        <f>IF(K24=0,"",VLOOKUP(K24,'Tablas psiquica'!$D$7:$R$145,3,FALSE))</f>
        <v/>
      </c>
      <c r="R25" s="1216"/>
      <c r="S25" s="1210"/>
      <c r="T25" s="1210"/>
      <c r="U25" s="615"/>
      <c r="V25" s="5432" t="str">
        <f>IF(V24=0,"",VLOOKUP(V24,'Tablas psiquica'!$D$7:$R$145,2,FALSE))</f>
        <v/>
      </c>
      <c r="W25" s="5433"/>
      <c r="X25" s="5433"/>
      <c r="Y25" s="5433"/>
      <c r="Z25" s="5433"/>
      <c r="AA25" s="5433"/>
      <c r="AB25" s="1265" t="str">
        <f>IF(V24=0,"",VLOOKUP(V24,'Tablas psiquica'!$D$7:$R$145,3,FALSE))</f>
        <v/>
      </c>
      <c r="AC25" s="1258"/>
      <c r="AD25" s="5432" t="str">
        <f>IF(AD24=0,"",VLOOKUP(AD24,'Tablas psiquica'!$D$7:$R$145,2,FALSE))</f>
        <v/>
      </c>
      <c r="AE25" s="5433"/>
      <c r="AF25" s="5433"/>
      <c r="AG25" s="5433"/>
      <c r="AH25" s="5433"/>
      <c r="AI25" s="5433"/>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19" t="s">
        <v>2055</v>
      </c>
      <c r="E26" s="5317"/>
      <c r="F26" s="5420" t="str">
        <f>IF(C24=0,"",VLOOKUP(C24,'Tablas psiquica'!$D$7:$R$145,6,FALSE))</f>
        <v/>
      </c>
      <c r="G26" s="5421"/>
      <c r="H26" s="5421"/>
      <c r="I26" s="5422"/>
      <c r="K26" s="1266">
        <v>20</v>
      </c>
      <c r="L26" s="5419" t="s">
        <v>2055</v>
      </c>
      <c r="M26" s="5317"/>
      <c r="N26" s="5420" t="str">
        <f>IF(K24=0,"",VLOOKUP(K24,'Tablas psiquica'!$D$7:$R$145,6,FALSE))</f>
        <v/>
      </c>
      <c r="O26" s="5421"/>
      <c r="P26" s="5421"/>
      <c r="Q26" s="5422"/>
      <c r="R26" s="1216"/>
      <c r="S26" s="1210"/>
      <c r="T26" s="1210"/>
      <c r="U26" s="615"/>
      <c r="V26" s="1266">
        <v>20</v>
      </c>
      <c r="W26" s="5419" t="s">
        <v>2055</v>
      </c>
      <c r="X26" s="5317"/>
      <c r="Y26" s="5420" t="str">
        <f>IF(V24=0,"",VLOOKUP(V24,'Tablas psiquica'!$D$7:$R$145,6,FALSE))</f>
        <v/>
      </c>
      <c r="Z26" s="5421"/>
      <c r="AA26" s="5421"/>
      <c r="AB26" s="5422"/>
      <c r="AC26" s="1276"/>
      <c r="AD26" s="1266">
        <v>20</v>
      </c>
      <c r="AE26" s="5419" t="s">
        <v>2055</v>
      </c>
      <c r="AF26" s="5317"/>
      <c r="AG26" s="5420" t="str">
        <f>IF(AD24=0,"",VLOOKUP(AD24,'Tablas psiquica'!$D$7:$R$145,6,FALSE))</f>
        <v/>
      </c>
      <c r="AH26" s="5421"/>
      <c r="AI26" s="5421"/>
      <c r="AJ26" s="5422"/>
      <c r="AK26" s="1216"/>
      <c r="AL26" s="1210"/>
      <c r="AM26" s="698"/>
      <c r="AN26" s="1246"/>
      <c r="AO26" s="1246"/>
      <c r="AP26" s="1246"/>
      <c r="AQ26" s="1246"/>
      <c r="AR26" s="698"/>
      <c r="AS26" s="698"/>
    </row>
    <row r="27" spans="1:45" ht="12" customHeight="1" x14ac:dyDescent="0.2">
      <c r="A27" s="1210"/>
      <c r="B27" s="615"/>
      <c r="C27" s="1268">
        <v>40</v>
      </c>
      <c r="D27" s="5428" t="s">
        <v>2059</v>
      </c>
      <c r="E27" s="5322"/>
      <c r="F27" s="5429" t="str">
        <f>IF(C24=0,"",VLOOKUP(C24,'Tablas psiquica'!$D$7:$R$145,7,FALSE))</f>
        <v/>
      </c>
      <c r="G27" s="5430"/>
      <c r="H27" s="5430"/>
      <c r="I27" s="5431"/>
      <c r="K27" s="1268">
        <v>40</v>
      </c>
      <c r="L27" s="5428" t="s">
        <v>2059</v>
      </c>
      <c r="M27" s="5322"/>
      <c r="N27" s="5429" t="str">
        <f>IF(K24=0,"",VLOOKUP(K24,'Tablas psiquica'!$D$7:$R$145,7,FALSE))</f>
        <v/>
      </c>
      <c r="O27" s="5430"/>
      <c r="P27" s="5430"/>
      <c r="Q27" s="5431"/>
      <c r="R27" s="1216"/>
      <c r="S27" s="1210"/>
      <c r="T27" s="1210"/>
      <c r="U27" s="615"/>
      <c r="V27" s="1268">
        <v>40</v>
      </c>
      <c r="W27" s="5428" t="s">
        <v>2059</v>
      </c>
      <c r="X27" s="5322"/>
      <c r="Y27" s="5429" t="str">
        <f>IF(V24=0,"",VLOOKUP(V24,'Tablas psiquica'!$D$7:$R$145,7,FALSE))</f>
        <v/>
      </c>
      <c r="Z27" s="5430"/>
      <c r="AA27" s="5430"/>
      <c r="AB27" s="5431"/>
      <c r="AC27" s="1276"/>
      <c r="AD27" s="1268">
        <v>40</v>
      </c>
      <c r="AE27" s="5428" t="s">
        <v>2059</v>
      </c>
      <c r="AF27" s="5322"/>
      <c r="AG27" s="5429" t="str">
        <f>IF(AD24=0,"",VLOOKUP(AD24,'Tablas psiquica'!$D$7:$R$145,7,FALSE))</f>
        <v/>
      </c>
      <c r="AH27" s="5430"/>
      <c r="AI27" s="5430"/>
      <c r="AJ27" s="5431"/>
      <c r="AK27" s="1216"/>
      <c r="AL27" s="1210"/>
      <c r="AM27" s="698"/>
      <c r="AN27" s="698"/>
      <c r="AO27" s="698"/>
      <c r="AP27" s="698"/>
      <c r="AQ27" s="1217"/>
      <c r="AR27" s="1217"/>
      <c r="AS27" s="698"/>
    </row>
    <row r="28" spans="1:45" ht="12" customHeight="1" x14ac:dyDescent="0.2">
      <c r="A28" s="1210"/>
      <c r="B28" s="615"/>
      <c r="C28" s="1266">
        <v>80</v>
      </c>
      <c r="D28" s="5419" t="s">
        <v>2062</v>
      </c>
      <c r="E28" s="5317"/>
      <c r="F28" s="5420" t="str">
        <f>IF(C24=0,"",VLOOKUP(C24,'Tablas psiquica'!$D$7:$R$145,8,FALSE))</f>
        <v/>
      </c>
      <c r="G28" s="5421"/>
      <c r="H28" s="5421"/>
      <c r="I28" s="5422"/>
      <c r="K28" s="1266">
        <v>80</v>
      </c>
      <c r="L28" s="5419" t="s">
        <v>2062</v>
      </c>
      <c r="M28" s="5317"/>
      <c r="N28" s="5420" t="str">
        <f>IF(K24=0,"",VLOOKUP(K24,'Tablas psiquica'!$D$7:$R$145,8,FALSE))</f>
        <v/>
      </c>
      <c r="O28" s="5421"/>
      <c r="P28" s="5421"/>
      <c r="Q28" s="5422"/>
      <c r="R28" s="1216"/>
      <c r="S28" s="1210"/>
      <c r="T28" s="1210"/>
      <c r="U28" s="615"/>
      <c r="V28" s="1266">
        <v>80</v>
      </c>
      <c r="W28" s="5419" t="s">
        <v>2062</v>
      </c>
      <c r="X28" s="5317"/>
      <c r="Y28" s="5420" t="str">
        <f>IF(V24=0,"",VLOOKUP(V24,'Tablas psiquica'!$D$7:$R$145,8,FALSE))</f>
        <v/>
      </c>
      <c r="Z28" s="5421"/>
      <c r="AA28" s="5421"/>
      <c r="AB28" s="5422"/>
      <c r="AC28" s="1270"/>
      <c r="AD28" s="1266">
        <v>80</v>
      </c>
      <c r="AE28" s="5419" t="s">
        <v>2062</v>
      </c>
      <c r="AF28" s="5317"/>
      <c r="AG28" s="5420" t="str">
        <f>IF(AD24=0,"",VLOOKUP(AD24,'Tablas psiquica'!$D$7:$R$145,8,FALSE))</f>
        <v/>
      </c>
      <c r="AH28" s="5421"/>
      <c r="AI28" s="5421"/>
      <c r="AJ28" s="5422"/>
      <c r="AK28" s="1216"/>
      <c r="AL28" s="1210"/>
      <c r="AM28" s="698"/>
      <c r="AN28" s="698"/>
      <c r="AO28" s="698"/>
      <c r="AP28" s="698"/>
      <c r="AQ28" s="1218"/>
      <c r="AR28" s="1220"/>
      <c r="AS28" s="698"/>
    </row>
    <row r="29" spans="1:45" ht="12" customHeight="1" x14ac:dyDescent="0.2">
      <c r="A29" s="1210"/>
      <c r="B29" s="615"/>
      <c r="C29" s="1268">
        <v>120</v>
      </c>
      <c r="D29" s="5428" t="s">
        <v>2066</v>
      </c>
      <c r="E29" s="5322"/>
      <c r="F29" s="5429" t="str">
        <f>IF(C24=0,"",VLOOKUP(C24,'Tablas psiquica'!$D$7:$R$145,9,FALSE))</f>
        <v/>
      </c>
      <c r="G29" s="5430"/>
      <c r="H29" s="5430"/>
      <c r="I29" s="5431"/>
      <c r="K29" s="1268">
        <v>120</v>
      </c>
      <c r="L29" s="5428" t="s">
        <v>2066</v>
      </c>
      <c r="M29" s="5322"/>
      <c r="N29" s="5429" t="str">
        <f>IF(K24=0,"",VLOOKUP(K24,'Tablas psiquica'!$D$7:$R$145,9,FALSE))</f>
        <v/>
      </c>
      <c r="O29" s="5430"/>
      <c r="P29" s="5430"/>
      <c r="Q29" s="5431"/>
      <c r="R29" s="1216"/>
      <c r="S29" s="1210"/>
      <c r="T29" s="1210"/>
      <c r="U29" s="615"/>
      <c r="V29" s="1268">
        <v>120</v>
      </c>
      <c r="W29" s="5428" t="s">
        <v>2066</v>
      </c>
      <c r="X29" s="5322"/>
      <c r="Y29" s="5429" t="str">
        <f>IF(V24=0,"",VLOOKUP(V24,'Tablas psiquica'!$D$7:$R$145,9,FALSE))</f>
        <v/>
      </c>
      <c r="Z29" s="5430"/>
      <c r="AA29" s="5430"/>
      <c r="AB29" s="5431"/>
      <c r="AC29" s="1277"/>
      <c r="AD29" s="1268">
        <v>120</v>
      </c>
      <c r="AE29" s="5428" t="s">
        <v>2066</v>
      </c>
      <c r="AF29" s="5322"/>
      <c r="AG29" s="5429" t="str">
        <f>IF(AD24=0,"",VLOOKUP(AD24,'Tablas psiquica'!$D$7:$R$145,9,FALSE))</f>
        <v/>
      </c>
      <c r="AH29" s="5430"/>
      <c r="AI29" s="5430"/>
      <c r="AJ29" s="5431"/>
      <c r="AK29" s="1216"/>
      <c r="AL29" s="1210"/>
      <c r="AM29" s="698"/>
      <c r="AN29" s="698"/>
      <c r="AO29" s="698"/>
      <c r="AP29" s="698"/>
      <c r="AQ29" s="1218"/>
      <c r="AR29" s="1247"/>
      <c r="AS29" s="698"/>
    </row>
    <row r="30" spans="1:45" ht="12" customHeight="1" x14ac:dyDescent="0.2">
      <c r="A30" s="1210"/>
      <c r="B30" s="615"/>
      <c r="C30" s="1266">
        <v>140</v>
      </c>
      <c r="D30" s="5419" t="s">
        <v>8168</v>
      </c>
      <c r="E30" s="5317"/>
      <c r="F30" s="5420" t="str">
        <f>IF(C24=0,"",VLOOKUP(C24,'Tablas psiquica'!$D$7:$R$145,10,FALSE))</f>
        <v/>
      </c>
      <c r="G30" s="5421"/>
      <c r="H30" s="5421"/>
      <c r="I30" s="5422"/>
      <c r="K30" s="1266">
        <v>140</v>
      </c>
      <c r="L30" s="5419" t="s">
        <v>8168</v>
      </c>
      <c r="M30" s="5317"/>
      <c r="N30" s="5420" t="str">
        <f>IF(K24=0,"",VLOOKUP(K24,'Tablas psiquica'!$D$7:$R$145,10,FALSE))</f>
        <v/>
      </c>
      <c r="O30" s="5421"/>
      <c r="P30" s="5421"/>
      <c r="Q30" s="5422"/>
      <c r="R30" s="1216"/>
      <c r="S30" s="1210"/>
      <c r="T30" s="1210"/>
      <c r="U30" s="615"/>
      <c r="V30" s="1266">
        <v>140</v>
      </c>
      <c r="W30" s="5419" t="s">
        <v>8168</v>
      </c>
      <c r="X30" s="5317"/>
      <c r="Y30" s="5420" t="str">
        <f>IF(V24=0,"",VLOOKUP(V24,'Tablas psiquica'!$D$7:$R$145,10,FALSE))</f>
        <v/>
      </c>
      <c r="Z30" s="5421"/>
      <c r="AA30" s="5421"/>
      <c r="AB30" s="5422"/>
      <c r="AC30" s="1276"/>
      <c r="AD30" s="1266">
        <v>140</v>
      </c>
      <c r="AE30" s="5419" t="s">
        <v>8168</v>
      </c>
      <c r="AF30" s="5317"/>
      <c r="AG30" s="5420" t="str">
        <f>IF(AD24=0,"",VLOOKUP(AD24,'Tablas psiquica'!$D$7:$R$145,10,FALSE))</f>
        <v/>
      </c>
      <c r="AH30" s="5421"/>
      <c r="AI30" s="5421"/>
      <c r="AJ30" s="5422"/>
      <c r="AK30" s="1216"/>
      <c r="AL30" s="1210"/>
      <c r="AM30" s="698"/>
      <c r="AN30" s="698"/>
      <c r="AO30" s="698"/>
      <c r="AP30" s="698"/>
      <c r="AQ30" s="1218"/>
      <c r="AR30" s="1247"/>
      <c r="AS30" s="698"/>
    </row>
    <row r="31" spans="1:45" ht="12" customHeight="1" x14ac:dyDescent="0.2">
      <c r="A31" s="1210"/>
      <c r="B31" s="615"/>
      <c r="C31" s="1268">
        <v>180</v>
      </c>
      <c r="D31" s="5428" t="s">
        <v>2071</v>
      </c>
      <c r="E31" s="5322"/>
      <c r="F31" s="5429" t="str">
        <f>IF(C24=0,"",VLOOKUP(C24,'Tablas psiquica'!$D$7:$R$145,11,FALSE))</f>
        <v/>
      </c>
      <c r="G31" s="5430"/>
      <c r="H31" s="5430"/>
      <c r="I31" s="5431"/>
      <c r="K31" s="1268">
        <v>180</v>
      </c>
      <c r="L31" s="5428" t="s">
        <v>2071</v>
      </c>
      <c r="M31" s="5322"/>
      <c r="N31" s="5429" t="str">
        <f>IF(K24=0,"",VLOOKUP(K24,'Tablas psiquica'!$D$7:$R$145,11,FALSE))</f>
        <v/>
      </c>
      <c r="O31" s="5430"/>
      <c r="P31" s="5430"/>
      <c r="Q31" s="5431"/>
      <c r="R31" s="1216"/>
      <c r="S31" s="1210"/>
      <c r="T31" s="1210"/>
      <c r="U31" s="615"/>
      <c r="V31" s="1268">
        <v>180</v>
      </c>
      <c r="W31" s="5428" t="s">
        <v>2071</v>
      </c>
      <c r="X31" s="5322"/>
      <c r="Y31" s="5429" t="str">
        <f>IF(V24=0,"",VLOOKUP(V24,'Tablas psiquica'!$D$7:$R$145,11,FALSE))</f>
        <v/>
      </c>
      <c r="Z31" s="5430"/>
      <c r="AA31" s="5430"/>
      <c r="AB31" s="5431"/>
      <c r="AC31" s="1276"/>
      <c r="AD31" s="1268">
        <v>180</v>
      </c>
      <c r="AE31" s="5428" t="s">
        <v>2071</v>
      </c>
      <c r="AF31" s="5322"/>
      <c r="AG31" s="5429" t="str">
        <f>IF(AD24=0,"",VLOOKUP(AD24,'Tablas psiquica'!$D$7:$R$145,11,FALSE))</f>
        <v/>
      </c>
      <c r="AH31" s="5430"/>
      <c r="AI31" s="5430"/>
      <c r="AJ31" s="5431"/>
      <c r="AK31" s="1216"/>
      <c r="AL31" s="1210"/>
      <c r="AM31" s="698"/>
      <c r="AN31" s="698"/>
      <c r="AO31" s="698"/>
      <c r="AP31" s="698"/>
      <c r="AQ31" s="1218"/>
      <c r="AR31" s="1247"/>
      <c r="AS31" s="698"/>
    </row>
    <row r="32" spans="1:45" ht="12" customHeight="1" x14ac:dyDescent="0.2">
      <c r="A32" s="1210"/>
      <c r="B32" s="615"/>
      <c r="C32" s="1266">
        <v>240</v>
      </c>
      <c r="D32" s="5419" t="s">
        <v>8169</v>
      </c>
      <c r="E32" s="5317"/>
      <c r="F32" s="5420" t="str">
        <f>IF(C24=0,"",VLOOKUP(C24,'Tablas psiquica'!$D$7:$R$145,12,FALSE))</f>
        <v/>
      </c>
      <c r="G32" s="5421"/>
      <c r="H32" s="5421"/>
      <c r="I32" s="5422"/>
      <c r="K32" s="1266">
        <v>240</v>
      </c>
      <c r="L32" s="5419" t="s">
        <v>8169</v>
      </c>
      <c r="M32" s="5317"/>
      <c r="N32" s="5420" t="str">
        <f>IF(K24=0,"",VLOOKUP(K24,'Tablas psiquica'!$D$7:$R$145,12,FALSE))</f>
        <v/>
      </c>
      <c r="O32" s="5421"/>
      <c r="P32" s="5421"/>
      <c r="Q32" s="5422"/>
      <c r="R32" s="1216"/>
      <c r="S32" s="1210"/>
      <c r="T32" s="1210"/>
      <c r="U32" s="615"/>
      <c r="V32" s="1266">
        <v>240</v>
      </c>
      <c r="W32" s="5419" t="s">
        <v>8169</v>
      </c>
      <c r="X32" s="5317"/>
      <c r="Y32" s="5420" t="str">
        <f>IF(V24=0,"",VLOOKUP(V24,'Tablas psiquica'!$D$7:$R$145,12,FALSE))</f>
        <v/>
      </c>
      <c r="Z32" s="5421"/>
      <c r="AA32" s="5421"/>
      <c r="AB32" s="5422"/>
      <c r="AC32" s="1278"/>
      <c r="AD32" s="1266">
        <v>240</v>
      </c>
      <c r="AE32" s="5419" t="s">
        <v>8169</v>
      </c>
      <c r="AF32" s="5317"/>
      <c r="AG32" s="5420" t="str">
        <f>IF(AD24=0,"",VLOOKUP(AD24,'Tablas psiquica'!$D$7:$R$145,12,FALSE))</f>
        <v/>
      </c>
      <c r="AH32" s="5421"/>
      <c r="AI32" s="5421"/>
      <c r="AJ32" s="5422"/>
      <c r="AK32" s="1216"/>
      <c r="AL32" s="1210"/>
      <c r="AM32" s="698"/>
      <c r="AN32" s="698"/>
      <c r="AO32" s="698"/>
      <c r="AP32" s="698"/>
      <c r="AQ32" s="1218"/>
      <c r="AR32" s="1247"/>
      <c r="AS32" s="698"/>
    </row>
    <row r="33" spans="1:45" ht="12" customHeight="1" x14ac:dyDescent="0.2">
      <c r="A33" s="1210"/>
      <c r="B33" s="615"/>
      <c r="C33" s="1268">
        <v>280</v>
      </c>
      <c r="D33" s="5428" t="s">
        <v>2076</v>
      </c>
      <c r="E33" s="5322"/>
      <c r="F33" s="5429" t="str">
        <f>IF(C24=0,"",VLOOKUP(C24,'Tablas psiquica'!$D$7:$R$145,13,FALSE))</f>
        <v/>
      </c>
      <c r="G33" s="5430"/>
      <c r="H33" s="5430"/>
      <c r="I33" s="5431"/>
      <c r="K33" s="1268">
        <v>280</v>
      </c>
      <c r="L33" s="5428" t="s">
        <v>2076</v>
      </c>
      <c r="M33" s="5322"/>
      <c r="N33" s="5429" t="str">
        <f>IF(K24=0,"",VLOOKUP(K24,'Tablas psiquica'!$D$7:$R$145,13,FALSE))</f>
        <v/>
      </c>
      <c r="O33" s="5430"/>
      <c r="P33" s="5430"/>
      <c r="Q33" s="5431"/>
      <c r="R33" s="1216"/>
      <c r="S33" s="1210"/>
      <c r="T33" s="1210"/>
      <c r="U33" s="615"/>
      <c r="V33" s="1268">
        <v>280</v>
      </c>
      <c r="W33" s="5428" t="s">
        <v>2076</v>
      </c>
      <c r="X33" s="5322"/>
      <c r="Y33" s="5429" t="str">
        <f>IF(V24=0,"",VLOOKUP(V24,'Tablas psiquica'!$D$7:$R$145,13,FALSE))</f>
        <v/>
      </c>
      <c r="Z33" s="5430"/>
      <c r="AA33" s="5430"/>
      <c r="AB33" s="5431"/>
      <c r="AC33" s="1278"/>
      <c r="AD33" s="1268">
        <v>280</v>
      </c>
      <c r="AE33" s="5428" t="s">
        <v>2076</v>
      </c>
      <c r="AF33" s="5322"/>
      <c r="AG33" s="5429" t="str">
        <f>IF(AD24=0,"",VLOOKUP(AD24,'Tablas psiquica'!$D$7:$R$145,13,FALSE))</f>
        <v/>
      </c>
      <c r="AH33" s="5430"/>
      <c r="AI33" s="5430"/>
      <c r="AJ33" s="5431"/>
      <c r="AK33" s="1216"/>
      <c r="AL33" s="1210"/>
      <c r="AM33" s="698"/>
      <c r="AN33" s="698"/>
      <c r="AO33" s="698"/>
      <c r="AP33" s="698"/>
      <c r="AQ33" s="1218"/>
      <c r="AR33" s="1247"/>
      <c r="AS33" s="698"/>
    </row>
    <row r="34" spans="1:45" ht="12" customHeight="1" x14ac:dyDescent="0.2">
      <c r="A34" s="1210"/>
      <c r="B34" s="615"/>
      <c r="C34" s="1266">
        <v>320</v>
      </c>
      <c r="D34" s="5419" t="s">
        <v>2078</v>
      </c>
      <c r="E34" s="5317"/>
      <c r="F34" s="5420" t="str">
        <f>IF(C24=0,"",VLOOKUP(C24,'Tablas psiquica'!$D$7:$R$145,14,FALSE))</f>
        <v/>
      </c>
      <c r="G34" s="5421"/>
      <c r="H34" s="5421"/>
      <c r="I34" s="5422"/>
      <c r="K34" s="1266">
        <v>320</v>
      </c>
      <c r="L34" s="5419" t="s">
        <v>2078</v>
      </c>
      <c r="M34" s="5317"/>
      <c r="N34" s="5420" t="str">
        <f>IF(K24=0,"",VLOOKUP(K24,'Tablas psiquica'!$D$7:$R$145,14,FALSE))</f>
        <v/>
      </c>
      <c r="O34" s="5421"/>
      <c r="P34" s="5421"/>
      <c r="Q34" s="5422"/>
      <c r="R34" s="1216"/>
      <c r="S34" s="1210"/>
      <c r="T34" s="1210"/>
      <c r="U34" s="615"/>
      <c r="V34" s="1266">
        <v>320</v>
      </c>
      <c r="W34" s="5419" t="s">
        <v>2078</v>
      </c>
      <c r="X34" s="5317"/>
      <c r="Y34" s="5420" t="str">
        <f>IF(V24=0,"",VLOOKUP(V24,'Tablas psiquica'!$D$7:$R$145,14,FALSE))</f>
        <v/>
      </c>
      <c r="Z34" s="5421"/>
      <c r="AA34" s="5421"/>
      <c r="AB34" s="5422"/>
      <c r="AC34" s="1258"/>
      <c r="AD34" s="1266">
        <v>320</v>
      </c>
      <c r="AE34" s="5419" t="s">
        <v>2078</v>
      </c>
      <c r="AF34" s="5317"/>
      <c r="AG34" s="5420" t="str">
        <f>IF(AD24=0,"",VLOOKUP(AD24,'Tablas psiquica'!$D$7:$R$145,14,FALSE))</f>
        <v/>
      </c>
      <c r="AH34" s="5421"/>
      <c r="AI34" s="5421"/>
      <c r="AJ34" s="5422"/>
      <c r="AK34" s="1216"/>
      <c r="AL34" s="1210"/>
      <c r="AM34" s="698"/>
      <c r="AN34" s="698"/>
      <c r="AO34" s="698"/>
      <c r="AP34" s="698"/>
      <c r="AQ34" s="1218"/>
      <c r="AR34" s="1247"/>
      <c r="AS34" s="698"/>
    </row>
    <row r="35" spans="1:45" ht="12" customHeight="1" x14ac:dyDescent="0.2">
      <c r="A35" s="1210"/>
      <c r="B35" s="615"/>
      <c r="C35" s="1271">
        <v>440</v>
      </c>
      <c r="D35" s="5423" t="s">
        <v>2012</v>
      </c>
      <c r="E35" s="5424"/>
      <c r="F35" s="5425" t="str">
        <f>IF(C24=0,"",VLOOKUP(C24,'Tablas psiquica'!$D$7:$R$145,15,FALSE))</f>
        <v/>
      </c>
      <c r="G35" s="5426"/>
      <c r="H35" s="5426"/>
      <c r="I35" s="5427"/>
      <c r="K35" s="1271">
        <v>440</v>
      </c>
      <c r="L35" s="5423" t="s">
        <v>2012</v>
      </c>
      <c r="M35" s="5424"/>
      <c r="N35" s="5425" t="str">
        <f>IF(K24=0,"",VLOOKUP(K24,'Tablas psiquica'!$D$7:$R$145,15,FALSE))</f>
        <v/>
      </c>
      <c r="O35" s="5426"/>
      <c r="P35" s="5426"/>
      <c r="Q35" s="5427"/>
      <c r="R35" s="1216"/>
      <c r="S35" s="1210"/>
      <c r="T35" s="1210"/>
      <c r="U35" s="615"/>
      <c r="V35" s="1271">
        <v>440</v>
      </c>
      <c r="W35" s="5423" t="s">
        <v>2012</v>
      </c>
      <c r="X35" s="5424"/>
      <c r="Y35" s="5425" t="str">
        <f>IF(V24=0,"",VLOOKUP(V24,'Tablas psiquica'!$D$7:$R$145,15,FALSE))</f>
        <v/>
      </c>
      <c r="Z35" s="5426"/>
      <c r="AA35" s="5426"/>
      <c r="AB35" s="5427"/>
      <c r="AC35" s="1276"/>
      <c r="AD35" s="1271">
        <v>440</v>
      </c>
      <c r="AE35" s="5423" t="s">
        <v>2012</v>
      </c>
      <c r="AF35" s="5424"/>
      <c r="AG35" s="5425" t="str">
        <f>IF(AD24=0,"",VLOOKUP(AD24,'Tablas psiquica'!$D$7:$R$145,15,FALSE))</f>
        <v/>
      </c>
      <c r="AH35" s="5426"/>
      <c r="AI35" s="5426"/>
      <c r="AJ35" s="5427"/>
      <c r="AK35" s="1216"/>
      <c r="AL35" s="1210"/>
      <c r="AM35" s="698"/>
      <c r="AN35" s="698"/>
      <c r="AO35" s="698"/>
      <c r="AP35" s="698"/>
      <c r="AQ35" s="1218"/>
      <c r="AR35" s="1247"/>
      <c r="AS35" s="698"/>
    </row>
    <row r="36" spans="1:45" ht="12" customHeight="1" thickBot="1" x14ac:dyDescent="0.25">
      <c r="A36" s="1210"/>
      <c r="B36" s="615"/>
      <c r="C36" s="5416" t="s">
        <v>8170</v>
      </c>
      <c r="D36" s="5417"/>
      <c r="E36" s="1272" t="str">
        <f>IF(C24=0,"",VLOOKUP(C24,'Tablas psiquica'!$D$7:$R$145,4,FALSE))</f>
        <v/>
      </c>
      <c r="F36" s="5418" t="s">
        <v>8165</v>
      </c>
      <c r="G36" s="5418"/>
      <c r="H36" s="4251" t="str">
        <f>IF(C24=0,"",VLOOKUP(C24,'Tablas psiquica'!$D$7:$R$145,5,FALSE))</f>
        <v/>
      </c>
      <c r="I36" s="4252"/>
      <c r="K36" s="5416" t="s">
        <v>8170</v>
      </c>
      <c r="L36" s="5417"/>
      <c r="M36" s="1272" t="str">
        <f>IF(K24=0,"",VLOOKUP(K24,'Tablas psiquica'!$D$7:$R$145,4,FALSE))</f>
        <v/>
      </c>
      <c r="N36" s="5418" t="s">
        <v>8165</v>
      </c>
      <c r="O36" s="5418"/>
      <c r="P36" s="4251" t="str">
        <f>IF(K24=0,"",VLOOKUP(K24,'Tablas psiquica'!$D$7:$R$145,5,FALSE))</f>
        <v/>
      </c>
      <c r="Q36" s="4252"/>
      <c r="R36" s="1216"/>
      <c r="S36" s="1210"/>
      <c r="T36" s="1210"/>
      <c r="U36" s="615"/>
      <c r="V36" s="5416" t="s">
        <v>8170</v>
      </c>
      <c r="W36" s="5417"/>
      <c r="X36" s="1272" t="str">
        <f>IF(V24=0,"",VLOOKUP(V24,'Tablas psiquica'!$D$7:$R$145,4,FALSE))</f>
        <v/>
      </c>
      <c r="Y36" s="5418" t="s">
        <v>8165</v>
      </c>
      <c r="Z36" s="5418"/>
      <c r="AA36" s="4251" t="str">
        <f>IF(V24=0,"",VLOOKUP(V24,'Tablas psiquica'!$D$7:$R$145,5,FALSE))</f>
        <v/>
      </c>
      <c r="AB36" s="4252"/>
      <c r="AC36" s="1276"/>
      <c r="AD36" s="5416" t="s">
        <v>8170</v>
      </c>
      <c r="AE36" s="5417"/>
      <c r="AF36" s="1272" t="str">
        <f>IF(AD24=0,"",VLOOKUP(AD24,'Tablas psiquica'!$D$7:$R$145,4,FALSE))</f>
        <v/>
      </c>
      <c r="AG36" s="5418" t="s">
        <v>8165</v>
      </c>
      <c r="AH36" s="5418"/>
      <c r="AI36" s="4251" t="str">
        <f>IF(AD24=0,"",VLOOKUP(AD24,'Tablas psiquica'!$D$7:$R$145,5,FALSE))</f>
        <v/>
      </c>
      <c r="AJ36" s="4252"/>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42"/>
      <c r="D38" s="5343"/>
      <c r="E38" s="5343"/>
      <c r="F38" s="5343"/>
      <c r="G38" s="5343"/>
      <c r="H38" s="5343"/>
      <c r="I38" s="1263" t="s">
        <v>1715</v>
      </c>
      <c r="K38" s="5342"/>
      <c r="L38" s="5343"/>
      <c r="M38" s="5343"/>
      <c r="N38" s="5343"/>
      <c r="O38" s="5343"/>
      <c r="P38" s="5343"/>
      <c r="Q38" s="1263" t="s">
        <v>1715</v>
      </c>
      <c r="R38" s="1216"/>
      <c r="S38" s="1210"/>
      <c r="T38" s="1210"/>
      <c r="U38" s="615"/>
      <c r="V38" s="5342"/>
      <c r="W38" s="5343"/>
      <c r="X38" s="5343"/>
      <c r="Y38" s="5343"/>
      <c r="Z38" s="5343"/>
      <c r="AA38" s="5343"/>
      <c r="AB38" s="1263" t="s">
        <v>1715</v>
      </c>
      <c r="AC38" s="1277"/>
      <c r="AD38" s="5342"/>
      <c r="AE38" s="5343"/>
      <c r="AF38" s="5343"/>
      <c r="AG38" s="5343"/>
      <c r="AH38" s="5343"/>
      <c r="AI38" s="5343"/>
      <c r="AJ38" s="1263" t="s">
        <v>1715</v>
      </c>
      <c r="AK38" s="1216"/>
      <c r="AL38" s="1210"/>
      <c r="AQ38" s="741"/>
      <c r="AR38" s="1250"/>
    </row>
    <row r="39" spans="1:45" ht="12" customHeight="1" x14ac:dyDescent="0.2">
      <c r="A39" s="1210"/>
      <c r="B39" s="615"/>
      <c r="C39" s="5432" t="str">
        <f>IF(C38=0,"",VLOOKUP(C38,'Tablas psiquica'!$D$7:$R$145,2,FALSE))</f>
        <v/>
      </c>
      <c r="D39" s="5433"/>
      <c r="E39" s="5433"/>
      <c r="F39" s="5433"/>
      <c r="G39" s="5433"/>
      <c r="H39" s="5433"/>
      <c r="I39" s="1265" t="str">
        <f>IF(C38=0,"",VLOOKUP(C38,'Tablas psiquica'!$D$7:$R$145,3,FALSE))</f>
        <v/>
      </c>
      <c r="K39" s="5432" t="str">
        <f>IF(K38=0,"",VLOOKUP(K38,'Tablas psiquica'!$D$7:$R$145,2,FALSE))</f>
        <v/>
      </c>
      <c r="L39" s="5433"/>
      <c r="M39" s="5433"/>
      <c r="N39" s="5433"/>
      <c r="O39" s="5433"/>
      <c r="P39" s="5433"/>
      <c r="Q39" s="1265" t="str">
        <f>IF(K38=0,"",VLOOKUP(K38,'Tablas psiquica'!$D$7:$R$145,3,FALSE))</f>
        <v/>
      </c>
      <c r="R39" s="1216"/>
      <c r="S39" s="1210"/>
      <c r="T39" s="1210"/>
      <c r="U39" s="615"/>
      <c r="V39" s="5432" t="str">
        <f>IF(V38=0,"",VLOOKUP(V38,'Tablas psiquica'!$D$7:$R$145,2,FALSE))</f>
        <v/>
      </c>
      <c r="W39" s="5433"/>
      <c r="X39" s="5433"/>
      <c r="Y39" s="5433"/>
      <c r="Z39" s="5433"/>
      <c r="AA39" s="5433"/>
      <c r="AB39" s="1265" t="str">
        <f>IF(V38=0,"",VLOOKUP(V38,'Tablas psiquica'!$D$7:$R$145,3,FALSE))</f>
        <v/>
      </c>
      <c r="AC39" s="1276"/>
      <c r="AD39" s="5432" t="str">
        <f>IF(AD38=0,"",VLOOKUP(AD38,'Tablas psiquica'!$D$7:$R$145,2,FALSE))</f>
        <v/>
      </c>
      <c r="AE39" s="5433"/>
      <c r="AF39" s="5433"/>
      <c r="AG39" s="5433"/>
      <c r="AH39" s="5433"/>
      <c r="AI39" s="5433"/>
      <c r="AJ39" s="1265" t="str">
        <f>IF(AD38=0,"",VLOOKUP(AD38,'Tablas psiquica'!$D$7:$R$145,3,FALSE))</f>
        <v/>
      </c>
      <c r="AK39" s="1216"/>
      <c r="AL39" s="1210"/>
      <c r="AQ39" s="741"/>
      <c r="AR39" s="1250"/>
    </row>
    <row r="40" spans="1:45" ht="12" customHeight="1" x14ac:dyDescent="0.2">
      <c r="A40" s="1210"/>
      <c r="B40" s="615"/>
      <c r="C40" s="1266">
        <v>20</v>
      </c>
      <c r="D40" s="5419" t="s">
        <v>2055</v>
      </c>
      <c r="E40" s="5317"/>
      <c r="F40" s="5420" t="str">
        <f>IF(C38=0,"",VLOOKUP(C38,'Tablas psiquica'!$D$7:$R$145,6,FALSE))</f>
        <v/>
      </c>
      <c r="G40" s="5421"/>
      <c r="H40" s="5421"/>
      <c r="I40" s="5422"/>
      <c r="K40" s="1266">
        <v>20</v>
      </c>
      <c r="L40" s="5419" t="s">
        <v>2055</v>
      </c>
      <c r="M40" s="5317"/>
      <c r="N40" s="5420" t="str">
        <f>IF(K38=0,"",VLOOKUP(K38,'Tablas psiquica'!$D$7:$R$145,6,FALSE))</f>
        <v/>
      </c>
      <c r="O40" s="5421"/>
      <c r="P40" s="5421"/>
      <c r="Q40" s="5422"/>
      <c r="R40" s="1216"/>
      <c r="S40" s="1210"/>
      <c r="T40" s="1210"/>
      <c r="U40" s="615"/>
      <c r="V40" s="1266">
        <v>20</v>
      </c>
      <c r="W40" s="5419" t="s">
        <v>2055</v>
      </c>
      <c r="X40" s="5317"/>
      <c r="Y40" s="5420" t="str">
        <f>IF(V38=0,"",VLOOKUP(V38,'Tablas psiquica'!$D$7:$R$145,6,FALSE))</f>
        <v/>
      </c>
      <c r="Z40" s="5421"/>
      <c r="AA40" s="5421"/>
      <c r="AB40" s="5422"/>
      <c r="AC40" s="1276"/>
      <c r="AD40" s="1266">
        <v>20</v>
      </c>
      <c r="AE40" s="5419" t="s">
        <v>2055</v>
      </c>
      <c r="AF40" s="5317"/>
      <c r="AG40" s="5420" t="str">
        <f>IF(AD38=0,"",VLOOKUP(AD38,'Tablas psiquica'!$D$7:$R$145,6,FALSE))</f>
        <v/>
      </c>
      <c r="AH40" s="5421"/>
      <c r="AI40" s="5421"/>
      <c r="AJ40" s="5422"/>
      <c r="AK40" s="1216"/>
      <c r="AL40" s="1210"/>
      <c r="AQ40" s="741"/>
      <c r="AR40" s="1250"/>
    </row>
    <row r="41" spans="1:45" ht="12" customHeight="1" x14ac:dyDescent="0.2">
      <c r="A41" s="1210"/>
      <c r="B41" s="615"/>
      <c r="C41" s="1268">
        <v>40</v>
      </c>
      <c r="D41" s="5428" t="s">
        <v>2059</v>
      </c>
      <c r="E41" s="5322"/>
      <c r="F41" s="5429" t="str">
        <f>IF(C38=0,"",VLOOKUP(C38,'Tablas psiquica'!$D$7:$R$145,7,FALSE))</f>
        <v/>
      </c>
      <c r="G41" s="5430"/>
      <c r="H41" s="5430"/>
      <c r="I41" s="5431"/>
      <c r="K41" s="1268">
        <v>40</v>
      </c>
      <c r="L41" s="5428" t="s">
        <v>2059</v>
      </c>
      <c r="M41" s="5322"/>
      <c r="N41" s="5429" t="str">
        <f>IF(K38=0,"",VLOOKUP(K38,'Tablas psiquica'!$D$7:$R$145,7,FALSE))</f>
        <v/>
      </c>
      <c r="O41" s="5430"/>
      <c r="P41" s="5430"/>
      <c r="Q41" s="5431"/>
      <c r="R41" s="1216"/>
      <c r="S41" s="1210"/>
      <c r="T41" s="1210"/>
      <c r="U41" s="615"/>
      <c r="V41" s="1268">
        <v>40</v>
      </c>
      <c r="W41" s="5428" t="s">
        <v>2059</v>
      </c>
      <c r="X41" s="5322"/>
      <c r="Y41" s="5429" t="str">
        <f>IF(V38=0,"",VLOOKUP(V38,'Tablas psiquica'!$D$7:$R$145,7,FALSE))</f>
        <v/>
      </c>
      <c r="Z41" s="5430"/>
      <c r="AA41" s="5430"/>
      <c r="AB41" s="5431"/>
      <c r="AC41" s="1278"/>
      <c r="AD41" s="1268">
        <v>40</v>
      </c>
      <c r="AE41" s="5428" t="s">
        <v>2059</v>
      </c>
      <c r="AF41" s="5322"/>
      <c r="AG41" s="5429" t="str">
        <f>IF(AD38=0,"",VLOOKUP(AD38,'Tablas psiquica'!$D$7:$R$145,7,FALSE))</f>
        <v/>
      </c>
      <c r="AH41" s="5430"/>
      <c r="AI41" s="5430"/>
      <c r="AJ41" s="5431"/>
      <c r="AK41" s="1216"/>
      <c r="AL41" s="1210"/>
      <c r="AQ41" s="741"/>
      <c r="AR41" s="1250"/>
    </row>
    <row r="42" spans="1:45" ht="12" customHeight="1" x14ac:dyDescent="0.2">
      <c r="A42" s="1210"/>
      <c r="B42" s="615"/>
      <c r="C42" s="1266">
        <v>80</v>
      </c>
      <c r="D42" s="5419" t="s">
        <v>2062</v>
      </c>
      <c r="E42" s="5317"/>
      <c r="F42" s="5420" t="str">
        <f>IF(C38=0,"",VLOOKUP(C38,'Tablas psiquica'!$D$7:$R$145,8,FALSE))</f>
        <v/>
      </c>
      <c r="G42" s="5421"/>
      <c r="H42" s="5421"/>
      <c r="I42" s="5422"/>
      <c r="K42" s="1266">
        <v>80</v>
      </c>
      <c r="L42" s="5419" t="s">
        <v>2062</v>
      </c>
      <c r="M42" s="5317"/>
      <c r="N42" s="5420" t="str">
        <f>IF(K38=0,"",VLOOKUP(K38,'Tablas psiquica'!$D$7:$R$145,8,FALSE))</f>
        <v/>
      </c>
      <c r="O42" s="5421"/>
      <c r="P42" s="5421"/>
      <c r="Q42" s="5422"/>
      <c r="R42" s="1216"/>
      <c r="S42" s="1210"/>
      <c r="T42" s="1210"/>
      <c r="U42" s="615"/>
      <c r="V42" s="1266">
        <v>80</v>
      </c>
      <c r="W42" s="5419" t="s">
        <v>2062</v>
      </c>
      <c r="X42" s="5317"/>
      <c r="Y42" s="5420" t="str">
        <f>IF(V38=0,"",VLOOKUP(V38,'Tablas psiquica'!$D$7:$R$145,8,FALSE))</f>
        <v/>
      </c>
      <c r="Z42" s="5421"/>
      <c r="AA42" s="5421"/>
      <c r="AB42" s="5422"/>
      <c r="AC42" s="1278"/>
      <c r="AD42" s="1266">
        <v>80</v>
      </c>
      <c r="AE42" s="5419" t="s">
        <v>2062</v>
      </c>
      <c r="AF42" s="5317"/>
      <c r="AG42" s="5420" t="str">
        <f>IF(AD38=0,"",VLOOKUP(AD38,'Tablas psiquica'!$D$7:$R$145,8,FALSE))</f>
        <v/>
      </c>
      <c r="AH42" s="5421"/>
      <c r="AI42" s="5421"/>
      <c r="AJ42" s="5422"/>
      <c r="AK42" s="1216"/>
      <c r="AL42" s="1210"/>
      <c r="AQ42" s="741"/>
      <c r="AR42" s="1250"/>
    </row>
    <row r="43" spans="1:45" ht="12" customHeight="1" x14ac:dyDescent="0.2">
      <c r="A43" s="1210"/>
      <c r="B43" s="615"/>
      <c r="C43" s="1268">
        <v>120</v>
      </c>
      <c r="D43" s="5428" t="s">
        <v>2066</v>
      </c>
      <c r="E43" s="5322"/>
      <c r="F43" s="5429" t="str">
        <f>IF(C38=0,"",VLOOKUP(C38,'Tablas psiquica'!$D$7:$R$145,9,FALSE))</f>
        <v/>
      </c>
      <c r="G43" s="5430"/>
      <c r="H43" s="5430"/>
      <c r="I43" s="5431"/>
      <c r="K43" s="1268">
        <v>120</v>
      </c>
      <c r="L43" s="5428" t="s">
        <v>2066</v>
      </c>
      <c r="M43" s="5322"/>
      <c r="N43" s="5429" t="str">
        <f>IF(K38=0,"",VLOOKUP(K38,'Tablas psiquica'!$D$7:$R$145,9,FALSE))</f>
        <v/>
      </c>
      <c r="O43" s="5430"/>
      <c r="P43" s="5430"/>
      <c r="Q43" s="5431"/>
      <c r="R43" s="1216"/>
      <c r="S43" s="1210"/>
      <c r="T43" s="1210"/>
      <c r="U43" s="615"/>
      <c r="V43" s="1268">
        <v>120</v>
      </c>
      <c r="W43" s="5428" t="s">
        <v>2066</v>
      </c>
      <c r="X43" s="5322"/>
      <c r="Y43" s="5429" t="str">
        <f>IF(V38=0,"",VLOOKUP(V38,'Tablas psiquica'!$D$7:$R$145,9,FALSE))</f>
        <v/>
      </c>
      <c r="Z43" s="5430"/>
      <c r="AA43" s="5430"/>
      <c r="AB43" s="5431"/>
      <c r="AC43" s="1258"/>
      <c r="AD43" s="1268">
        <v>120</v>
      </c>
      <c r="AE43" s="5428" t="s">
        <v>2066</v>
      </c>
      <c r="AF43" s="5322"/>
      <c r="AG43" s="5429" t="str">
        <f>IF(AD38=0,"",VLOOKUP(AD38,'Tablas psiquica'!$D$7:$R$145,9,FALSE))</f>
        <v/>
      </c>
      <c r="AH43" s="5430"/>
      <c r="AI43" s="5430"/>
      <c r="AJ43" s="5431"/>
      <c r="AK43" s="1216"/>
      <c r="AL43" s="1210"/>
      <c r="AQ43" s="741"/>
      <c r="AR43" s="1250"/>
    </row>
    <row r="44" spans="1:45" ht="12" customHeight="1" x14ac:dyDescent="0.2">
      <c r="A44" s="1210"/>
      <c r="B44" s="615"/>
      <c r="C44" s="1266">
        <v>140</v>
      </c>
      <c r="D44" s="5419" t="s">
        <v>8168</v>
      </c>
      <c r="E44" s="5317"/>
      <c r="F44" s="5420" t="str">
        <f>IF(C38=0,"",VLOOKUP(C38,'Tablas psiquica'!$D$7:$R$145,10,FALSE))</f>
        <v/>
      </c>
      <c r="G44" s="5421"/>
      <c r="H44" s="5421"/>
      <c r="I44" s="5422"/>
      <c r="K44" s="1266">
        <v>140</v>
      </c>
      <c r="L44" s="5419" t="s">
        <v>8168</v>
      </c>
      <c r="M44" s="5317"/>
      <c r="N44" s="5420" t="str">
        <f>IF(K38=0,"",VLOOKUP(K38,'Tablas psiquica'!$D$7:$R$145,10,FALSE))</f>
        <v/>
      </c>
      <c r="O44" s="5421"/>
      <c r="P44" s="5421"/>
      <c r="Q44" s="5422"/>
      <c r="R44" s="1216"/>
      <c r="S44" s="1210"/>
      <c r="T44" s="1210"/>
      <c r="U44" s="615"/>
      <c r="V44" s="1266">
        <v>140</v>
      </c>
      <c r="W44" s="5419" t="s">
        <v>8168</v>
      </c>
      <c r="X44" s="5317"/>
      <c r="Y44" s="5420" t="str">
        <f>IF(V38=0,"",VLOOKUP(V38,'Tablas psiquica'!$D$7:$R$145,10,FALSE))</f>
        <v/>
      </c>
      <c r="Z44" s="5421"/>
      <c r="AA44" s="5421"/>
      <c r="AB44" s="5422"/>
      <c r="AC44" s="741"/>
      <c r="AD44" s="1266">
        <v>140</v>
      </c>
      <c r="AE44" s="5419" t="s">
        <v>8168</v>
      </c>
      <c r="AF44" s="5317"/>
      <c r="AG44" s="5420" t="str">
        <f>IF(AD38=0,"",VLOOKUP(AD38,'Tablas psiquica'!$D$7:$R$145,10,FALSE))</f>
        <v/>
      </c>
      <c r="AH44" s="5421"/>
      <c r="AI44" s="5421"/>
      <c r="AJ44" s="5422"/>
      <c r="AK44" s="1216"/>
      <c r="AL44" s="1210"/>
      <c r="AQ44" s="741"/>
      <c r="AR44" s="1250"/>
    </row>
    <row r="45" spans="1:45" ht="12" customHeight="1" x14ac:dyDescent="0.2">
      <c r="A45" s="1210"/>
      <c r="B45" s="615"/>
      <c r="C45" s="1268">
        <v>180</v>
      </c>
      <c r="D45" s="5428" t="s">
        <v>2071</v>
      </c>
      <c r="E45" s="5322"/>
      <c r="F45" s="5429" t="str">
        <f>IF(C38=0,"",VLOOKUP(C38,'Tablas psiquica'!$D$7:$R$145,11,FALSE))</f>
        <v/>
      </c>
      <c r="G45" s="5430"/>
      <c r="H45" s="5430"/>
      <c r="I45" s="5431"/>
      <c r="K45" s="1268">
        <v>180</v>
      </c>
      <c r="L45" s="5428" t="s">
        <v>2071</v>
      </c>
      <c r="M45" s="5322"/>
      <c r="N45" s="5429" t="str">
        <f>IF(K38=0,"",VLOOKUP(K38,'Tablas psiquica'!$D$7:$R$145,11,FALSE))</f>
        <v/>
      </c>
      <c r="O45" s="5430"/>
      <c r="P45" s="5430"/>
      <c r="Q45" s="5431"/>
      <c r="R45" s="1216"/>
      <c r="S45" s="1210"/>
      <c r="T45" s="1210"/>
      <c r="U45" s="615"/>
      <c r="V45" s="1268">
        <v>180</v>
      </c>
      <c r="W45" s="5428" t="s">
        <v>2071</v>
      </c>
      <c r="X45" s="5322"/>
      <c r="Y45" s="5429" t="str">
        <f>IF(V38=0,"",VLOOKUP(V38,'Tablas psiquica'!$D$7:$R$145,11,FALSE))</f>
        <v/>
      </c>
      <c r="Z45" s="5430"/>
      <c r="AA45" s="5430"/>
      <c r="AB45" s="5431"/>
      <c r="AC45" s="741"/>
      <c r="AD45" s="1268">
        <v>180</v>
      </c>
      <c r="AE45" s="5428" t="s">
        <v>2071</v>
      </c>
      <c r="AF45" s="5322"/>
      <c r="AG45" s="5429" t="str">
        <f>IF(AD38=0,"",VLOOKUP(AD38,'Tablas psiquica'!$D$7:$R$145,11,FALSE))</f>
        <v/>
      </c>
      <c r="AH45" s="5430"/>
      <c r="AI45" s="5430"/>
      <c r="AJ45" s="5431"/>
      <c r="AK45" s="1216"/>
      <c r="AL45" s="1210"/>
      <c r="AQ45" s="741"/>
      <c r="AR45" s="1250"/>
    </row>
    <row r="46" spans="1:45" ht="12" customHeight="1" x14ac:dyDescent="0.2">
      <c r="A46" s="1210"/>
      <c r="B46" s="615"/>
      <c r="C46" s="1266">
        <v>240</v>
      </c>
      <c r="D46" s="5419" t="s">
        <v>8169</v>
      </c>
      <c r="E46" s="5317"/>
      <c r="F46" s="5420" t="str">
        <f>IF(C38=0,"",VLOOKUP(C38,'Tablas psiquica'!$D$7:$R$145,12,FALSE))</f>
        <v/>
      </c>
      <c r="G46" s="5421"/>
      <c r="H46" s="5421"/>
      <c r="I46" s="5422"/>
      <c r="K46" s="1266">
        <v>240</v>
      </c>
      <c r="L46" s="5419" t="s">
        <v>8169</v>
      </c>
      <c r="M46" s="5317"/>
      <c r="N46" s="5420" t="str">
        <f>IF(K38=0,"",VLOOKUP(K38,'Tablas psiquica'!$D$7:$R$145,12,FALSE))</f>
        <v/>
      </c>
      <c r="O46" s="5421"/>
      <c r="P46" s="5421"/>
      <c r="Q46" s="5422"/>
      <c r="R46" s="1216"/>
      <c r="S46" s="1210"/>
      <c r="T46" s="1210"/>
      <c r="U46" s="615"/>
      <c r="V46" s="1266">
        <v>240</v>
      </c>
      <c r="W46" s="5419" t="s">
        <v>8169</v>
      </c>
      <c r="X46" s="5317"/>
      <c r="Y46" s="5420" t="str">
        <f>IF(V38=0,"",VLOOKUP(V38,'Tablas psiquica'!$D$7:$R$145,12,FALSE))</f>
        <v/>
      </c>
      <c r="Z46" s="5421"/>
      <c r="AA46" s="5421"/>
      <c r="AB46" s="5422"/>
      <c r="AC46" s="741"/>
      <c r="AD46" s="1266">
        <v>240</v>
      </c>
      <c r="AE46" s="5419" t="s">
        <v>8169</v>
      </c>
      <c r="AF46" s="5317"/>
      <c r="AG46" s="5420" t="str">
        <f>IF(AD38=0,"",VLOOKUP(AD38,'Tablas psiquica'!$D$7:$R$145,12,FALSE))</f>
        <v/>
      </c>
      <c r="AH46" s="5421"/>
      <c r="AI46" s="5421"/>
      <c r="AJ46" s="5422"/>
      <c r="AK46" s="1216"/>
      <c r="AL46" s="1210"/>
      <c r="AQ46" s="741"/>
      <c r="AR46" s="1250"/>
    </row>
    <row r="47" spans="1:45" ht="12" customHeight="1" x14ac:dyDescent="0.2">
      <c r="A47" s="1210"/>
      <c r="B47" s="615"/>
      <c r="C47" s="1268">
        <v>280</v>
      </c>
      <c r="D47" s="5428" t="s">
        <v>2076</v>
      </c>
      <c r="E47" s="5322"/>
      <c r="F47" s="5429" t="str">
        <f>IF(C38=0,"",VLOOKUP(C38,'Tablas psiquica'!$D$7:$R$145,13,FALSE))</f>
        <v/>
      </c>
      <c r="G47" s="5430"/>
      <c r="H47" s="5430"/>
      <c r="I47" s="5431"/>
      <c r="K47" s="1268">
        <v>280</v>
      </c>
      <c r="L47" s="5428" t="s">
        <v>2076</v>
      </c>
      <c r="M47" s="5322"/>
      <c r="N47" s="5429" t="str">
        <f>IF(K38=0,"",VLOOKUP(K38,'Tablas psiquica'!$D$7:$R$145,13,FALSE))</f>
        <v/>
      </c>
      <c r="O47" s="5430"/>
      <c r="P47" s="5430"/>
      <c r="Q47" s="5431"/>
      <c r="R47" s="1216"/>
      <c r="S47" s="1210"/>
      <c r="T47" s="1210"/>
      <c r="U47" s="615"/>
      <c r="V47" s="1268">
        <v>280</v>
      </c>
      <c r="W47" s="5428" t="s">
        <v>2076</v>
      </c>
      <c r="X47" s="5322"/>
      <c r="Y47" s="5429" t="str">
        <f>IF(V38=0,"",VLOOKUP(V38,'Tablas psiquica'!$D$7:$R$145,13,FALSE))</f>
        <v/>
      </c>
      <c r="Z47" s="5430"/>
      <c r="AA47" s="5430"/>
      <c r="AB47" s="5431"/>
      <c r="AC47" s="741"/>
      <c r="AD47" s="1268">
        <v>280</v>
      </c>
      <c r="AE47" s="5428" t="s">
        <v>2076</v>
      </c>
      <c r="AF47" s="5322"/>
      <c r="AG47" s="5429" t="str">
        <f>IF(AD38=0,"",VLOOKUP(AD38,'Tablas psiquica'!$D$7:$R$145,13,FALSE))</f>
        <v/>
      </c>
      <c r="AH47" s="5430"/>
      <c r="AI47" s="5430"/>
      <c r="AJ47" s="5431"/>
      <c r="AK47" s="1216"/>
      <c r="AL47" s="1210"/>
      <c r="AQ47" s="741"/>
      <c r="AR47" s="1250"/>
    </row>
    <row r="48" spans="1:45" ht="12" customHeight="1" x14ac:dyDescent="0.2">
      <c r="A48" s="1210"/>
      <c r="B48" s="615"/>
      <c r="C48" s="1266">
        <v>320</v>
      </c>
      <c r="D48" s="5419" t="s">
        <v>2078</v>
      </c>
      <c r="E48" s="5317"/>
      <c r="F48" s="5420" t="str">
        <f>IF(C38=0,"",VLOOKUP(C38,'Tablas psiquica'!$D$7:$R$145,14,FALSE))</f>
        <v/>
      </c>
      <c r="G48" s="5421"/>
      <c r="H48" s="5421"/>
      <c r="I48" s="5422"/>
      <c r="K48" s="1266">
        <v>320</v>
      </c>
      <c r="L48" s="5419" t="s">
        <v>2078</v>
      </c>
      <c r="M48" s="5317"/>
      <c r="N48" s="5420" t="str">
        <f>IF(K38=0,"",VLOOKUP(K38,'Tablas psiquica'!$D$7:$R$145,14,FALSE))</f>
        <v/>
      </c>
      <c r="O48" s="5421"/>
      <c r="P48" s="5421"/>
      <c r="Q48" s="5422"/>
      <c r="R48" s="1216"/>
      <c r="S48" s="1210"/>
      <c r="T48" s="1210"/>
      <c r="U48" s="615"/>
      <c r="V48" s="1266">
        <v>320</v>
      </c>
      <c r="W48" s="5419" t="s">
        <v>2078</v>
      </c>
      <c r="X48" s="5317"/>
      <c r="Y48" s="5420" t="str">
        <f>IF(V38=0,"",VLOOKUP(V38,'Tablas psiquica'!$D$7:$R$145,14,FALSE))</f>
        <v/>
      </c>
      <c r="Z48" s="5421"/>
      <c r="AA48" s="5421"/>
      <c r="AB48" s="5422"/>
      <c r="AC48" s="741"/>
      <c r="AD48" s="1266">
        <v>320</v>
      </c>
      <c r="AE48" s="5419" t="s">
        <v>2078</v>
      </c>
      <c r="AF48" s="5317"/>
      <c r="AG48" s="5420" t="str">
        <f>IF(AD38=0,"",VLOOKUP(AD38,'Tablas psiquica'!$D$7:$R$145,14,FALSE))</f>
        <v/>
      </c>
      <c r="AH48" s="5421"/>
      <c r="AI48" s="5421"/>
      <c r="AJ48" s="5422"/>
      <c r="AK48" s="1216"/>
      <c r="AL48" s="1210"/>
      <c r="AQ48" s="741"/>
      <c r="AR48" s="1250"/>
    </row>
    <row r="49" spans="1:44" ht="12" customHeight="1" x14ac:dyDescent="0.2">
      <c r="A49" s="1210"/>
      <c r="B49" s="615"/>
      <c r="C49" s="1271">
        <v>440</v>
      </c>
      <c r="D49" s="5423" t="s">
        <v>2012</v>
      </c>
      <c r="E49" s="5424"/>
      <c r="F49" s="5425" t="str">
        <f>IF(C38=0,"",VLOOKUP(C38,'Tablas psiquica'!$D$7:$R$145,15,FALSE))</f>
        <v/>
      </c>
      <c r="G49" s="5426"/>
      <c r="H49" s="5426"/>
      <c r="I49" s="5427"/>
      <c r="K49" s="1271">
        <v>440</v>
      </c>
      <c r="L49" s="5423" t="s">
        <v>2012</v>
      </c>
      <c r="M49" s="5424"/>
      <c r="N49" s="5425" t="str">
        <f>IF(K38=0,"",VLOOKUP(K38,'Tablas psiquica'!$D$7:$R$145,15,FALSE))</f>
        <v/>
      </c>
      <c r="O49" s="5426"/>
      <c r="P49" s="5426"/>
      <c r="Q49" s="5427"/>
      <c r="R49" s="1216"/>
      <c r="S49" s="1210"/>
      <c r="T49" s="1210"/>
      <c r="U49" s="615"/>
      <c r="V49" s="1271">
        <v>440</v>
      </c>
      <c r="W49" s="5423" t="s">
        <v>2012</v>
      </c>
      <c r="X49" s="5424"/>
      <c r="Y49" s="5425" t="str">
        <f>IF(V38=0,"",VLOOKUP(V38,'Tablas psiquica'!$D$7:$R$145,15,FALSE))</f>
        <v/>
      </c>
      <c r="Z49" s="5426"/>
      <c r="AA49" s="5426"/>
      <c r="AB49" s="5427"/>
      <c r="AC49" s="741"/>
      <c r="AD49" s="1271">
        <v>440</v>
      </c>
      <c r="AE49" s="5423" t="s">
        <v>2012</v>
      </c>
      <c r="AF49" s="5424"/>
      <c r="AG49" s="5425" t="str">
        <f>IF(AD38=0,"",VLOOKUP(AD38,'Tablas psiquica'!$D$7:$R$145,15,FALSE))</f>
        <v/>
      </c>
      <c r="AH49" s="5426"/>
      <c r="AI49" s="5426"/>
      <c r="AJ49" s="5427"/>
      <c r="AK49" s="1216"/>
      <c r="AL49" s="1210"/>
      <c r="AQ49" s="741"/>
      <c r="AR49" s="1250"/>
    </row>
    <row r="50" spans="1:44" ht="12" customHeight="1" thickBot="1" x14ac:dyDescent="0.25">
      <c r="A50" s="1210"/>
      <c r="B50" s="615"/>
      <c r="C50" s="5416" t="s">
        <v>8170</v>
      </c>
      <c r="D50" s="5417"/>
      <c r="E50" s="1272" t="str">
        <f>IF(C38=0,"",VLOOKUP(C38,'Tablas psiquica'!$D$7:$R$145,4,FALSE))</f>
        <v/>
      </c>
      <c r="F50" s="5418" t="s">
        <v>8165</v>
      </c>
      <c r="G50" s="5418"/>
      <c r="H50" s="4251" t="str">
        <f>IF(C38=0,"",VLOOKUP(C38,'Tablas psiquica'!$D$7:$R$145,5,FALSE))</f>
        <v/>
      </c>
      <c r="I50" s="4252"/>
      <c r="K50" s="5416" t="s">
        <v>8170</v>
      </c>
      <c r="L50" s="5417"/>
      <c r="M50" s="1272" t="str">
        <f>IF(K38=0,"",VLOOKUP(K38,'Tablas psiquica'!$D$7:$R$145,4,FALSE))</f>
        <v/>
      </c>
      <c r="N50" s="5418" t="s">
        <v>8165</v>
      </c>
      <c r="O50" s="5418"/>
      <c r="P50" s="4251" t="str">
        <f>IF(K38=0,"",VLOOKUP(K38,'Tablas psiquica'!$D$7:$R$145,5,FALSE))</f>
        <v/>
      </c>
      <c r="Q50" s="4252"/>
      <c r="R50" s="1216"/>
      <c r="S50" s="1210"/>
      <c r="T50" s="1210"/>
      <c r="U50" s="615"/>
      <c r="V50" s="5416" t="s">
        <v>8170</v>
      </c>
      <c r="W50" s="5417"/>
      <c r="X50" s="1272" t="str">
        <f>IF(V38=0,"",VLOOKUP(V38,'Tablas psiquica'!$D$7:$R$145,4,FALSE))</f>
        <v/>
      </c>
      <c r="Y50" s="5418" t="s">
        <v>8165</v>
      </c>
      <c r="Z50" s="5418"/>
      <c r="AA50" s="4251" t="str">
        <f>IF(V38=0,"",VLOOKUP(V38,'Tablas psiquica'!$D$7:$R$145,5,FALSE))</f>
        <v/>
      </c>
      <c r="AB50" s="4252"/>
      <c r="AC50" s="741"/>
      <c r="AD50" s="5416" t="s">
        <v>8170</v>
      </c>
      <c r="AE50" s="5417"/>
      <c r="AF50" s="1272" t="str">
        <f>IF(AD38=0,"",VLOOKUP(AD38,'Tablas psiquica'!$D$7:$R$145,4,FALSE))</f>
        <v/>
      </c>
      <c r="AG50" s="5418" t="s">
        <v>8165</v>
      </c>
      <c r="AH50" s="5418"/>
      <c r="AI50" s="4251" t="str">
        <f>IF(AD38=0,"",VLOOKUP(AD38,'Tablas psiquica'!$D$7:$R$145,5,FALSE))</f>
        <v/>
      </c>
      <c r="AJ50" s="4252"/>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42"/>
      <c r="D52" s="5343"/>
      <c r="E52" s="5343"/>
      <c r="F52" s="5343"/>
      <c r="G52" s="5343"/>
      <c r="H52" s="5343"/>
      <c r="I52" s="1263" t="s">
        <v>1715</v>
      </c>
      <c r="K52" s="5342"/>
      <c r="L52" s="5343"/>
      <c r="M52" s="5343"/>
      <c r="N52" s="5343"/>
      <c r="O52" s="5343"/>
      <c r="P52" s="5343"/>
      <c r="Q52" s="1263" t="s">
        <v>1715</v>
      </c>
      <c r="R52" s="1216"/>
      <c r="S52" s="1210"/>
      <c r="T52" s="1210"/>
      <c r="U52" s="615"/>
      <c r="V52" s="5342"/>
      <c r="W52" s="5343"/>
      <c r="X52" s="5343"/>
      <c r="Y52" s="5343"/>
      <c r="Z52" s="5343"/>
      <c r="AA52" s="5343"/>
      <c r="AB52" s="1263" t="s">
        <v>1715</v>
      </c>
      <c r="AC52" s="741"/>
      <c r="AD52" s="5342"/>
      <c r="AE52" s="5343"/>
      <c r="AF52" s="5343"/>
      <c r="AG52" s="5343"/>
      <c r="AH52" s="5343"/>
      <c r="AI52" s="5343"/>
      <c r="AJ52" s="1263" t="s">
        <v>1715</v>
      </c>
      <c r="AK52" s="1216"/>
      <c r="AL52" s="1210"/>
      <c r="AQ52" s="741"/>
      <c r="AR52" s="1250"/>
    </row>
    <row r="53" spans="1:44" ht="12" customHeight="1" x14ac:dyDescent="0.2">
      <c r="A53" s="1210"/>
      <c r="B53" s="615"/>
      <c r="C53" s="5432" t="str">
        <f>IF(C52=0,"",VLOOKUP(C52,'Tablas psiquica'!$D$7:$R$145,2,FALSE))</f>
        <v/>
      </c>
      <c r="D53" s="5433"/>
      <c r="E53" s="5433"/>
      <c r="F53" s="5433"/>
      <c r="G53" s="5433"/>
      <c r="H53" s="5433"/>
      <c r="I53" s="1265" t="str">
        <f>IF(C52=0,"",VLOOKUP(C52,'Tablas psiquica'!$D$7:$R$145,3,FALSE))</f>
        <v/>
      </c>
      <c r="K53" s="5432" t="str">
        <f>IF(K52=0,"",VLOOKUP(K52,'Tablas psiquica'!$D$7:$R$145,2,FALSE))</f>
        <v/>
      </c>
      <c r="L53" s="5433"/>
      <c r="M53" s="5433"/>
      <c r="N53" s="5433"/>
      <c r="O53" s="5433"/>
      <c r="P53" s="5433"/>
      <c r="Q53" s="1265" t="str">
        <f>IF(K52=0,"",VLOOKUP(K52,'Tablas psiquica'!$D$7:$R$145,3,FALSE))</f>
        <v/>
      </c>
      <c r="R53" s="1216"/>
      <c r="S53" s="1210"/>
      <c r="T53" s="1210"/>
      <c r="U53" s="615"/>
      <c r="V53" s="5432" t="str">
        <f>IF(V52=0,"",VLOOKUP(V52,'Tablas psiquica'!$D$7:$R$145,2,FALSE))</f>
        <v/>
      </c>
      <c r="W53" s="5433"/>
      <c r="X53" s="5433"/>
      <c r="Y53" s="5433"/>
      <c r="Z53" s="5433"/>
      <c r="AA53" s="5433"/>
      <c r="AB53" s="1265" t="str">
        <f>IF(V52=0,"",VLOOKUP(V52,'Tablas psiquica'!$D$7:$R$145,3,FALSE))</f>
        <v/>
      </c>
      <c r="AC53" s="741"/>
      <c r="AD53" s="5432" t="str">
        <f>IF(AD52=0,"",VLOOKUP(AD52,'Tablas psiquica'!$D$7:$R$145,2,FALSE))</f>
        <v/>
      </c>
      <c r="AE53" s="5433"/>
      <c r="AF53" s="5433"/>
      <c r="AG53" s="5433"/>
      <c r="AH53" s="5433"/>
      <c r="AI53" s="5433"/>
      <c r="AJ53" s="1265" t="str">
        <f>IF(AD52=0,"",VLOOKUP(AD52,'Tablas psiquica'!$D$7:$R$145,3,FALSE))</f>
        <v/>
      </c>
      <c r="AK53" s="1216"/>
      <c r="AL53" s="1210"/>
      <c r="AQ53" s="741"/>
      <c r="AR53" s="1250"/>
    </row>
    <row r="54" spans="1:44" ht="12" customHeight="1" x14ac:dyDescent="0.2">
      <c r="A54" s="1210"/>
      <c r="B54" s="615"/>
      <c r="C54" s="1266">
        <v>20</v>
      </c>
      <c r="D54" s="5419" t="s">
        <v>2055</v>
      </c>
      <c r="E54" s="5317"/>
      <c r="F54" s="5420" t="str">
        <f>IF(C52=0,"",VLOOKUP(C52,'Tablas psiquica'!$D$7:$R$145,6,FALSE))</f>
        <v/>
      </c>
      <c r="G54" s="5421"/>
      <c r="H54" s="5421"/>
      <c r="I54" s="5422"/>
      <c r="K54" s="1266">
        <v>20</v>
      </c>
      <c r="L54" s="5419" t="s">
        <v>2055</v>
      </c>
      <c r="M54" s="5317"/>
      <c r="N54" s="5420" t="str">
        <f>IF(K52=0,"",VLOOKUP(K52,'Tablas psiquica'!$D$7:$R$145,6,FALSE))</f>
        <v/>
      </c>
      <c r="O54" s="5421"/>
      <c r="P54" s="5421"/>
      <c r="Q54" s="5422"/>
      <c r="R54" s="1216"/>
      <c r="S54" s="1210"/>
      <c r="T54" s="1210"/>
      <c r="U54" s="615"/>
      <c r="V54" s="1266">
        <v>20</v>
      </c>
      <c r="W54" s="5419" t="s">
        <v>2055</v>
      </c>
      <c r="X54" s="5317"/>
      <c r="Y54" s="5420" t="str">
        <f>IF(V52=0,"",VLOOKUP(V52,'Tablas psiquica'!$D$7:$R$145,6,FALSE))</f>
        <v/>
      </c>
      <c r="Z54" s="5421"/>
      <c r="AA54" s="5421"/>
      <c r="AB54" s="5422"/>
      <c r="AC54" s="741"/>
      <c r="AD54" s="1266">
        <v>20</v>
      </c>
      <c r="AE54" s="5419" t="s">
        <v>2055</v>
      </c>
      <c r="AF54" s="5317"/>
      <c r="AG54" s="5420" t="str">
        <f>IF(AD52=0,"",VLOOKUP(AD52,'Tablas psiquica'!$D$7:$R$145,6,FALSE))</f>
        <v/>
      </c>
      <c r="AH54" s="5421"/>
      <c r="AI54" s="5421"/>
      <c r="AJ54" s="5422"/>
      <c r="AK54" s="1216"/>
      <c r="AL54" s="1210"/>
      <c r="AQ54" s="741"/>
      <c r="AR54" s="1250"/>
    </row>
    <row r="55" spans="1:44" ht="12" customHeight="1" x14ac:dyDescent="0.2">
      <c r="A55" s="1210"/>
      <c r="B55" s="615"/>
      <c r="C55" s="1268">
        <v>40</v>
      </c>
      <c r="D55" s="5428" t="s">
        <v>2059</v>
      </c>
      <c r="E55" s="5322"/>
      <c r="F55" s="5429" t="str">
        <f>IF(C52=0,"",VLOOKUP(C52,'Tablas psiquica'!$D$7:$R$145,7,FALSE))</f>
        <v/>
      </c>
      <c r="G55" s="5430"/>
      <c r="H55" s="5430"/>
      <c r="I55" s="5431"/>
      <c r="K55" s="1268">
        <v>40</v>
      </c>
      <c r="L55" s="5428" t="s">
        <v>2059</v>
      </c>
      <c r="M55" s="5322"/>
      <c r="N55" s="5429" t="str">
        <f>IF(K52=0,"",VLOOKUP(K52,'Tablas psiquica'!$D$7:$R$145,7,FALSE))</f>
        <v/>
      </c>
      <c r="O55" s="5430"/>
      <c r="P55" s="5430"/>
      <c r="Q55" s="5431"/>
      <c r="R55" s="1216"/>
      <c r="S55" s="1210"/>
      <c r="T55" s="1210"/>
      <c r="U55" s="615"/>
      <c r="V55" s="1268">
        <v>40</v>
      </c>
      <c r="W55" s="5428" t="s">
        <v>2059</v>
      </c>
      <c r="X55" s="5322"/>
      <c r="Y55" s="5429" t="str">
        <f>IF(V52=0,"",VLOOKUP(V52,'Tablas psiquica'!$D$7:$R$145,7,FALSE))</f>
        <v/>
      </c>
      <c r="Z55" s="5430"/>
      <c r="AA55" s="5430"/>
      <c r="AB55" s="5431"/>
      <c r="AC55" s="741"/>
      <c r="AD55" s="1268">
        <v>40</v>
      </c>
      <c r="AE55" s="5428" t="s">
        <v>2059</v>
      </c>
      <c r="AF55" s="5322"/>
      <c r="AG55" s="5429" t="str">
        <f>IF(AD52=0,"",VLOOKUP(AD52,'Tablas psiquica'!$D$7:$R$145,7,FALSE))</f>
        <v/>
      </c>
      <c r="AH55" s="5430"/>
      <c r="AI55" s="5430"/>
      <c r="AJ55" s="5431"/>
      <c r="AK55" s="1216"/>
      <c r="AL55" s="1210"/>
      <c r="AQ55" s="741"/>
      <c r="AR55" s="1250"/>
    </row>
    <row r="56" spans="1:44" ht="12" customHeight="1" x14ac:dyDescent="0.2">
      <c r="A56" s="1210"/>
      <c r="B56" s="615"/>
      <c r="C56" s="1266">
        <v>80</v>
      </c>
      <c r="D56" s="5419" t="s">
        <v>2062</v>
      </c>
      <c r="E56" s="5317"/>
      <c r="F56" s="5420" t="str">
        <f>IF(C52=0,"",VLOOKUP(C52,'Tablas psiquica'!$D$7:$R$145,8,FALSE))</f>
        <v/>
      </c>
      <c r="G56" s="5421"/>
      <c r="H56" s="5421"/>
      <c r="I56" s="5422"/>
      <c r="K56" s="1266">
        <v>80</v>
      </c>
      <c r="L56" s="5419" t="s">
        <v>2062</v>
      </c>
      <c r="M56" s="5317"/>
      <c r="N56" s="5420" t="str">
        <f>IF(K52=0,"",VLOOKUP(K52,'Tablas psiquica'!$D$7:$R$145,8,FALSE))</f>
        <v/>
      </c>
      <c r="O56" s="5421"/>
      <c r="P56" s="5421"/>
      <c r="Q56" s="5422"/>
      <c r="R56" s="1216"/>
      <c r="S56" s="1210"/>
      <c r="T56" s="1210"/>
      <c r="U56" s="615"/>
      <c r="V56" s="1266">
        <v>80</v>
      </c>
      <c r="W56" s="5419" t="s">
        <v>2062</v>
      </c>
      <c r="X56" s="5317"/>
      <c r="Y56" s="5420" t="str">
        <f>IF(V52=0,"",VLOOKUP(V52,'Tablas psiquica'!$D$7:$R$145,8,FALSE))</f>
        <v/>
      </c>
      <c r="Z56" s="5421"/>
      <c r="AA56" s="5421"/>
      <c r="AB56" s="5422"/>
      <c r="AC56" s="741"/>
      <c r="AD56" s="1266">
        <v>80</v>
      </c>
      <c r="AE56" s="5419" t="s">
        <v>2062</v>
      </c>
      <c r="AF56" s="5317"/>
      <c r="AG56" s="5420" t="str">
        <f>IF(AD52=0,"",VLOOKUP(AD52,'Tablas psiquica'!$D$7:$R$145,8,FALSE))</f>
        <v/>
      </c>
      <c r="AH56" s="5421"/>
      <c r="AI56" s="5421"/>
      <c r="AJ56" s="5422"/>
      <c r="AK56" s="1216"/>
      <c r="AL56" s="1210"/>
      <c r="AQ56" s="741"/>
      <c r="AR56" s="1250"/>
    </row>
    <row r="57" spans="1:44" ht="12" customHeight="1" x14ac:dyDescent="0.2">
      <c r="A57" s="1210"/>
      <c r="B57" s="615"/>
      <c r="C57" s="1268">
        <v>120</v>
      </c>
      <c r="D57" s="5428" t="s">
        <v>2066</v>
      </c>
      <c r="E57" s="5322"/>
      <c r="F57" s="5429" t="str">
        <f>IF(C52=0,"",VLOOKUP(C52,'Tablas psiquica'!$D$7:$R$145,9,FALSE))</f>
        <v/>
      </c>
      <c r="G57" s="5430"/>
      <c r="H57" s="5430"/>
      <c r="I57" s="5431"/>
      <c r="K57" s="1268">
        <v>120</v>
      </c>
      <c r="L57" s="5428" t="s">
        <v>2066</v>
      </c>
      <c r="M57" s="5322"/>
      <c r="N57" s="5429" t="str">
        <f>IF(K52=0,"",VLOOKUP(K52,'Tablas psiquica'!$D$7:$R$145,9,FALSE))</f>
        <v/>
      </c>
      <c r="O57" s="5430"/>
      <c r="P57" s="5430"/>
      <c r="Q57" s="5431"/>
      <c r="R57" s="1216"/>
      <c r="S57" s="1210"/>
      <c r="T57" s="1210"/>
      <c r="U57" s="615"/>
      <c r="V57" s="1268">
        <v>120</v>
      </c>
      <c r="W57" s="5428" t="s">
        <v>2066</v>
      </c>
      <c r="X57" s="5322"/>
      <c r="Y57" s="5429" t="str">
        <f>IF(V52=0,"",VLOOKUP(V52,'Tablas psiquica'!$D$7:$R$145,9,FALSE))</f>
        <v/>
      </c>
      <c r="Z57" s="5430"/>
      <c r="AA57" s="5430"/>
      <c r="AB57" s="5431"/>
      <c r="AC57" s="741"/>
      <c r="AD57" s="1268">
        <v>120</v>
      </c>
      <c r="AE57" s="5428" t="s">
        <v>2066</v>
      </c>
      <c r="AF57" s="5322"/>
      <c r="AG57" s="5429" t="str">
        <f>IF(AD52=0,"",VLOOKUP(AD52,'Tablas psiquica'!$D$7:$R$145,9,FALSE))</f>
        <v/>
      </c>
      <c r="AH57" s="5430"/>
      <c r="AI57" s="5430"/>
      <c r="AJ57" s="5431"/>
      <c r="AK57" s="1216"/>
      <c r="AL57" s="1210"/>
      <c r="AQ57" s="741"/>
      <c r="AR57" s="1250"/>
    </row>
    <row r="58" spans="1:44" ht="12" customHeight="1" x14ac:dyDescent="0.2">
      <c r="A58" s="1210"/>
      <c r="B58" s="615"/>
      <c r="C58" s="1266">
        <v>140</v>
      </c>
      <c r="D58" s="5419" t="s">
        <v>8168</v>
      </c>
      <c r="E58" s="5317"/>
      <c r="F58" s="5420" t="str">
        <f>IF(C52=0,"",VLOOKUP(C52,'Tablas psiquica'!$D$7:$R$145,10,FALSE))</f>
        <v/>
      </c>
      <c r="G58" s="5421"/>
      <c r="H58" s="5421"/>
      <c r="I58" s="5422"/>
      <c r="K58" s="1266">
        <v>140</v>
      </c>
      <c r="L58" s="5419" t="s">
        <v>8168</v>
      </c>
      <c r="M58" s="5317"/>
      <c r="N58" s="5420" t="str">
        <f>IF(K52=0,"",VLOOKUP(K52,'Tablas psiquica'!$D$7:$R$145,10,FALSE))</f>
        <v/>
      </c>
      <c r="O58" s="5421"/>
      <c r="P58" s="5421"/>
      <c r="Q58" s="5422"/>
      <c r="R58" s="1216"/>
      <c r="S58" s="1210"/>
      <c r="T58" s="1210"/>
      <c r="U58" s="615"/>
      <c r="V58" s="1266">
        <v>140</v>
      </c>
      <c r="W58" s="5419" t="s">
        <v>8168</v>
      </c>
      <c r="X58" s="5317"/>
      <c r="Y58" s="5420" t="str">
        <f>IF(V52=0,"",VLOOKUP(V52,'Tablas psiquica'!$D$7:$R$145,10,FALSE))</f>
        <v/>
      </c>
      <c r="Z58" s="5421"/>
      <c r="AA58" s="5421"/>
      <c r="AB58" s="5422"/>
      <c r="AC58" s="1276"/>
      <c r="AD58" s="1266">
        <v>140</v>
      </c>
      <c r="AE58" s="5419" t="s">
        <v>8168</v>
      </c>
      <c r="AF58" s="5317"/>
      <c r="AG58" s="5420" t="str">
        <f>IF(AD52=0,"",VLOOKUP(AD52,'Tablas psiquica'!$D$7:$R$145,10,FALSE))</f>
        <v/>
      </c>
      <c r="AH58" s="5421"/>
      <c r="AI58" s="5421"/>
      <c r="AJ58" s="5422"/>
      <c r="AK58" s="1216"/>
      <c r="AL58" s="1210"/>
      <c r="AQ58" s="741"/>
      <c r="AR58" s="1250"/>
    </row>
    <row r="59" spans="1:44" ht="12" customHeight="1" x14ac:dyDescent="0.2">
      <c r="A59" s="1210"/>
      <c r="B59" s="615"/>
      <c r="C59" s="1268">
        <v>180</v>
      </c>
      <c r="D59" s="5428" t="s">
        <v>2071</v>
      </c>
      <c r="E59" s="5322"/>
      <c r="F59" s="5429" t="str">
        <f>IF(C52=0,"",VLOOKUP(C52,'Tablas psiquica'!$D$7:$R$145,11,FALSE))</f>
        <v/>
      </c>
      <c r="G59" s="5430"/>
      <c r="H59" s="5430"/>
      <c r="I59" s="5431"/>
      <c r="K59" s="1268">
        <v>180</v>
      </c>
      <c r="L59" s="5428" t="s">
        <v>2071</v>
      </c>
      <c r="M59" s="5322"/>
      <c r="N59" s="5429" t="str">
        <f>IF(K52=0,"",VLOOKUP(K52,'Tablas psiquica'!$D$7:$R$145,11,FALSE))</f>
        <v/>
      </c>
      <c r="O59" s="5430"/>
      <c r="P59" s="5430"/>
      <c r="Q59" s="5431"/>
      <c r="R59" s="1216"/>
      <c r="S59" s="1210"/>
      <c r="T59" s="1210"/>
      <c r="U59" s="615"/>
      <c r="V59" s="1268">
        <v>180</v>
      </c>
      <c r="W59" s="5428" t="s">
        <v>2071</v>
      </c>
      <c r="X59" s="5322"/>
      <c r="Y59" s="5429" t="str">
        <f>IF(V52=0,"",VLOOKUP(V52,'Tablas psiquica'!$D$7:$R$145,11,FALSE))</f>
        <v/>
      </c>
      <c r="Z59" s="5430"/>
      <c r="AA59" s="5430"/>
      <c r="AB59" s="5431"/>
      <c r="AC59" s="741"/>
      <c r="AD59" s="1268">
        <v>180</v>
      </c>
      <c r="AE59" s="5428" t="s">
        <v>2071</v>
      </c>
      <c r="AF59" s="5322"/>
      <c r="AG59" s="5429" t="str">
        <f>IF(AD52=0,"",VLOOKUP(AD52,'Tablas psiquica'!$D$7:$R$145,11,FALSE))</f>
        <v/>
      </c>
      <c r="AH59" s="5430"/>
      <c r="AI59" s="5430"/>
      <c r="AJ59" s="5431"/>
      <c r="AK59" s="1216"/>
      <c r="AL59" s="1210"/>
      <c r="AQ59" s="741"/>
      <c r="AR59" s="1250"/>
    </row>
    <row r="60" spans="1:44" ht="12" customHeight="1" x14ac:dyDescent="0.2">
      <c r="A60" s="1210"/>
      <c r="B60" s="615"/>
      <c r="C60" s="1266">
        <v>240</v>
      </c>
      <c r="D60" s="5419" t="s">
        <v>8169</v>
      </c>
      <c r="E60" s="5317"/>
      <c r="F60" s="5420" t="str">
        <f>IF(C52=0,"",VLOOKUP(C52,'Tablas psiquica'!$D$7:$R$145,12,FALSE))</f>
        <v/>
      </c>
      <c r="G60" s="5421"/>
      <c r="H60" s="5421"/>
      <c r="I60" s="5422"/>
      <c r="K60" s="1266">
        <v>240</v>
      </c>
      <c r="L60" s="5419" t="s">
        <v>8169</v>
      </c>
      <c r="M60" s="5317"/>
      <c r="N60" s="5420" t="str">
        <f>IF(K52=0,"",VLOOKUP(K52,'Tablas psiquica'!$D$7:$R$145,12,FALSE))</f>
        <v/>
      </c>
      <c r="O60" s="5421"/>
      <c r="P60" s="5421"/>
      <c r="Q60" s="5422"/>
      <c r="R60" s="1216"/>
      <c r="S60" s="1210"/>
      <c r="T60" s="1210"/>
      <c r="U60" s="615"/>
      <c r="V60" s="1266">
        <v>240</v>
      </c>
      <c r="W60" s="5419" t="s">
        <v>8169</v>
      </c>
      <c r="X60" s="5317"/>
      <c r="Y60" s="5420" t="str">
        <f>IF(V52=0,"",VLOOKUP(V52,'Tablas psiquica'!$D$7:$R$145,12,FALSE))</f>
        <v/>
      </c>
      <c r="Z60" s="5421"/>
      <c r="AA60" s="5421"/>
      <c r="AB60" s="5422"/>
      <c r="AC60" s="741"/>
      <c r="AD60" s="1266">
        <v>240</v>
      </c>
      <c r="AE60" s="5419" t="s">
        <v>8169</v>
      </c>
      <c r="AF60" s="5317"/>
      <c r="AG60" s="5420" t="str">
        <f>IF(AD52=0,"",VLOOKUP(AD52,'Tablas psiquica'!$D$7:$R$145,12,FALSE))</f>
        <v/>
      </c>
      <c r="AH60" s="5421"/>
      <c r="AI60" s="5421"/>
      <c r="AJ60" s="5422"/>
      <c r="AK60" s="1216"/>
      <c r="AL60" s="1210"/>
      <c r="AQ60" s="741"/>
      <c r="AR60" s="1250"/>
    </row>
    <row r="61" spans="1:44" ht="12" customHeight="1" x14ac:dyDescent="0.2">
      <c r="A61" s="1210"/>
      <c r="B61" s="615"/>
      <c r="C61" s="1268">
        <v>280</v>
      </c>
      <c r="D61" s="5428" t="s">
        <v>2076</v>
      </c>
      <c r="E61" s="5322"/>
      <c r="F61" s="5429" t="str">
        <f>IF(C52=0,"",VLOOKUP(C52,'Tablas psiquica'!$D$7:$R$145,13,FALSE))</f>
        <v/>
      </c>
      <c r="G61" s="5430"/>
      <c r="H61" s="5430"/>
      <c r="I61" s="5431"/>
      <c r="K61" s="1268">
        <v>280</v>
      </c>
      <c r="L61" s="5428" t="s">
        <v>2076</v>
      </c>
      <c r="M61" s="5322"/>
      <c r="N61" s="5429" t="str">
        <f>IF(K52=0,"",VLOOKUP(K52,'Tablas psiquica'!$D$7:$R$145,13,FALSE))</f>
        <v/>
      </c>
      <c r="O61" s="5430"/>
      <c r="P61" s="5430"/>
      <c r="Q61" s="5431"/>
      <c r="R61" s="1216"/>
      <c r="S61" s="1210"/>
      <c r="T61" s="1210"/>
      <c r="U61" s="615"/>
      <c r="V61" s="1268">
        <v>280</v>
      </c>
      <c r="W61" s="5428" t="s">
        <v>2076</v>
      </c>
      <c r="X61" s="5322"/>
      <c r="Y61" s="5429" t="str">
        <f>IF(V52=0,"",VLOOKUP(V52,'Tablas psiquica'!$D$7:$R$145,13,FALSE))</f>
        <v/>
      </c>
      <c r="Z61" s="5430"/>
      <c r="AA61" s="5430"/>
      <c r="AB61" s="5431"/>
      <c r="AC61" s="741"/>
      <c r="AD61" s="1268">
        <v>280</v>
      </c>
      <c r="AE61" s="5428" t="s">
        <v>2076</v>
      </c>
      <c r="AF61" s="5322"/>
      <c r="AG61" s="5429" t="str">
        <f>IF(AD52=0,"",VLOOKUP(AD52,'Tablas psiquica'!$D$7:$R$145,13,FALSE))</f>
        <v/>
      </c>
      <c r="AH61" s="5430"/>
      <c r="AI61" s="5430"/>
      <c r="AJ61" s="5431"/>
      <c r="AK61" s="1216"/>
      <c r="AL61" s="1210"/>
      <c r="AQ61" s="741"/>
      <c r="AR61" s="1250"/>
    </row>
    <row r="62" spans="1:44" ht="12" customHeight="1" x14ac:dyDescent="0.2">
      <c r="A62" s="1210"/>
      <c r="B62" s="615"/>
      <c r="C62" s="1266">
        <v>320</v>
      </c>
      <c r="D62" s="5419" t="s">
        <v>2078</v>
      </c>
      <c r="E62" s="5317"/>
      <c r="F62" s="5420" t="str">
        <f>IF(C52=0,"",VLOOKUP(C52,'Tablas psiquica'!$D$7:$R$145,14,FALSE))</f>
        <v/>
      </c>
      <c r="G62" s="5421"/>
      <c r="H62" s="5421"/>
      <c r="I62" s="5422"/>
      <c r="K62" s="1266">
        <v>320</v>
      </c>
      <c r="L62" s="5419" t="s">
        <v>2078</v>
      </c>
      <c r="M62" s="5317"/>
      <c r="N62" s="5420" t="str">
        <f>IF(K52=0,"",VLOOKUP(K52,'Tablas psiquica'!$D$7:$R$145,14,FALSE))</f>
        <v/>
      </c>
      <c r="O62" s="5421"/>
      <c r="P62" s="5421"/>
      <c r="Q62" s="5422"/>
      <c r="R62" s="1216"/>
      <c r="S62" s="1210"/>
      <c r="T62" s="1210"/>
      <c r="U62" s="615"/>
      <c r="V62" s="1266">
        <v>320</v>
      </c>
      <c r="W62" s="5419" t="s">
        <v>2078</v>
      </c>
      <c r="X62" s="5317"/>
      <c r="Y62" s="5420" t="str">
        <f>IF(V52=0,"",VLOOKUP(V52,'Tablas psiquica'!$D$7:$R$145,14,FALSE))</f>
        <v/>
      </c>
      <c r="Z62" s="5421"/>
      <c r="AA62" s="5421"/>
      <c r="AB62" s="5422"/>
      <c r="AC62" s="741"/>
      <c r="AD62" s="1266">
        <v>320</v>
      </c>
      <c r="AE62" s="5419" t="s">
        <v>2078</v>
      </c>
      <c r="AF62" s="5317"/>
      <c r="AG62" s="5420" t="str">
        <f>IF(AD52=0,"",VLOOKUP(AD52,'Tablas psiquica'!$D$7:$R$145,14,FALSE))</f>
        <v/>
      </c>
      <c r="AH62" s="5421"/>
      <c r="AI62" s="5421"/>
      <c r="AJ62" s="5422"/>
      <c r="AK62" s="1216"/>
      <c r="AL62" s="1210"/>
      <c r="AQ62" s="741"/>
      <c r="AR62" s="1250"/>
    </row>
    <row r="63" spans="1:44" ht="12" customHeight="1" x14ac:dyDescent="0.2">
      <c r="A63" s="1210"/>
      <c r="B63" s="615"/>
      <c r="C63" s="1271">
        <v>440</v>
      </c>
      <c r="D63" s="5423" t="s">
        <v>2012</v>
      </c>
      <c r="E63" s="5424"/>
      <c r="F63" s="5425" t="str">
        <f>IF(C52=0,"",VLOOKUP(C52,'Tablas psiquica'!$D$7:$R$145,15,FALSE))</f>
        <v/>
      </c>
      <c r="G63" s="5426"/>
      <c r="H63" s="5426"/>
      <c r="I63" s="5427"/>
      <c r="K63" s="1271">
        <v>440</v>
      </c>
      <c r="L63" s="5423" t="s">
        <v>2012</v>
      </c>
      <c r="M63" s="5424"/>
      <c r="N63" s="5425" t="str">
        <f>IF(K52=0,"",VLOOKUP(K52,'Tablas psiquica'!$D$7:$R$145,15,FALSE))</f>
        <v/>
      </c>
      <c r="O63" s="5426"/>
      <c r="P63" s="5426"/>
      <c r="Q63" s="5427"/>
      <c r="R63" s="1216"/>
      <c r="S63" s="1210"/>
      <c r="T63" s="1210"/>
      <c r="U63" s="615"/>
      <c r="V63" s="1271">
        <v>440</v>
      </c>
      <c r="W63" s="5423" t="s">
        <v>2012</v>
      </c>
      <c r="X63" s="5424"/>
      <c r="Y63" s="5425" t="str">
        <f>IF(V52=0,"",VLOOKUP(V52,'Tablas psiquica'!$D$7:$R$145,15,FALSE))</f>
        <v/>
      </c>
      <c r="Z63" s="5426"/>
      <c r="AA63" s="5426"/>
      <c r="AB63" s="5427"/>
      <c r="AC63" s="1258"/>
      <c r="AD63" s="1271">
        <v>440</v>
      </c>
      <c r="AE63" s="5423" t="s">
        <v>2012</v>
      </c>
      <c r="AF63" s="5424"/>
      <c r="AG63" s="5425" t="str">
        <f>IF(AD52=0,"",VLOOKUP(AD52,'Tablas psiquica'!$D$7:$R$145,15,FALSE))</f>
        <v/>
      </c>
      <c r="AH63" s="5426"/>
      <c r="AI63" s="5426"/>
      <c r="AJ63" s="5427"/>
      <c r="AK63" s="1216"/>
      <c r="AL63" s="1210"/>
      <c r="AQ63" s="741"/>
      <c r="AR63" s="1250"/>
    </row>
    <row r="64" spans="1:44" ht="12" customHeight="1" thickBot="1" x14ac:dyDescent="0.25">
      <c r="A64" s="1210"/>
      <c r="B64" s="615"/>
      <c r="C64" s="5416" t="s">
        <v>8170</v>
      </c>
      <c r="D64" s="5417"/>
      <c r="E64" s="1272" t="str">
        <f>IF(C52=0,"",VLOOKUP(C52,'Tablas psiquica'!$D$7:$R$145,4,FALSE))</f>
        <v/>
      </c>
      <c r="F64" s="5418" t="s">
        <v>8165</v>
      </c>
      <c r="G64" s="5418"/>
      <c r="H64" s="4251" t="str">
        <f>IF(C52=0,"",VLOOKUP(C52,'Tablas psiquica'!$D$7:$R$145,5,FALSE))</f>
        <v/>
      </c>
      <c r="I64" s="4252"/>
      <c r="K64" s="5416" t="s">
        <v>8170</v>
      </c>
      <c r="L64" s="5417"/>
      <c r="M64" s="1272" t="str">
        <f>IF(K52=0,"",VLOOKUP(K52,'Tablas psiquica'!$D$7:$R$145,4,FALSE))</f>
        <v/>
      </c>
      <c r="N64" s="5418" t="s">
        <v>8165</v>
      </c>
      <c r="O64" s="5418"/>
      <c r="P64" s="4251" t="str">
        <f>IF(K52=0,"",VLOOKUP(K52,'Tablas psiquica'!$D$7:$R$145,5,FALSE))</f>
        <v/>
      </c>
      <c r="Q64" s="4252"/>
      <c r="R64" s="1216"/>
      <c r="S64" s="1210"/>
      <c r="T64" s="1210"/>
      <c r="U64" s="615"/>
      <c r="V64" s="5416" t="s">
        <v>8170</v>
      </c>
      <c r="W64" s="5417"/>
      <c r="X64" s="1272" t="str">
        <f>IF(V52=0,"",VLOOKUP(V52,'Tablas psiquica'!$D$7:$R$145,4,FALSE))</f>
        <v/>
      </c>
      <c r="Y64" s="5418" t="s">
        <v>8165</v>
      </c>
      <c r="Z64" s="5418"/>
      <c r="AA64" s="4251" t="str">
        <f>IF(V52=0,"",VLOOKUP(V52,'Tablas psiquica'!$D$7:$R$145,5,FALSE))</f>
        <v/>
      </c>
      <c r="AB64" s="4252"/>
      <c r="AC64" s="1258"/>
      <c r="AD64" s="5416" t="s">
        <v>8170</v>
      </c>
      <c r="AE64" s="5417"/>
      <c r="AF64" s="1272" t="str">
        <f>IF(AD52=0,"",VLOOKUP(AD52,'Tablas psiquica'!$D$7:$R$145,4,FALSE))</f>
        <v/>
      </c>
      <c r="AG64" s="5418" t="s">
        <v>8165</v>
      </c>
      <c r="AH64" s="5418"/>
      <c r="AI64" s="4251" t="str">
        <f>IF(AD52=0,"",VLOOKUP(AD52,'Tablas psiquica'!$D$7:$R$145,5,FALSE))</f>
        <v/>
      </c>
      <c r="AJ64" s="4252"/>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2018-08-28T12:08:33Z</dcterms:modified>
</cp:coreProperties>
</file>